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codeName="ThisWorkbook" autoCompressPictures="0" defaultThemeVersion="124226"/>
  <mc:AlternateContent xmlns:mc="http://schemas.openxmlformats.org/markup-compatibility/2006">
    <mc:Choice Requires="x15">
      <x15ac:absPath xmlns:x15ac="http://schemas.microsoft.com/office/spreadsheetml/2010/11/ac" url="/Users/arielacuzar/Desktop/highlands templates/"/>
    </mc:Choice>
  </mc:AlternateContent>
  <xr:revisionPtr revIDLastSave="0" documentId="8_{B0971B71-0AF4-8648-BD1F-063F27C2CF1F}" xr6:coauthVersionLast="36" xr6:coauthVersionMax="36" xr10:uidLastSave="{00000000-0000-0000-0000-000000000000}"/>
  <workbookProtection workbookPassword="CAF1" lockStructure="1"/>
  <bookViews>
    <workbookView xWindow="1720" yWindow="460" windowWidth="25600" windowHeight="14240" tabRatio="824" xr2:uid="{00000000-000D-0000-FFFF-FFFF00000000}"/>
  </bookViews>
  <sheets>
    <sheet name="DATA SHEET" sheetId="4" r:id="rId1"/>
    <sheet name="WESTCHASE PL" sheetId="243" state="hidden" r:id="rId2"/>
    <sheet name="CASH_Non-mem" sheetId="236" r:id="rId3"/>
    <sheet name="DP Term1_Non-mem" sheetId="245" r:id="rId4"/>
    <sheet name="No DP Term1_Non-mem" sheetId="239" r:id="rId5"/>
    <sheet name="No DP Term2_Non-mem" sheetId="242" r:id="rId6"/>
    <sheet name="No DP Term3_Non-mem" sheetId="225" r:id="rId7"/>
    <sheet name="No DP Term4_Non-mem" sheetId="228" r:id="rId8"/>
    <sheet name="No DP Term5_Non-mem" sheetId="246" r:id="rId9"/>
    <sheet name="CASH_Member" sheetId="229" r:id="rId10"/>
    <sheet name="DP Term1_Member" sheetId="244" r:id="rId11"/>
    <sheet name="No DP Term1_Member" sheetId="240" r:id="rId12"/>
    <sheet name="No DP Term2_Member" sheetId="237" r:id="rId13"/>
    <sheet name="No DP Term3_Member" sheetId="150" r:id="rId14"/>
    <sheet name="No DP Term4_Member" sheetId="241" r:id="rId15"/>
    <sheet name="No DP Term5_Member" sheetId="247" r:id="rId16"/>
  </sheets>
  <externalReferences>
    <externalReference r:id="rId17"/>
    <externalReference r:id="rId18"/>
    <externalReference r:id="rId19"/>
    <externalReference r:id="rId20"/>
    <externalReference r:id="rId21"/>
    <externalReference r:id="rId22"/>
    <externalReference r:id="rId23"/>
  </externalReferences>
  <definedNames>
    <definedName name="____xlnm.Print_Area_4" localSheetId="9">#REF!</definedName>
    <definedName name="____xlnm.Print_Area_4" localSheetId="2">#REF!</definedName>
    <definedName name="____xlnm.Print_Area_4" localSheetId="10">#REF!</definedName>
    <definedName name="____xlnm.Print_Area_4" localSheetId="3">#REF!</definedName>
    <definedName name="____xlnm.Print_Area_4" localSheetId="13">#REF!</definedName>
    <definedName name="____xlnm.Print_Area_4" localSheetId="6">#REF!</definedName>
    <definedName name="____xlnm.Print_Area_4" localSheetId="7">#REF!</definedName>
    <definedName name="____xlnm.Print_Area_4" localSheetId="15">#REF!</definedName>
    <definedName name="____xlnm.Print_Area_4" localSheetId="8">#REF!</definedName>
    <definedName name="____xlnm.Print_Area_4">#REF!</definedName>
    <definedName name="___xlnm.Print_Area_4" localSheetId="9">#REF!</definedName>
    <definedName name="___xlnm.Print_Area_4" localSheetId="2">#REF!</definedName>
    <definedName name="___xlnm.Print_Area_4" localSheetId="10">#REF!</definedName>
    <definedName name="___xlnm.Print_Area_4" localSheetId="3">#REF!</definedName>
    <definedName name="___xlnm.Print_Area_4" localSheetId="13">#REF!</definedName>
    <definedName name="___xlnm.Print_Area_4" localSheetId="6">#REF!</definedName>
    <definedName name="___xlnm.Print_Area_4" localSheetId="7">#REF!</definedName>
    <definedName name="___xlnm.Print_Area_4" localSheetId="15">#REF!</definedName>
    <definedName name="___xlnm.Print_Area_4" localSheetId="8">#REF!</definedName>
    <definedName name="___xlnm.Print_Area_4">#REF!</definedName>
    <definedName name="__FEU8" localSheetId="9">[1]Assumptions!#REF!</definedName>
    <definedName name="__FEU8" localSheetId="2">[1]Assumptions!#REF!</definedName>
    <definedName name="__FEU8" localSheetId="10">[1]Assumptions!#REF!</definedName>
    <definedName name="__FEU8" localSheetId="3">[1]Assumptions!#REF!</definedName>
    <definedName name="__FEU8" localSheetId="13">[1]Assumptions!#REF!</definedName>
    <definedName name="__FEU8" localSheetId="6">[1]Assumptions!#REF!</definedName>
    <definedName name="__FEU8" localSheetId="7">[1]Assumptions!#REF!</definedName>
    <definedName name="__FEU8" localSheetId="15">[1]Assumptions!#REF!</definedName>
    <definedName name="__FEU8" localSheetId="8">[1]Assumptions!#REF!</definedName>
    <definedName name="__FEU8">[1]Assumptions!#REF!</definedName>
    <definedName name="__klq6" localSheetId="9">#REF!</definedName>
    <definedName name="__klq6" localSheetId="2">#REF!</definedName>
    <definedName name="__klq6" localSheetId="10">#REF!</definedName>
    <definedName name="__klq6" localSheetId="3">#REF!</definedName>
    <definedName name="__klq6" localSheetId="13">#REF!</definedName>
    <definedName name="__klq6" localSheetId="6">#REF!</definedName>
    <definedName name="__klq6" localSheetId="7">#REF!</definedName>
    <definedName name="__klq6" localSheetId="15">#REF!</definedName>
    <definedName name="__klq6" localSheetId="8">#REF!</definedName>
    <definedName name="__klq6">#REF!</definedName>
    <definedName name="__kz6" localSheetId="9">#REF!</definedName>
    <definedName name="__kz6" localSheetId="2">#REF!</definedName>
    <definedName name="__kz6" localSheetId="10">#REF!</definedName>
    <definedName name="__kz6" localSheetId="3">#REF!</definedName>
    <definedName name="__kz6" localSheetId="13">#REF!</definedName>
    <definedName name="__kz6" localSheetId="6">#REF!</definedName>
    <definedName name="__kz6" localSheetId="7">#REF!</definedName>
    <definedName name="__kz6" localSheetId="15">#REF!</definedName>
    <definedName name="__kz6" localSheetId="8">#REF!</definedName>
    <definedName name="__kz6">#REF!</definedName>
    <definedName name="__SL101" localSheetId="9">#REF!</definedName>
    <definedName name="__SL101" localSheetId="2">#REF!</definedName>
    <definedName name="__SL101" localSheetId="10">#REF!</definedName>
    <definedName name="__SL101" localSheetId="3">#REF!</definedName>
    <definedName name="__SL101" localSheetId="13">#REF!</definedName>
    <definedName name="__SL101" localSheetId="6">#REF!</definedName>
    <definedName name="__SL101" localSheetId="7">#REF!</definedName>
    <definedName name="__SL101" localSheetId="15">#REF!</definedName>
    <definedName name="__SL101" localSheetId="8">#REF!</definedName>
    <definedName name="__SL101">#REF!</definedName>
    <definedName name="__xlnm.Print_Area_4" localSheetId="9">#REF!</definedName>
    <definedName name="__xlnm.Print_Area_4" localSheetId="2">#REF!</definedName>
    <definedName name="__xlnm.Print_Area_4" localSheetId="10">#REF!</definedName>
    <definedName name="__xlnm.Print_Area_4" localSheetId="3">#REF!</definedName>
    <definedName name="__xlnm.Print_Area_4" localSheetId="13">#REF!</definedName>
    <definedName name="__xlnm.Print_Area_4" localSheetId="6">#REF!</definedName>
    <definedName name="__xlnm.Print_Area_4" localSheetId="7">#REF!</definedName>
    <definedName name="__xlnm.Print_Area_4" localSheetId="15">#REF!</definedName>
    <definedName name="__xlnm.Print_Area_4" localSheetId="8">#REF!</definedName>
    <definedName name="__xlnm.Print_Area_4">#REF!</definedName>
    <definedName name="_CTS_STATUS" localSheetId="9">#REF!</definedName>
    <definedName name="_CTS_STATUS" localSheetId="2">#REF!</definedName>
    <definedName name="_CTS_STATUS" localSheetId="10">#REF!</definedName>
    <definedName name="_CTS_STATUS" localSheetId="3">#REF!</definedName>
    <definedName name="_CTS_STATUS" localSheetId="13">#REF!</definedName>
    <definedName name="_CTS_STATUS" localSheetId="6">#REF!</definedName>
    <definedName name="_CTS_STATUS" localSheetId="7">#REF!</definedName>
    <definedName name="_CTS_STATUS" localSheetId="15">#REF!</definedName>
    <definedName name="_CTS_STATUS" localSheetId="8">#REF!</definedName>
    <definedName name="_CTS_STATUS">#REF!</definedName>
    <definedName name="_FEU8" localSheetId="9">[1]Assumptions!#REF!</definedName>
    <definedName name="_FEU8" localSheetId="2">[1]Assumptions!#REF!</definedName>
    <definedName name="_FEU8" localSheetId="10">[1]Assumptions!#REF!</definedName>
    <definedName name="_FEU8" localSheetId="3">[1]Assumptions!#REF!</definedName>
    <definedName name="_FEU8" localSheetId="13">[1]Assumptions!#REF!</definedName>
    <definedName name="_FEU8" localSheetId="6">[1]Assumptions!#REF!</definedName>
    <definedName name="_FEU8" localSheetId="7">[1]Assumptions!#REF!</definedName>
    <definedName name="_FEU8" localSheetId="15">[1]Assumptions!#REF!</definedName>
    <definedName name="_FEU8" localSheetId="8">[1]Assumptions!#REF!</definedName>
    <definedName name="_FEU8">[1]Assumptions!#REF!</definedName>
    <definedName name="_hillside123" localSheetId="9">#REF!</definedName>
    <definedName name="_hillside123" localSheetId="2">#REF!</definedName>
    <definedName name="_hillside123" localSheetId="10">#REF!</definedName>
    <definedName name="_hillside123" localSheetId="3">#REF!</definedName>
    <definedName name="_hillside123" localSheetId="13">#REF!</definedName>
    <definedName name="_hillside123" localSheetId="6">#REF!</definedName>
    <definedName name="_hillside123" localSheetId="7">#REF!</definedName>
    <definedName name="_hillside123" localSheetId="15">#REF!</definedName>
    <definedName name="_hillside123" localSheetId="8">#REF!</definedName>
    <definedName name="_hillside123">#REF!</definedName>
    <definedName name="_klq6" localSheetId="9">#REF!</definedName>
    <definedName name="_klq6" localSheetId="2">#REF!</definedName>
    <definedName name="_klq6" localSheetId="10">#REF!</definedName>
    <definedName name="_klq6" localSheetId="3">#REF!</definedName>
    <definedName name="_klq6" localSheetId="13">#REF!</definedName>
    <definedName name="_klq6" localSheetId="6">#REF!</definedName>
    <definedName name="_klq6" localSheetId="7">#REF!</definedName>
    <definedName name="_klq6" localSheetId="15">#REF!</definedName>
    <definedName name="_klq6" localSheetId="8">#REF!</definedName>
    <definedName name="_klq6">#REF!</definedName>
    <definedName name="_kz6" localSheetId="9">#REF!</definedName>
    <definedName name="_kz6" localSheetId="2">#REF!</definedName>
    <definedName name="_kz6" localSheetId="10">#REF!</definedName>
    <definedName name="_kz6" localSheetId="3">#REF!</definedName>
    <definedName name="_kz6" localSheetId="13">#REF!</definedName>
    <definedName name="_kz6" localSheetId="6">#REF!</definedName>
    <definedName name="_kz6" localSheetId="7">#REF!</definedName>
    <definedName name="_kz6" localSheetId="15">#REF!</definedName>
    <definedName name="_kz6" localSheetId="8">#REF!</definedName>
    <definedName name="_kz6">#REF!</definedName>
    <definedName name="_OWNERSHIP" localSheetId="9">#REF!</definedName>
    <definedName name="_OWNERSHIP" localSheetId="2">#REF!</definedName>
    <definedName name="_OWNERSHIP" localSheetId="10">#REF!</definedName>
    <definedName name="_OWNERSHIP" localSheetId="3">#REF!</definedName>
    <definedName name="_OWNERSHIP" localSheetId="13">#REF!</definedName>
    <definedName name="_OWNERSHIP" localSheetId="6">#REF!</definedName>
    <definedName name="_OWNERSHIP" localSheetId="7">#REF!</definedName>
    <definedName name="_OWNERSHIP" localSheetId="15">#REF!</definedName>
    <definedName name="_OWNERSHIP" localSheetId="8">#REF!</definedName>
    <definedName name="_OWNERSHIP">#REF!</definedName>
    <definedName name="_SL101" localSheetId="9">#REF!</definedName>
    <definedName name="_SL101" localSheetId="2">#REF!</definedName>
    <definedName name="_SL101" localSheetId="10">#REF!</definedName>
    <definedName name="_SL101" localSheetId="3">#REF!</definedName>
    <definedName name="_SL101" localSheetId="13">#REF!</definedName>
    <definedName name="_SL101" localSheetId="6">#REF!</definedName>
    <definedName name="_SL101" localSheetId="7">#REF!</definedName>
    <definedName name="_SL101" localSheetId="15">#REF!</definedName>
    <definedName name="_SL101" localSheetId="8">#REF!</definedName>
    <definedName name="_SL101">#REF!</definedName>
    <definedName name="\" localSheetId="9">#REF!</definedName>
    <definedName name="\" localSheetId="2">#REF!</definedName>
    <definedName name="\" localSheetId="10">#REF!</definedName>
    <definedName name="\" localSheetId="3">#REF!</definedName>
    <definedName name="\" localSheetId="13">#REF!</definedName>
    <definedName name="\" localSheetId="6">#REF!</definedName>
    <definedName name="\" localSheetId="7">#REF!</definedName>
    <definedName name="\" localSheetId="15">#REF!</definedName>
    <definedName name="\" localSheetId="8">#REF!</definedName>
    <definedName name="\">#REF!</definedName>
    <definedName name="A" localSheetId="9">#REF!</definedName>
    <definedName name="A" localSheetId="2">#REF!</definedName>
    <definedName name="A" localSheetId="10">#REF!</definedName>
    <definedName name="A" localSheetId="3">#REF!</definedName>
    <definedName name="A" localSheetId="13">#REF!</definedName>
    <definedName name="A" localSheetId="6">#REF!</definedName>
    <definedName name="A" localSheetId="7">#REF!</definedName>
    <definedName name="A" localSheetId="15">#REF!</definedName>
    <definedName name="A" localSheetId="8">#REF!</definedName>
    <definedName name="A">#REF!</definedName>
    <definedName name="A_3" localSheetId="9">#REF!</definedName>
    <definedName name="A_3" localSheetId="2">#REF!</definedName>
    <definedName name="A_3" localSheetId="10">#REF!</definedName>
    <definedName name="A_3" localSheetId="3">#REF!</definedName>
    <definedName name="A_3" localSheetId="13">#REF!</definedName>
    <definedName name="A_3" localSheetId="6">#REF!</definedName>
    <definedName name="A_3" localSheetId="7">#REF!</definedName>
    <definedName name="A_3" localSheetId="15">#REF!</definedName>
    <definedName name="A_3" localSheetId="8">#REF!</definedName>
    <definedName name="A_3">#REF!</definedName>
    <definedName name="AdPromo">[2]Assumptions!$E$77</definedName>
    <definedName name="ALlan" localSheetId="9">#REF!</definedName>
    <definedName name="ALlan" localSheetId="2">#REF!</definedName>
    <definedName name="ALlan" localSheetId="10">#REF!</definedName>
    <definedName name="ALlan" localSheetId="3">#REF!</definedName>
    <definedName name="ALlan" localSheetId="13">#REF!</definedName>
    <definedName name="ALlan" localSheetId="6">#REF!</definedName>
    <definedName name="ALlan" localSheetId="7">#REF!</definedName>
    <definedName name="ALlan" localSheetId="15">#REF!</definedName>
    <definedName name="ALlan" localSheetId="8">#REF!</definedName>
    <definedName name="ALlan">#REF!</definedName>
    <definedName name="B" localSheetId="9">#REF!</definedName>
    <definedName name="B" localSheetId="2">#REF!</definedName>
    <definedName name="B" localSheetId="10">#REF!</definedName>
    <definedName name="B" localSheetId="3">#REF!</definedName>
    <definedName name="B" localSheetId="13">#REF!</definedName>
    <definedName name="B" localSheetId="6">#REF!</definedName>
    <definedName name="B" localSheetId="7">#REF!</definedName>
    <definedName name="B" localSheetId="15">#REF!</definedName>
    <definedName name="B" localSheetId="8">#REF!</definedName>
    <definedName name="B">#REF!</definedName>
    <definedName name="BALA" localSheetId="9">[2]Assumptions!#REF!</definedName>
    <definedName name="BALA" localSheetId="2">[2]Assumptions!#REF!</definedName>
    <definedName name="BALA" localSheetId="10">[2]Assumptions!#REF!</definedName>
    <definedName name="BALA" localSheetId="3">[2]Assumptions!#REF!</definedName>
    <definedName name="BALA" localSheetId="13">[2]Assumptions!#REF!</definedName>
    <definedName name="BALA" localSheetId="6">[2]Assumptions!#REF!</definedName>
    <definedName name="BALA" localSheetId="7">[2]Assumptions!#REF!</definedName>
    <definedName name="BALA" localSheetId="15">[2]Assumptions!#REF!</definedName>
    <definedName name="BALA" localSheetId="8">[2]Assumptions!#REF!</definedName>
    <definedName name="BALA">[2]Assumptions!#REF!</definedName>
    <definedName name="BaseNPV" localSheetId="9">#REF!</definedName>
    <definedName name="BaseNPV" localSheetId="2">#REF!</definedName>
    <definedName name="BaseNPV" localSheetId="10">#REF!</definedName>
    <definedName name="BaseNPV" localSheetId="3">#REF!</definedName>
    <definedName name="BaseNPV" localSheetId="13">#REF!</definedName>
    <definedName name="BaseNPV" localSheetId="6">#REF!</definedName>
    <definedName name="BaseNPV" localSheetId="7">#REF!</definedName>
    <definedName name="BaseNPV" localSheetId="15">#REF!</definedName>
    <definedName name="BaseNPV" localSheetId="8">#REF!</definedName>
    <definedName name="BaseNPV">#REF!</definedName>
    <definedName name="BaseNPV_1" localSheetId="9">#REF!</definedName>
    <definedName name="BaseNPV_1" localSheetId="2">#REF!</definedName>
    <definedName name="BaseNPV_1" localSheetId="10">#REF!</definedName>
    <definedName name="BaseNPV_1" localSheetId="3">#REF!</definedName>
    <definedName name="BaseNPV_1" localSheetId="13">#REF!</definedName>
    <definedName name="BaseNPV_1" localSheetId="6">#REF!</definedName>
    <definedName name="BaseNPV_1" localSheetId="7">#REF!</definedName>
    <definedName name="BaseNPV_1" localSheetId="15">#REF!</definedName>
    <definedName name="BaseNPV_1" localSheetId="8">#REF!</definedName>
    <definedName name="BaseNPV_1">#REF!</definedName>
    <definedName name="blk_l0t" localSheetId="9">#REF!</definedName>
    <definedName name="blk_l0t" localSheetId="2">#REF!</definedName>
    <definedName name="blk_l0t" localSheetId="10">#REF!</definedName>
    <definedName name="blk_l0t" localSheetId="3">#REF!</definedName>
    <definedName name="blk_l0t" localSheetId="13">#REF!</definedName>
    <definedName name="blk_l0t" localSheetId="6">#REF!</definedName>
    <definedName name="blk_l0t" localSheetId="7">#REF!</definedName>
    <definedName name="blk_l0t" localSheetId="15">#REF!</definedName>
    <definedName name="blk_l0t" localSheetId="8">#REF!</definedName>
    <definedName name="blk_l0t">#REF!</definedName>
    <definedName name="case_current" localSheetId="9">#REF!</definedName>
    <definedName name="case_current" localSheetId="2">#REF!</definedName>
    <definedName name="case_current" localSheetId="10">#REF!</definedName>
    <definedName name="case_current" localSheetId="3">#REF!</definedName>
    <definedName name="case_current" localSheetId="13">#REF!</definedName>
    <definedName name="case_current" localSheetId="6">#REF!</definedName>
    <definedName name="case_current" localSheetId="7">#REF!</definedName>
    <definedName name="case_current" localSheetId="15">#REF!</definedName>
    <definedName name="case_current" localSheetId="8">#REF!</definedName>
    <definedName name="case_current">#REF!</definedName>
    <definedName name="case_current_1" localSheetId="9">#REF!</definedName>
    <definedName name="case_current_1" localSheetId="2">#REF!</definedName>
    <definedName name="case_current_1" localSheetId="10">#REF!</definedName>
    <definedName name="case_current_1" localSheetId="3">#REF!</definedName>
    <definedName name="case_current_1" localSheetId="13">#REF!</definedName>
    <definedName name="case_current_1" localSheetId="6">#REF!</definedName>
    <definedName name="case_current_1" localSheetId="7">#REF!</definedName>
    <definedName name="case_current_1" localSheetId="15">#REF!</definedName>
    <definedName name="case_current_1" localSheetId="8">#REF!</definedName>
    <definedName name="case_current_1">#REF!</definedName>
    <definedName name="CASE_kwje" localSheetId="9">#REF!</definedName>
    <definedName name="CASE_kwje" localSheetId="2">#REF!</definedName>
    <definedName name="CASE_kwje" localSheetId="10">#REF!</definedName>
    <definedName name="CASE_kwje" localSheetId="3">#REF!</definedName>
    <definedName name="CASE_kwje" localSheetId="13">#REF!</definedName>
    <definedName name="CASE_kwje" localSheetId="6">#REF!</definedName>
    <definedName name="CASE_kwje" localSheetId="7">#REF!</definedName>
    <definedName name="CASE_kwje" localSheetId="15">#REF!</definedName>
    <definedName name="CASE_kwje" localSheetId="8">#REF!</definedName>
    <definedName name="CASE_kwje">#REF!</definedName>
    <definedName name="case_max" localSheetId="9">#REF!</definedName>
    <definedName name="case_max" localSheetId="2">#REF!</definedName>
    <definedName name="case_max" localSheetId="10">#REF!</definedName>
    <definedName name="case_max" localSheetId="3">#REF!</definedName>
    <definedName name="case_max" localSheetId="13">#REF!</definedName>
    <definedName name="case_max" localSheetId="6">#REF!</definedName>
    <definedName name="case_max" localSheetId="7">#REF!</definedName>
    <definedName name="case_max" localSheetId="15">#REF!</definedName>
    <definedName name="case_max" localSheetId="8">#REF!</definedName>
    <definedName name="case_max">#REF!</definedName>
    <definedName name="case_max_1" localSheetId="9">#REF!</definedName>
    <definedName name="case_max_1" localSheetId="2">#REF!</definedName>
    <definedName name="case_max_1" localSheetId="10">#REF!</definedName>
    <definedName name="case_max_1" localSheetId="3">#REF!</definedName>
    <definedName name="case_max_1" localSheetId="13">#REF!</definedName>
    <definedName name="case_max_1" localSheetId="6">#REF!</definedName>
    <definedName name="case_max_1" localSheetId="7">#REF!</definedName>
    <definedName name="case_max_1" localSheetId="15">#REF!</definedName>
    <definedName name="case_max_1" localSheetId="8">#REF!</definedName>
    <definedName name="case_max_1">#REF!</definedName>
    <definedName name="case_min" localSheetId="9">#REF!</definedName>
    <definedName name="case_min" localSheetId="2">#REF!</definedName>
    <definedName name="case_min" localSheetId="10">#REF!</definedName>
    <definedName name="case_min" localSheetId="3">#REF!</definedName>
    <definedName name="case_min" localSheetId="13">#REF!</definedName>
    <definedName name="case_min" localSheetId="6">#REF!</definedName>
    <definedName name="case_min" localSheetId="7">#REF!</definedName>
    <definedName name="case_min" localSheetId="15">#REF!</definedName>
    <definedName name="case_min" localSheetId="8">#REF!</definedName>
    <definedName name="case_min">#REF!</definedName>
    <definedName name="case_min_1" localSheetId="9">#REF!</definedName>
    <definedName name="case_min_1" localSheetId="2">#REF!</definedName>
    <definedName name="case_min_1" localSheetId="10">#REF!</definedName>
    <definedName name="case_min_1" localSheetId="3">#REF!</definedName>
    <definedName name="case_min_1" localSheetId="13">#REF!</definedName>
    <definedName name="case_min_1" localSheetId="6">#REF!</definedName>
    <definedName name="case_min_1" localSheetId="7">#REF!</definedName>
    <definedName name="case_min_1" localSheetId="15">#REF!</definedName>
    <definedName name="case_min_1" localSheetId="8">#REF!</definedName>
    <definedName name="case_min_1">#REF!</definedName>
    <definedName name="case_row" localSheetId="9">#REF!</definedName>
    <definedName name="case_row" localSheetId="2">#REF!</definedName>
    <definedName name="case_row" localSheetId="10">#REF!</definedName>
    <definedName name="case_row" localSheetId="3">#REF!</definedName>
    <definedName name="case_row" localSheetId="13">#REF!</definedName>
    <definedName name="case_row" localSheetId="6">#REF!</definedName>
    <definedName name="case_row" localSheetId="7">#REF!</definedName>
    <definedName name="case_row" localSheetId="15">#REF!</definedName>
    <definedName name="case_row" localSheetId="8">#REF!</definedName>
    <definedName name="case_row">#REF!</definedName>
    <definedName name="case_row_1" localSheetId="9">#REF!</definedName>
    <definedName name="case_row_1" localSheetId="2">#REF!</definedName>
    <definedName name="case_row_1" localSheetId="10">#REF!</definedName>
    <definedName name="case_row_1" localSheetId="3">#REF!</definedName>
    <definedName name="case_row_1" localSheetId="13">#REF!</definedName>
    <definedName name="case_row_1" localSheetId="6">#REF!</definedName>
    <definedName name="case_row_1" localSheetId="7">#REF!</definedName>
    <definedName name="case_row_1" localSheetId="15">#REF!</definedName>
    <definedName name="case_row_1" localSheetId="8">#REF!</definedName>
    <definedName name="case_row_1">#REF!</definedName>
    <definedName name="case_rowmax" localSheetId="9">#REF!</definedName>
    <definedName name="case_rowmax" localSheetId="2">#REF!</definedName>
    <definedName name="case_rowmax" localSheetId="10">#REF!</definedName>
    <definedName name="case_rowmax" localSheetId="3">#REF!</definedName>
    <definedName name="case_rowmax" localSheetId="13">#REF!</definedName>
    <definedName name="case_rowmax" localSheetId="6">#REF!</definedName>
    <definedName name="case_rowmax" localSheetId="7">#REF!</definedName>
    <definedName name="case_rowmax" localSheetId="15">#REF!</definedName>
    <definedName name="case_rowmax" localSheetId="8">#REF!</definedName>
    <definedName name="case_rowmax">#REF!</definedName>
    <definedName name="case_rowmax_1" localSheetId="9">#REF!</definedName>
    <definedName name="case_rowmax_1" localSheetId="2">#REF!</definedName>
    <definedName name="case_rowmax_1" localSheetId="10">#REF!</definedName>
    <definedName name="case_rowmax_1" localSheetId="3">#REF!</definedName>
    <definedName name="case_rowmax_1" localSheetId="13">#REF!</definedName>
    <definedName name="case_rowmax_1" localSheetId="6">#REF!</definedName>
    <definedName name="case_rowmax_1" localSheetId="7">#REF!</definedName>
    <definedName name="case_rowmax_1" localSheetId="15">#REF!</definedName>
    <definedName name="case_rowmax_1" localSheetId="8">#REF!</definedName>
    <definedName name="case_rowmax_1">#REF!</definedName>
    <definedName name="case_rowmin" localSheetId="9">#REF!</definedName>
    <definedName name="case_rowmin" localSheetId="2">#REF!</definedName>
    <definedName name="case_rowmin" localSheetId="10">#REF!</definedName>
    <definedName name="case_rowmin" localSheetId="3">#REF!</definedName>
    <definedName name="case_rowmin" localSheetId="13">#REF!</definedName>
    <definedName name="case_rowmin" localSheetId="6">#REF!</definedName>
    <definedName name="case_rowmin" localSheetId="7">#REF!</definedName>
    <definedName name="case_rowmin" localSheetId="15">#REF!</definedName>
    <definedName name="case_rowmin" localSheetId="8">#REF!</definedName>
    <definedName name="case_rowmin">#REF!</definedName>
    <definedName name="case_rowmin_1" localSheetId="9">#REF!</definedName>
    <definedName name="case_rowmin_1" localSheetId="2">#REF!</definedName>
    <definedName name="case_rowmin_1" localSheetId="10">#REF!</definedName>
    <definedName name="case_rowmin_1" localSheetId="3">#REF!</definedName>
    <definedName name="case_rowmin_1" localSheetId="13">#REF!</definedName>
    <definedName name="case_rowmin_1" localSheetId="6">#REF!</definedName>
    <definedName name="case_rowmin_1" localSheetId="7">#REF!</definedName>
    <definedName name="case_rowmin_1" localSheetId="15">#REF!</definedName>
    <definedName name="case_rowmin_1" localSheetId="8">#REF!</definedName>
    <definedName name="case_rowmin_1">#REF!</definedName>
    <definedName name="CashAdvance" localSheetId="9">[3]Assumptions!#REF!</definedName>
    <definedName name="CashAdvance" localSheetId="2">[3]Assumptions!#REF!</definedName>
    <definedName name="CashAdvance" localSheetId="10">[3]Assumptions!#REF!</definedName>
    <definedName name="CashAdvance" localSheetId="3">[3]Assumptions!#REF!</definedName>
    <definedName name="CashAdvance" localSheetId="13">[3]Assumptions!#REF!</definedName>
    <definedName name="CashAdvance" localSheetId="6">[3]Assumptions!#REF!</definedName>
    <definedName name="CashAdvance" localSheetId="7">[3]Assumptions!#REF!</definedName>
    <definedName name="CashAdvance" localSheetId="15">[3]Assumptions!#REF!</definedName>
    <definedName name="CashAdvance" localSheetId="8">[3]Assumptions!#REF!</definedName>
    <definedName name="CashAdvance">[3]Assumptions!#REF!</definedName>
    <definedName name="cmiercjrice_7" localSheetId="9">#REF!</definedName>
    <definedName name="cmiercjrice_7" localSheetId="2">#REF!</definedName>
    <definedName name="cmiercjrice_7" localSheetId="10">#REF!</definedName>
    <definedName name="cmiercjrice_7" localSheetId="3">#REF!</definedName>
    <definedName name="cmiercjrice_7" localSheetId="13">#REF!</definedName>
    <definedName name="cmiercjrice_7" localSheetId="6">#REF!</definedName>
    <definedName name="cmiercjrice_7" localSheetId="7">#REF!</definedName>
    <definedName name="cmiercjrice_7" localSheetId="15">#REF!</definedName>
    <definedName name="cmiercjrice_7" localSheetId="8">#REF!</definedName>
    <definedName name="cmiercjrice_7">#REF!</definedName>
    <definedName name="CX" localSheetId="9">#REF!</definedName>
    <definedName name="CX" localSheetId="2">#REF!</definedName>
    <definedName name="CX" localSheetId="10">#REF!</definedName>
    <definedName name="CX" localSheetId="3">#REF!</definedName>
    <definedName name="CX" localSheetId="13">#REF!</definedName>
    <definedName name="CX" localSheetId="6">#REF!</definedName>
    <definedName name="CX" localSheetId="7">#REF!</definedName>
    <definedName name="CX" localSheetId="15">#REF!</definedName>
    <definedName name="CX" localSheetId="8">#REF!</definedName>
    <definedName name="CX">#REF!</definedName>
    <definedName name="D" localSheetId="9">#REF!</definedName>
    <definedName name="D" localSheetId="2">#REF!</definedName>
    <definedName name="D" localSheetId="10">#REF!</definedName>
    <definedName name="D" localSheetId="3">#REF!</definedName>
    <definedName name="D" localSheetId="13">#REF!</definedName>
    <definedName name="D" localSheetId="6">#REF!</definedName>
    <definedName name="D" localSheetId="7">#REF!</definedName>
    <definedName name="D" localSheetId="15">#REF!</definedName>
    <definedName name="D" localSheetId="8">#REF!</definedName>
    <definedName name="D">#REF!</definedName>
    <definedName name="data">[4]data!$B$2:$AH$790</definedName>
    <definedName name="DeliverBag" localSheetId="9">[3]Assumptions!#REF!</definedName>
    <definedName name="DeliverBag" localSheetId="2">[3]Assumptions!#REF!</definedName>
    <definedName name="DeliverBag" localSheetId="10">[3]Assumptions!#REF!</definedName>
    <definedName name="DeliverBag" localSheetId="3">[3]Assumptions!#REF!</definedName>
    <definedName name="DeliverBag" localSheetId="13">[3]Assumptions!#REF!</definedName>
    <definedName name="DeliverBag" localSheetId="6">[3]Assumptions!#REF!</definedName>
    <definedName name="DeliverBag" localSheetId="7">[3]Assumptions!#REF!</definedName>
    <definedName name="DeliverBag" localSheetId="15">[3]Assumptions!#REF!</definedName>
    <definedName name="DeliverBag" localSheetId="8">[3]Assumptions!#REF!</definedName>
    <definedName name="DeliverBag">[3]Assumptions!#REF!</definedName>
    <definedName name="DevCost">[2]Assumptions!$F$68</definedName>
    <definedName name="diana" localSheetId="9">#REF!</definedName>
    <definedName name="diana" localSheetId="2">#REF!</definedName>
    <definedName name="diana" localSheetId="10">#REF!</definedName>
    <definedName name="diana" localSheetId="3">#REF!</definedName>
    <definedName name="diana" localSheetId="13">#REF!</definedName>
    <definedName name="diana" localSheetId="6">#REF!</definedName>
    <definedName name="diana" localSheetId="7">#REF!</definedName>
    <definedName name="diana" localSheetId="15">#REF!</definedName>
    <definedName name="diana" localSheetId="8">#REF!</definedName>
    <definedName name="diana">#REF!</definedName>
    <definedName name="dianaLicop0" localSheetId="9">#REF!</definedName>
    <definedName name="dianaLicop0" localSheetId="2">#REF!</definedName>
    <definedName name="dianaLicop0" localSheetId="10">#REF!</definedName>
    <definedName name="dianaLicop0" localSheetId="3">#REF!</definedName>
    <definedName name="dianaLicop0" localSheetId="13">#REF!</definedName>
    <definedName name="dianaLicop0" localSheetId="6">#REF!</definedName>
    <definedName name="dianaLicop0" localSheetId="7">#REF!</definedName>
    <definedName name="dianaLicop0" localSheetId="15">#REF!</definedName>
    <definedName name="dianaLicop0" localSheetId="8">#REF!</definedName>
    <definedName name="dianaLicop0">#REF!</definedName>
    <definedName name="Dolores" localSheetId="9">#REF!</definedName>
    <definedName name="Dolores" localSheetId="2">#REF!</definedName>
    <definedName name="Dolores" localSheetId="10">#REF!</definedName>
    <definedName name="Dolores" localSheetId="3">#REF!</definedName>
    <definedName name="Dolores" localSheetId="13">#REF!</definedName>
    <definedName name="Dolores" localSheetId="6">#REF!</definedName>
    <definedName name="Dolores" localSheetId="7">#REF!</definedName>
    <definedName name="Dolores" localSheetId="15">#REF!</definedName>
    <definedName name="Dolores" localSheetId="8">#REF!</definedName>
    <definedName name="Dolores">#REF!</definedName>
    <definedName name="FAR" localSheetId="9">[3]Assumptions!#REF!</definedName>
    <definedName name="FAR" localSheetId="2">[3]Assumptions!#REF!</definedName>
    <definedName name="FAR" localSheetId="10">[3]Assumptions!#REF!</definedName>
    <definedName name="FAR" localSheetId="3">[3]Assumptions!#REF!</definedName>
    <definedName name="FAR" localSheetId="13">[3]Assumptions!#REF!</definedName>
    <definedName name="FAR" localSheetId="6">[3]Assumptions!#REF!</definedName>
    <definedName name="FAR" localSheetId="7">[3]Assumptions!#REF!</definedName>
    <definedName name="FAR" localSheetId="15">[3]Assumptions!#REF!</definedName>
    <definedName name="FAR" localSheetId="8">[3]Assumptions!#REF!</definedName>
    <definedName name="FAR">[3]Assumptions!#REF!</definedName>
    <definedName name="FAR_4" localSheetId="9">[1]Assumptions!#REF!</definedName>
    <definedName name="FAR_4" localSheetId="2">[1]Assumptions!#REF!</definedName>
    <definedName name="FAR_4" localSheetId="10">[1]Assumptions!#REF!</definedName>
    <definedName name="FAR_4" localSheetId="3">[1]Assumptions!#REF!</definedName>
    <definedName name="FAR_4" localSheetId="13">[1]Assumptions!#REF!</definedName>
    <definedName name="FAR_4" localSheetId="6">[1]Assumptions!#REF!</definedName>
    <definedName name="FAR_4" localSheetId="7">[1]Assumptions!#REF!</definedName>
    <definedName name="FAR_4" localSheetId="15">[1]Assumptions!#REF!</definedName>
    <definedName name="FAR_4" localSheetId="8">[1]Assumptions!#REF!</definedName>
    <definedName name="FAR_4">[1]Assumptions!#REF!</definedName>
    <definedName name="ferla2" localSheetId="9">#REF!</definedName>
    <definedName name="ferla2" localSheetId="2">#REF!</definedName>
    <definedName name="ferla2" localSheetId="10">#REF!</definedName>
    <definedName name="ferla2" localSheetId="3">#REF!</definedName>
    <definedName name="ferla2" localSheetId="13">#REF!</definedName>
    <definedName name="ferla2" localSheetId="6">#REF!</definedName>
    <definedName name="ferla2" localSheetId="7">#REF!</definedName>
    <definedName name="ferla2" localSheetId="15">#REF!</definedName>
    <definedName name="ferla2" localSheetId="8">#REF!</definedName>
    <definedName name="ferla2">#REF!</definedName>
    <definedName name="figures_max" localSheetId="9">#REF!</definedName>
    <definedName name="figures_max" localSheetId="2">#REF!</definedName>
    <definedName name="figures_max" localSheetId="10">#REF!</definedName>
    <definedName name="figures_max" localSheetId="3">#REF!</definedName>
    <definedName name="figures_max" localSheetId="13">#REF!</definedName>
    <definedName name="figures_max" localSheetId="6">#REF!</definedName>
    <definedName name="figures_max" localSheetId="7">#REF!</definedName>
    <definedName name="figures_max" localSheetId="15">#REF!</definedName>
    <definedName name="figures_max" localSheetId="8">#REF!</definedName>
    <definedName name="figures_max">#REF!</definedName>
    <definedName name="figures_max_1" localSheetId="9">#REF!</definedName>
    <definedName name="figures_max_1" localSheetId="2">#REF!</definedName>
    <definedName name="figures_max_1" localSheetId="10">#REF!</definedName>
    <definedName name="figures_max_1" localSheetId="3">#REF!</definedName>
    <definedName name="figures_max_1" localSheetId="13">#REF!</definedName>
    <definedName name="figures_max_1" localSheetId="6">#REF!</definedName>
    <definedName name="figures_max_1" localSheetId="7">#REF!</definedName>
    <definedName name="figures_max_1" localSheetId="15">#REF!</definedName>
    <definedName name="figures_max_1" localSheetId="8">#REF!</definedName>
    <definedName name="figures_max_1">#REF!</definedName>
    <definedName name="figures_min" localSheetId="9">#REF!</definedName>
    <definedName name="figures_min" localSheetId="2">#REF!</definedName>
    <definedName name="figures_min" localSheetId="10">#REF!</definedName>
    <definedName name="figures_min" localSheetId="3">#REF!</definedName>
    <definedName name="figures_min" localSheetId="13">#REF!</definedName>
    <definedName name="figures_min" localSheetId="6">#REF!</definedName>
    <definedName name="figures_min" localSheetId="7">#REF!</definedName>
    <definedName name="figures_min" localSheetId="15">#REF!</definedName>
    <definedName name="figures_min" localSheetId="8">#REF!</definedName>
    <definedName name="figures_min">#REF!</definedName>
    <definedName name="figures_min_1" localSheetId="9">#REF!</definedName>
    <definedName name="figures_min_1" localSheetId="2">#REF!</definedName>
    <definedName name="figures_min_1" localSheetId="10">#REF!</definedName>
    <definedName name="figures_min_1" localSheetId="3">#REF!</definedName>
    <definedName name="figures_min_1" localSheetId="13">#REF!</definedName>
    <definedName name="figures_min_1" localSheetId="6">#REF!</definedName>
    <definedName name="figures_min_1" localSheetId="7">#REF!</definedName>
    <definedName name="figures_min_1" localSheetId="15">#REF!</definedName>
    <definedName name="figures_min_1" localSheetId="8">#REF!</definedName>
    <definedName name="figures_min_1">#REF!</definedName>
    <definedName name="G" localSheetId="9">#REF!</definedName>
    <definedName name="G" localSheetId="2">#REF!</definedName>
    <definedName name="G" localSheetId="10">#REF!</definedName>
    <definedName name="G" localSheetId="3">#REF!</definedName>
    <definedName name="G" localSheetId="13">#REF!</definedName>
    <definedName name="G" localSheetId="6">#REF!</definedName>
    <definedName name="G" localSheetId="7">#REF!</definedName>
    <definedName name="G" localSheetId="15">#REF!</definedName>
    <definedName name="G" localSheetId="8">#REF!</definedName>
    <definedName name="G">#REF!</definedName>
    <definedName name="GAE">[2]Assumptions!$E$80</definedName>
    <definedName name="GemmabeL" localSheetId="9">#REF!</definedName>
    <definedName name="GemmabeL" localSheetId="2">#REF!</definedName>
    <definedName name="GemmabeL" localSheetId="10">#REF!</definedName>
    <definedName name="GemmabeL" localSheetId="3">#REF!</definedName>
    <definedName name="GemmabeL" localSheetId="13">#REF!</definedName>
    <definedName name="GemmabeL" localSheetId="6">#REF!</definedName>
    <definedName name="GemmabeL" localSheetId="7">#REF!</definedName>
    <definedName name="GemmabeL" localSheetId="15">#REF!</definedName>
    <definedName name="GemmabeL" localSheetId="8">#REF!</definedName>
    <definedName name="GemmabeL">#REF!</definedName>
    <definedName name="H" localSheetId="9">#REF!</definedName>
    <definedName name="H" localSheetId="2">#REF!</definedName>
    <definedName name="H" localSheetId="10">#REF!</definedName>
    <definedName name="H" localSheetId="3">#REF!</definedName>
    <definedName name="H" localSheetId="13">#REF!</definedName>
    <definedName name="H" localSheetId="6">#REF!</definedName>
    <definedName name="H" localSheetId="7">#REF!</definedName>
    <definedName name="H" localSheetId="15">#REF!</definedName>
    <definedName name="H" localSheetId="8">#REF!</definedName>
    <definedName name="H">#REF!</definedName>
    <definedName name="Heraclene888" localSheetId="9">#REF!</definedName>
    <definedName name="Heraclene888" localSheetId="2">#REF!</definedName>
    <definedName name="Heraclene888" localSheetId="10">#REF!</definedName>
    <definedName name="Heraclene888" localSheetId="3">#REF!</definedName>
    <definedName name="Heraclene888" localSheetId="13">#REF!</definedName>
    <definedName name="Heraclene888" localSheetId="6">#REF!</definedName>
    <definedName name="Heraclene888" localSheetId="7">#REF!</definedName>
    <definedName name="Heraclene888" localSheetId="15">#REF!</definedName>
    <definedName name="Heraclene888" localSheetId="8">#REF!</definedName>
    <definedName name="Heraclene888">#REF!</definedName>
    <definedName name="hILLSIDE" localSheetId="9">#REF!</definedName>
    <definedName name="hILLSIDE" localSheetId="2">#REF!</definedName>
    <definedName name="hILLSIDE" localSheetId="10">#REF!</definedName>
    <definedName name="hILLSIDE" localSheetId="3">#REF!</definedName>
    <definedName name="hILLSIDE" localSheetId="13">#REF!</definedName>
    <definedName name="hILLSIDE" localSheetId="6">#REF!</definedName>
    <definedName name="hILLSIDE" localSheetId="7">#REF!</definedName>
    <definedName name="hILLSIDE" localSheetId="15">#REF!</definedName>
    <definedName name="hILLSIDE" localSheetId="8">#REF!</definedName>
    <definedName name="hILLSIDE">#REF!</definedName>
    <definedName name="hsproject143" localSheetId="9">#REF!</definedName>
    <definedName name="hsproject143" localSheetId="2">#REF!</definedName>
    <definedName name="hsproject143" localSheetId="10">#REF!</definedName>
    <definedName name="hsproject143" localSheetId="3">#REF!</definedName>
    <definedName name="hsproject143" localSheetId="13">#REF!</definedName>
    <definedName name="hsproject143" localSheetId="6">#REF!</definedName>
    <definedName name="hsproject143" localSheetId="7">#REF!</definedName>
    <definedName name="hsproject143" localSheetId="15">#REF!</definedName>
    <definedName name="hsproject143" localSheetId="8">#REF!</definedName>
    <definedName name="hsproject143">#REF!</definedName>
    <definedName name="I" localSheetId="9">#REF!</definedName>
    <definedName name="I" localSheetId="2">#REF!</definedName>
    <definedName name="I" localSheetId="10">#REF!</definedName>
    <definedName name="I" localSheetId="3">#REF!</definedName>
    <definedName name="I" localSheetId="13">#REF!</definedName>
    <definedName name="I" localSheetId="6">#REF!</definedName>
    <definedName name="I" localSheetId="7">#REF!</definedName>
    <definedName name="I" localSheetId="15">#REF!</definedName>
    <definedName name="I" localSheetId="8">#REF!</definedName>
    <definedName name="I">#REF!</definedName>
    <definedName name="Ikay" localSheetId="9">#REF!</definedName>
    <definedName name="Ikay" localSheetId="2">#REF!</definedName>
    <definedName name="Ikay" localSheetId="10">#REF!</definedName>
    <definedName name="Ikay" localSheetId="3">#REF!</definedName>
    <definedName name="Ikay" localSheetId="13">#REF!</definedName>
    <definedName name="Ikay" localSheetId="6">#REF!</definedName>
    <definedName name="Ikay" localSheetId="7">#REF!</definedName>
    <definedName name="Ikay" localSheetId="15">#REF!</definedName>
    <definedName name="Ikay" localSheetId="8">#REF!</definedName>
    <definedName name="Ikay">#REF!</definedName>
    <definedName name="IL" localSheetId="9">#REF!</definedName>
    <definedName name="IL" localSheetId="2">#REF!</definedName>
    <definedName name="IL" localSheetId="10">#REF!</definedName>
    <definedName name="IL" localSheetId="3">#REF!</definedName>
    <definedName name="IL" localSheetId="13">#REF!</definedName>
    <definedName name="IL" localSheetId="6">#REF!</definedName>
    <definedName name="IL" localSheetId="7">#REF!</definedName>
    <definedName name="IL" localSheetId="15">#REF!</definedName>
    <definedName name="IL" localSheetId="8">#REF!</definedName>
    <definedName name="IL">#REF!</definedName>
    <definedName name="ILInoise_4" localSheetId="9">#REF!</definedName>
    <definedName name="ILInoise_4" localSheetId="2">#REF!</definedName>
    <definedName name="ILInoise_4" localSheetId="10">#REF!</definedName>
    <definedName name="ILInoise_4" localSheetId="3">#REF!</definedName>
    <definedName name="ILInoise_4" localSheetId="13">#REF!</definedName>
    <definedName name="ILInoise_4" localSheetId="6">#REF!</definedName>
    <definedName name="ILInoise_4" localSheetId="7">#REF!</definedName>
    <definedName name="ILInoise_4" localSheetId="15">#REF!</definedName>
    <definedName name="ILInoise_4" localSheetId="8">#REF!</definedName>
    <definedName name="ILInoise_4">#REF!</definedName>
    <definedName name="ILOVEYOU" localSheetId="9">#REF!</definedName>
    <definedName name="ILOVEYOU" localSheetId="2">#REF!</definedName>
    <definedName name="ILOVEYOU" localSheetId="10">#REF!</definedName>
    <definedName name="ILOVEYOU" localSheetId="3">#REF!</definedName>
    <definedName name="ILOVEYOU" localSheetId="13">#REF!</definedName>
    <definedName name="ILOVEYOU" localSheetId="6">#REF!</definedName>
    <definedName name="ILOVEYOU" localSheetId="7">#REF!</definedName>
    <definedName name="ILOVEYOU" localSheetId="15">#REF!</definedName>
    <definedName name="ILOVEYOU" localSheetId="8">#REF!</definedName>
    <definedName name="ILOVEYOU">#REF!</definedName>
    <definedName name="Jan_I11" localSheetId="9">#REF!</definedName>
    <definedName name="Jan_I11" localSheetId="2">#REF!</definedName>
    <definedName name="Jan_I11" localSheetId="10">#REF!</definedName>
    <definedName name="Jan_I11" localSheetId="3">#REF!</definedName>
    <definedName name="Jan_I11" localSheetId="13">#REF!</definedName>
    <definedName name="Jan_I11" localSheetId="6">#REF!</definedName>
    <definedName name="Jan_I11" localSheetId="7">#REF!</definedName>
    <definedName name="Jan_I11" localSheetId="15">#REF!</definedName>
    <definedName name="Jan_I11" localSheetId="8">#REF!</definedName>
    <definedName name="Jan_I11">#REF!</definedName>
    <definedName name="Javasz" localSheetId="9">#REF!</definedName>
    <definedName name="Javasz" localSheetId="2">#REF!</definedName>
    <definedName name="Javasz" localSheetId="10">#REF!</definedName>
    <definedName name="Javasz" localSheetId="3">#REF!</definedName>
    <definedName name="Javasz" localSheetId="13">#REF!</definedName>
    <definedName name="Javasz" localSheetId="6">#REF!</definedName>
    <definedName name="Javasz" localSheetId="7">#REF!</definedName>
    <definedName name="Javasz" localSheetId="15">#REF!</definedName>
    <definedName name="Javasz" localSheetId="8">#REF!</definedName>
    <definedName name="Javasz">#REF!</definedName>
    <definedName name="Javz" localSheetId="9">#REF!</definedName>
    <definedName name="Javz" localSheetId="2">#REF!</definedName>
    <definedName name="Javz" localSheetId="10">#REF!</definedName>
    <definedName name="Javz" localSheetId="3">#REF!</definedName>
    <definedName name="Javz" localSheetId="13">#REF!</definedName>
    <definedName name="Javz" localSheetId="6">#REF!</definedName>
    <definedName name="Javz" localSheetId="7">#REF!</definedName>
    <definedName name="Javz" localSheetId="15">#REF!</definedName>
    <definedName name="Javz" localSheetId="8">#REF!</definedName>
    <definedName name="Javz">#REF!</definedName>
    <definedName name="Jessa" localSheetId="9">#REF!</definedName>
    <definedName name="Jessa" localSheetId="2">#REF!</definedName>
    <definedName name="Jessa" localSheetId="10">#REF!</definedName>
    <definedName name="Jessa" localSheetId="3">#REF!</definedName>
    <definedName name="Jessa" localSheetId="13">#REF!</definedName>
    <definedName name="Jessa" localSheetId="6">#REF!</definedName>
    <definedName name="Jessa" localSheetId="7">#REF!</definedName>
    <definedName name="Jessa" localSheetId="15">#REF!</definedName>
    <definedName name="Jessa" localSheetId="8">#REF!</definedName>
    <definedName name="Jessa">#REF!</definedName>
    <definedName name="jfjk4r" localSheetId="9">#REF!</definedName>
    <definedName name="jfjk4r" localSheetId="2">#REF!</definedName>
    <definedName name="jfjk4r" localSheetId="10">#REF!</definedName>
    <definedName name="jfjk4r" localSheetId="3">#REF!</definedName>
    <definedName name="jfjk4r" localSheetId="13">#REF!</definedName>
    <definedName name="jfjk4r" localSheetId="6">#REF!</definedName>
    <definedName name="jfjk4r" localSheetId="7">#REF!</definedName>
    <definedName name="jfjk4r" localSheetId="15">#REF!</definedName>
    <definedName name="jfjk4r" localSheetId="8">#REF!</definedName>
    <definedName name="jfjk4r">#REF!</definedName>
    <definedName name="jicueiufe3" localSheetId="9">#REF!</definedName>
    <definedName name="jicueiufe3" localSheetId="2">#REF!</definedName>
    <definedName name="jicueiufe3" localSheetId="10">#REF!</definedName>
    <definedName name="jicueiufe3" localSheetId="3">#REF!</definedName>
    <definedName name="jicueiufe3" localSheetId="13">#REF!</definedName>
    <definedName name="jicueiufe3" localSheetId="6">#REF!</definedName>
    <definedName name="jicueiufe3" localSheetId="7">#REF!</definedName>
    <definedName name="jicueiufe3" localSheetId="15">#REF!</definedName>
    <definedName name="jicueiufe3" localSheetId="8">#REF!</definedName>
    <definedName name="jicueiufe3">#REF!</definedName>
    <definedName name="JKJEWJE9" localSheetId="9">#REF!</definedName>
    <definedName name="JKJEWJE9" localSheetId="2">#REF!</definedName>
    <definedName name="JKJEWJE9" localSheetId="10">#REF!</definedName>
    <definedName name="JKJEWJE9" localSheetId="3">#REF!</definedName>
    <definedName name="JKJEWJE9" localSheetId="13">#REF!</definedName>
    <definedName name="JKJEWJE9" localSheetId="6">#REF!</definedName>
    <definedName name="JKJEWJE9" localSheetId="7">#REF!</definedName>
    <definedName name="JKJEWJE9" localSheetId="15">#REF!</definedName>
    <definedName name="JKJEWJE9" localSheetId="8">#REF!</definedName>
    <definedName name="JKJEWJE9">#REF!</definedName>
    <definedName name="Joice" localSheetId="9">#REF!</definedName>
    <definedName name="Joice" localSheetId="2">#REF!</definedName>
    <definedName name="Joice" localSheetId="10">#REF!</definedName>
    <definedName name="Joice" localSheetId="3">#REF!</definedName>
    <definedName name="Joice" localSheetId="13">#REF!</definedName>
    <definedName name="Joice" localSheetId="6">#REF!</definedName>
    <definedName name="Joice" localSheetId="7">#REF!</definedName>
    <definedName name="Joice" localSheetId="15">#REF!</definedName>
    <definedName name="Joice" localSheetId="8">#REF!</definedName>
    <definedName name="Joice">#REF!</definedName>
    <definedName name="Joice101" localSheetId="9">#REF!</definedName>
    <definedName name="Joice101" localSheetId="2">#REF!</definedName>
    <definedName name="Joice101" localSheetId="10">#REF!</definedName>
    <definedName name="Joice101" localSheetId="3">#REF!</definedName>
    <definedName name="Joice101" localSheetId="13">#REF!</definedName>
    <definedName name="Joice101" localSheetId="6">#REF!</definedName>
    <definedName name="Joice101" localSheetId="7">#REF!</definedName>
    <definedName name="Joice101" localSheetId="15">#REF!</definedName>
    <definedName name="Joice101" localSheetId="8">#REF!</definedName>
    <definedName name="Joice101">#REF!</definedName>
    <definedName name="Joice123" localSheetId="9">#REF!</definedName>
    <definedName name="Joice123" localSheetId="2">#REF!</definedName>
    <definedName name="Joice123" localSheetId="10">#REF!</definedName>
    <definedName name="Joice123" localSheetId="3">#REF!</definedName>
    <definedName name="Joice123" localSheetId="13">#REF!</definedName>
    <definedName name="Joice123" localSheetId="6">#REF!</definedName>
    <definedName name="Joice123" localSheetId="7">#REF!</definedName>
    <definedName name="Joice123" localSheetId="15">#REF!</definedName>
    <definedName name="Joice123" localSheetId="8">#REF!</definedName>
    <definedName name="Joice123">#REF!</definedName>
    <definedName name="K" localSheetId="9">#REF!</definedName>
    <definedName name="K" localSheetId="2">#REF!</definedName>
    <definedName name="K" localSheetId="10">#REF!</definedName>
    <definedName name="K" localSheetId="3">#REF!</definedName>
    <definedName name="K" localSheetId="13">#REF!</definedName>
    <definedName name="K" localSheetId="6">#REF!</definedName>
    <definedName name="K" localSheetId="7">#REF!</definedName>
    <definedName name="K" localSheetId="15">#REF!</definedName>
    <definedName name="K" localSheetId="8">#REF!</definedName>
    <definedName name="K">#REF!</definedName>
    <definedName name="kARE" localSheetId="9">#REF!</definedName>
    <definedName name="kARE" localSheetId="2">#REF!</definedName>
    <definedName name="kARE" localSheetId="10">#REF!</definedName>
    <definedName name="kARE" localSheetId="3">#REF!</definedName>
    <definedName name="kARE" localSheetId="13">#REF!</definedName>
    <definedName name="kARE" localSheetId="6">#REF!</definedName>
    <definedName name="kARE" localSheetId="7">#REF!</definedName>
    <definedName name="kARE" localSheetId="15">#REF!</definedName>
    <definedName name="kARE" localSheetId="8">#REF!</definedName>
    <definedName name="kARE">#REF!</definedName>
    <definedName name="kclkd2" localSheetId="9">#REF!</definedName>
    <definedName name="kclkd2" localSheetId="2">#REF!</definedName>
    <definedName name="kclkd2" localSheetId="10">#REF!</definedName>
    <definedName name="kclkd2" localSheetId="3">#REF!</definedName>
    <definedName name="kclkd2" localSheetId="13">#REF!</definedName>
    <definedName name="kclkd2" localSheetId="6">#REF!</definedName>
    <definedName name="kclkd2" localSheetId="7">#REF!</definedName>
    <definedName name="kclkd2" localSheetId="15">#REF!</definedName>
    <definedName name="kclkd2" localSheetId="8">#REF!</definedName>
    <definedName name="kclkd2">#REF!</definedName>
    <definedName name="L" localSheetId="9">#REF!</definedName>
    <definedName name="L" localSheetId="2">#REF!</definedName>
    <definedName name="L" localSheetId="10">#REF!</definedName>
    <definedName name="L" localSheetId="3">#REF!</definedName>
    <definedName name="L" localSheetId="13">#REF!</definedName>
    <definedName name="L" localSheetId="6">#REF!</definedName>
    <definedName name="L" localSheetId="7">#REF!</definedName>
    <definedName name="L" localSheetId="15">#REF!</definedName>
    <definedName name="L" localSheetId="8">#REF!</definedName>
    <definedName name="L">#REF!</definedName>
    <definedName name="LandownerShare">[3]Assumptions!$E$132</definedName>
    <definedName name="Lots" localSheetId="9">[2]Assumptions!#REF!</definedName>
    <definedName name="Lots" localSheetId="2">[2]Assumptions!#REF!</definedName>
    <definedName name="Lots" localSheetId="10">[2]Assumptions!#REF!</definedName>
    <definedName name="Lots" localSheetId="3">[2]Assumptions!#REF!</definedName>
    <definedName name="Lots" localSheetId="13">[2]Assumptions!#REF!</definedName>
    <definedName name="Lots" localSheetId="6">[2]Assumptions!#REF!</definedName>
    <definedName name="Lots" localSheetId="7">[2]Assumptions!#REF!</definedName>
    <definedName name="Lots" localSheetId="15">[2]Assumptions!#REF!</definedName>
    <definedName name="Lots" localSheetId="8">[2]Assumptions!#REF!</definedName>
    <definedName name="Lots">[2]Assumptions!#REF!</definedName>
    <definedName name="Manolo_fern" localSheetId="9">#REF!</definedName>
    <definedName name="Manolo_fern" localSheetId="2">#REF!</definedName>
    <definedName name="Manolo_fern" localSheetId="10">#REF!</definedName>
    <definedName name="Manolo_fern" localSheetId="3">#REF!</definedName>
    <definedName name="Manolo_fern" localSheetId="13">#REF!</definedName>
    <definedName name="Manolo_fern" localSheetId="6">#REF!</definedName>
    <definedName name="Manolo_fern" localSheetId="7">#REF!</definedName>
    <definedName name="Manolo_fern" localSheetId="15">#REF!</definedName>
    <definedName name="Manolo_fern" localSheetId="8">#REF!</definedName>
    <definedName name="Manolo_fern">#REF!</definedName>
    <definedName name="Manolo777" localSheetId="9">#REF!</definedName>
    <definedName name="Manolo777" localSheetId="2">#REF!</definedName>
    <definedName name="Manolo777" localSheetId="10">#REF!</definedName>
    <definedName name="Manolo777" localSheetId="3">#REF!</definedName>
    <definedName name="Manolo777" localSheetId="13">#REF!</definedName>
    <definedName name="Manolo777" localSheetId="6">#REF!</definedName>
    <definedName name="Manolo777" localSheetId="7">#REF!</definedName>
    <definedName name="Manolo777" localSheetId="15">#REF!</definedName>
    <definedName name="Manolo777" localSheetId="8">#REF!</definedName>
    <definedName name="Manolo777">#REF!</definedName>
    <definedName name="MAnolo999" localSheetId="9">#REF!</definedName>
    <definedName name="MAnolo999" localSheetId="2">#REF!</definedName>
    <definedName name="MAnolo999" localSheetId="10">#REF!</definedName>
    <definedName name="MAnolo999" localSheetId="3">#REF!</definedName>
    <definedName name="MAnolo999" localSheetId="13">#REF!</definedName>
    <definedName name="MAnolo999" localSheetId="6">#REF!</definedName>
    <definedName name="MAnolo999" localSheetId="7">#REF!</definedName>
    <definedName name="MAnolo999" localSheetId="15">#REF!</definedName>
    <definedName name="MAnolo999" localSheetId="8">#REF!</definedName>
    <definedName name="MAnolo999">#REF!</definedName>
    <definedName name="Miscellaneous">[2]Assumptions!$E$74</definedName>
    <definedName name="N" localSheetId="9">#REF!</definedName>
    <definedName name="N" localSheetId="2">#REF!</definedName>
    <definedName name="N" localSheetId="10">#REF!</definedName>
    <definedName name="N" localSheetId="3">#REF!</definedName>
    <definedName name="N" localSheetId="13">#REF!</definedName>
    <definedName name="N" localSheetId="6">#REF!</definedName>
    <definedName name="N" localSheetId="7">#REF!</definedName>
    <definedName name="N" localSheetId="15">#REF!</definedName>
    <definedName name="N" localSheetId="8">#REF!</definedName>
    <definedName name="N">#REF!</definedName>
    <definedName name="O" localSheetId="9">#REF!</definedName>
    <definedName name="O" localSheetId="2">#REF!</definedName>
    <definedName name="O" localSheetId="10">#REF!</definedName>
    <definedName name="O" localSheetId="3">#REF!</definedName>
    <definedName name="O" localSheetId="13">#REF!</definedName>
    <definedName name="O" localSheetId="6">#REF!</definedName>
    <definedName name="O" localSheetId="7">#REF!</definedName>
    <definedName name="O" localSheetId="15">#REF!</definedName>
    <definedName name="O" localSheetId="8">#REF!</definedName>
    <definedName name="O">#REF!</definedName>
    <definedName name="Okay" localSheetId="9">#REF!</definedName>
    <definedName name="Okay" localSheetId="2">#REF!</definedName>
    <definedName name="Okay" localSheetId="10">#REF!</definedName>
    <definedName name="Okay" localSheetId="3">#REF!</definedName>
    <definedName name="Okay" localSheetId="13">#REF!</definedName>
    <definedName name="Okay" localSheetId="6">#REF!</definedName>
    <definedName name="Okay" localSheetId="7">#REF!</definedName>
    <definedName name="Okay" localSheetId="15">#REF!</definedName>
    <definedName name="Okay" localSheetId="8">#REF!</definedName>
    <definedName name="Okay">#REF!</definedName>
    <definedName name="okay101" localSheetId="9">#REF!</definedName>
    <definedName name="okay101" localSheetId="2">#REF!</definedName>
    <definedName name="okay101" localSheetId="10">#REF!</definedName>
    <definedName name="okay101" localSheetId="3">#REF!</definedName>
    <definedName name="okay101" localSheetId="13">#REF!</definedName>
    <definedName name="okay101" localSheetId="6">#REF!</definedName>
    <definedName name="okay101" localSheetId="7">#REF!</definedName>
    <definedName name="okay101" localSheetId="15">#REF!</definedName>
    <definedName name="okay101" localSheetId="8">#REF!</definedName>
    <definedName name="okay101">#REF!</definedName>
    <definedName name="oks_98" localSheetId="9">#REF!</definedName>
    <definedName name="oks_98" localSheetId="2">#REF!</definedName>
    <definedName name="oks_98" localSheetId="10">#REF!</definedName>
    <definedName name="oks_98" localSheetId="3">#REF!</definedName>
    <definedName name="oks_98" localSheetId="13">#REF!</definedName>
    <definedName name="oks_98" localSheetId="6">#REF!</definedName>
    <definedName name="oks_98" localSheetId="7">#REF!</definedName>
    <definedName name="oks_98" localSheetId="15">#REF!</definedName>
    <definedName name="oks_98" localSheetId="8">#REF!</definedName>
    <definedName name="oks_98">#REF!</definedName>
    <definedName name="Ouding" localSheetId="9">#REF!</definedName>
    <definedName name="Ouding" localSheetId="2">#REF!</definedName>
    <definedName name="Ouding" localSheetId="10">#REF!</definedName>
    <definedName name="Ouding" localSheetId="3">#REF!</definedName>
    <definedName name="Ouding" localSheetId="13">#REF!</definedName>
    <definedName name="Ouding" localSheetId="6">#REF!</definedName>
    <definedName name="Ouding" localSheetId="7">#REF!</definedName>
    <definedName name="Ouding" localSheetId="15">#REF!</definedName>
    <definedName name="Ouding" localSheetId="8">#REF!</definedName>
    <definedName name="Ouding">#REF!</definedName>
    <definedName name="P" localSheetId="9">#REF!</definedName>
    <definedName name="P" localSheetId="2">#REF!</definedName>
    <definedName name="P" localSheetId="10">#REF!</definedName>
    <definedName name="P" localSheetId="3">#REF!</definedName>
    <definedName name="P" localSheetId="13">#REF!</definedName>
    <definedName name="P" localSheetId="6">#REF!</definedName>
    <definedName name="P" localSheetId="7">#REF!</definedName>
    <definedName name="P" localSheetId="15">#REF!</definedName>
    <definedName name="P" localSheetId="8">#REF!</definedName>
    <definedName name="P">#REF!</definedName>
    <definedName name="peodp3." localSheetId="9">#REF!</definedName>
    <definedName name="peodp3." localSheetId="2">#REF!</definedName>
    <definedName name="peodp3." localSheetId="10">#REF!</definedName>
    <definedName name="peodp3." localSheetId="3">#REF!</definedName>
    <definedName name="peodp3." localSheetId="13">#REF!</definedName>
    <definedName name="peodp3." localSheetId="6">#REF!</definedName>
    <definedName name="peodp3." localSheetId="7">#REF!</definedName>
    <definedName name="peodp3." localSheetId="15">#REF!</definedName>
    <definedName name="peodp3." localSheetId="8">#REF!</definedName>
    <definedName name="peodp3.">#REF!</definedName>
    <definedName name="pivot" localSheetId="9">#REF!</definedName>
    <definedName name="pivot" localSheetId="2">#REF!</definedName>
    <definedName name="pivot" localSheetId="10">#REF!</definedName>
    <definedName name="pivot" localSheetId="3">#REF!</definedName>
    <definedName name="pivot" localSheetId="13">#REF!</definedName>
    <definedName name="pivot" localSheetId="6">#REF!</definedName>
    <definedName name="pivot" localSheetId="7">#REF!</definedName>
    <definedName name="pivot" localSheetId="15">#REF!</definedName>
    <definedName name="pivot" localSheetId="8">#REF!</definedName>
    <definedName name="pivot">#REF!</definedName>
    <definedName name="pivot_1" localSheetId="9">#REF!</definedName>
    <definedName name="pivot_1" localSheetId="2">#REF!</definedName>
    <definedName name="pivot_1" localSheetId="10">#REF!</definedName>
    <definedName name="pivot_1" localSheetId="3">#REF!</definedName>
    <definedName name="pivot_1" localSheetId="13">#REF!</definedName>
    <definedName name="pivot_1" localSheetId="6">#REF!</definedName>
    <definedName name="pivot_1" localSheetId="7">#REF!</definedName>
    <definedName name="pivot_1" localSheetId="15">#REF!</definedName>
    <definedName name="pivot_1" localSheetId="8">#REF!</definedName>
    <definedName name="pivot_1">#REF!</definedName>
    <definedName name="PP" localSheetId="9">#REF!</definedName>
    <definedName name="PP" localSheetId="2">#REF!</definedName>
    <definedName name="PP" localSheetId="10">#REF!</definedName>
    <definedName name="PP" localSheetId="3">#REF!</definedName>
    <definedName name="PP" localSheetId="13">#REF!</definedName>
    <definedName name="PP" localSheetId="6">#REF!</definedName>
    <definedName name="PP" localSheetId="7">#REF!</definedName>
    <definedName name="PP" localSheetId="15">#REF!</definedName>
    <definedName name="PP" localSheetId="8">#REF!</definedName>
    <definedName name="PP">#REF!</definedName>
    <definedName name="_xlnm.Print_Area" localSheetId="9">CASH_Member!$A$1:$H$33</definedName>
    <definedName name="_xlnm.Print_Area" localSheetId="2">'CASH_Non-mem'!$A$1:$H$35</definedName>
    <definedName name="_xlnm.Print_Area" localSheetId="10">'DP Term1_Member'!$A$1:$H$82</definedName>
    <definedName name="_xlnm.Print_Area" localSheetId="3">'DP Term1_Non-mem'!$A$1:$H$84</definedName>
    <definedName name="_xlnm.Print_Area" localSheetId="4">'No DP Term1_Non-mem'!$A$1:$H$93</definedName>
    <definedName name="_xlnm.Print_Area" localSheetId="13">'No DP Term3_Member'!$A$1:$H$87</definedName>
    <definedName name="_xlnm.Print_Area" localSheetId="6">'No DP Term3_Non-mem'!$A$1:$H$89</definedName>
    <definedName name="_xlnm.Print_Area" localSheetId="14">'No DP Term4_Member'!$A$1:$L$94</definedName>
    <definedName name="_xlnm.Print_Area" localSheetId="7">'No DP Term4_Non-mem'!$A$1:$H$89</definedName>
    <definedName name="_xlnm.Print_Area" localSheetId="8">'No DP Term5_Non-mem'!$A$1:$H$98</definedName>
    <definedName name="_xlnm.Print_Titles" localSheetId="9">CASH_Member!$21:$21</definedName>
    <definedName name="_xlnm.Print_Titles" localSheetId="2">'CASH_Non-mem'!#REF!</definedName>
    <definedName name="_xlnm.Print_Titles" localSheetId="10">'DP Term1_Member'!#REF!</definedName>
    <definedName name="_xlnm.Print_Titles" localSheetId="12">'No DP Term2_Member'!$1:$6</definedName>
    <definedName name="_xlnm.Print_Titles" localSheetId="13">'No DP Term3_Member'!$20:$20</definedName>
    <definedName name="_xlnm.Print_Titles" localSheetId="6">'No DP Term3_Non-mem'!$22:$22</definedName>
    <definedName name="_xlnm.Print_Titles" localSheetId="7">'No DP Term4_Non-mem'!$29:$29</definedName>
    <definedName name="_xlnm.Print_Titles" localSheetId="8">'No DP Term5_Non-mem'!$29:$29</definedName>
    <definedName name="ProfFees">[2]Assumptions!$E$71</definedName>
    <definedName name="Q" localSheetId="9">#REF!</definedName>
    <definedName name="Q" localSheetId="2">#REF!</definedName>
    <definedName name="Q" localSheetId="10">#REF!</definedName>
    <definedName name="Q" localSheetId="3">#REF!</definedName>
    <definedName name="Q" localSheetId="13">#REF!</definedName>
    <definedName name="Q" localSheetId="6">#REF!</definedName>
    <definedName name="Q" localSheetId="7">#REF!</definedName>
    <definedName name="Q" localSheetId="15">#REF!</definedName>
    <definedName name="Q" localSheetId="8">#REF!</definedName>
    <definedName name="Q">#REF!</definedName>
    <definedName name="qqqqq" localSheetId="9">#REF!</definedName>
    <definedName name="qqqqq" localSheetId="2">#REF!</definedName>
    <definedName name="qqqqq" localSheetId="10">#REF!</definedName>
    <definedName name="qqqqq" localSheetId="3">#REF!</definedName>
    <definedName name="qqqqq" localSheetId="13">#REF!</definedName>
    <definedName name="qqqqq" localSheetId="6">#REF!</definedName>
    <definedName name="qqqqq" localSheetId="7">#REF!</definedName>
    <definedName name="qqqqq" localSheetId="15">#REF!</definedName>
    <definedName name="qqqqq" localSheetId="8">#REF!</definedName>
    <definedName name="qqqqq">#REF!</definedName>
    <definedName name="quezon203" localSheetId="9">#REF!</definedName>
    <definedName name="quezon203" localSheetId="2">#REF!</definedName>
    <definedName name="quezon203" localSheetId="10">#REF!</definedName>
    <definedName name="quezon203" localSheetId="3">#REF!</definedName>
    <definedName name="quezon203" localSheetId="13">#REF!</definedName>
    <definedName name="quezon203" localSheetId="6">#REF!</definedName>
    <definedName name="quezon203" localSheetId="7">#REF!</definedName>
    <definedName name="quezon203" localSheetId="15">#REF!</definedName>
    <definedName name="quezon203" localSheetId="8">#REF!</definedName>
    <definedName name="quezon203">#REF!</definedName>
    <definedName name="QXJ" localSheetId="9">#REF!</definedName>
    <definedName name="QXJ" localSheetId="2">#REF!</definedName>
    <definedName name="QXJ" localSheetId="10">#REF!</definedName>
    <definedName name="QXJ" localSheetId="3">#REF!</definedName>
    <definedName name="QXJ" localSheetId="13">#REF!</definedName>
    <definedName name="QXJ" localSheetId="6">#REF!</definedName>
    <definedName name="QXJ" localSheetId="7">#REF!</definedName>
    <definedName name="QXJ" localSheetId="15">#REF!</definedName>
    <definedName name="QXJ" localSheetId="8">#REF!</definedName>
    <definedName name="QXJ">#REF!</definedName>
    <definedName name="qzz0" localSheetId="9">#REF!</definedName>
    <definedName name="qzz0" localSheetId="2">#REF!</definedName>
    <definedName name="qzz0" localSheetId="10">#REF!</definedName>
    <definedName name="qzz0" localSheetId="3">#REF!</definedName>
    <definedName name="qzz0" localSheetId="13">#REF!</definedName>
    <definedName name="qzz0" localSheetId="6">#REF!</definedName>
    <definedName name="qzz0" localSheetId="7">#REF!</definedName>
    <definedName name="qzz0" localSheetId="15">#REF!</definedName>
    <definedName name="qzz0" localSheetId="8">#REF!</definedName>
    <definedName name="qzz0">#REF!</definedName>
    <definedName name="RPT">[2]Assumptions!$E$76</definedName>
    <definedName name="RRR" localSheetId="9">#REF!</definedName>
    <definedName name="RRR" localSheetId="2">#REF!</definedName>
    <definedName name="RRR" localSheetId="10">#REF!</definedName>
    <definedName name="RRR" localSheetId="3">#REF!</definedName>
    <definedName name="RRR" localSheetId="13">#REF!</definedName>
    <definedName name="RRR" localSheetId="6">#REF!</definedName>
    <definedName name="RRR" localSheetId="7">#REF!</definedName>
    <definedName name="RRR" localSheetId="15">#REF!</definedName>
    <definedName name="RRR" localSheetId="8">#REF!</definedName>
    <definedName name="RRR">#REF!</definedName>
    <definedName name="S" localSheetId="9">#REF!</definedName>
    <definedName name="S" localSheetId="2">#REF!</definedName>
    <definedName name="S" localSheetId="10">#REF!</definedName>
    <definedName name="S" localSheetId="3">#REF!</definedName>
    <definedName name="S" localSheetId="13">#REF!</definedName>
    <definedName name="S" localSheetId="6">#REF!</definedName>
    <definedName name="S" localSheetId="7">#REF!</definedName>
    <definedName name="S" localSheetId="15">#REF!</definedName>
    <definedName name="S" localSheetId="8">#REF!</definedName>
    <definedName name="S">#REF!</definedName>
    <definedName name="SeanARrrom" localSheetId="9">#REF!</definedName>
    <definedName name="SeanARrrom" localSheetId="2">#REF!</definedName>
    <definedName name="SeanARrrom" localSheetId="10">#REF!</definedName>
    <definedName name="SeanARrrom" localSheetId="3">#REF!</definedName>
    <definedName name="SeanARrrom" localSheetId="13">#REF!</definedName>
    <definedName name="SeanARrrom" localSheetId="6">#REF!</definedName>
    <definedName name="SeanARrrom" localSheetId="7">#REF!</definedName>
    <definedName name="SeanARrrom" localSheetId="15">#REF!</definedName>
    <definedName name="SeanARrrom" localSheetId="8">#REF!</definedName>
    <definedName name="SeanARrrom">#REF!</definedName>
    <definedName name="sidehil" localSheetId="9">#REF!</definedName>
    <definedName name="sidehil" localSheetId="2">#REF!</definedName>
    <definedName name="sidehil" localSheetId="10">#REF!</definedName>
    <definedName name="sidehil" localSheetId="3">#REF!</definedName>
    <definedName name="sidehil" localSheetId="13">#REF!</definedName>
    <definedName name="sidehil" localSheetId="6">#REF!</definedName>
    <definedName name="sidehil" localSheetId="7">#REF!</definedName>
    <definedName name="sidehil" localSheetId="15">#REF!</definedName>
    <definedName name="sidehil" localSheetId="8">#REF!</definedName>
    <definedName name="sidehil">#REF!</definedName>
    <definedName name="T" localSheetId="9">#REF!</definedName>
    <definedName name="T" localSheetId="2">#REF!</definedName>
    <definedName name="T" localSheetId="10">#REF!</definedName>
    <definedName name="T" localSheetId="3">#REF!</definedName>
    <definedName name="T" localSheetId="13">#REF!</definedName>
    <definedName name="T" localSheetId="6">#REF!</definedName>
    <definedName name="T" localSheetId="7">#REF!</definedName>
    <definedName name="T" localSheetId="15">#REF!</definedName>
    <definedName name="T" localSheetId="8">#REF!</definedName>
    <definedName name="T">#REF!</definedName>
    <definedName name="t0ll" localSheetId="9">#REF!</definedName>
    <definedName name="t0ll" localSheetId="2">#REF!</definedName>
    <definedName name="t0ll" localSheetId="10">#REF!</definedName>
    <definedName name="t0ll" localSheetId="3">#REF!</definedName>
    <definedName name="t0ll" localSheetId="13">#REF!</definedName>
    <definedName name="t0ll" localSheetId="6">#REF!</definedName>
    <definedName name="t0ll" localSheetId="7">#REF!</definedName>
    <definedName name="t0ll" localSheetId="15">#REF!</definedName>
    <definedName name="t0ll" localSheetId="8">#REF!</definedName>
    <definedName name="t0ll">#REF!</definedName>
    <definedName name="talaganamana_999" localSheetId="9">#REF!</definedName>
    <definedName name="talaganamana_999" localSheetId="2">#REF!</definedName>
    <definedName name="talaganamana_999" localSheetId="10">#REF!</definedName>
    <definedName name="talaganamana_999" localSheetId="3">#REF!</definedName>
    <definedName name="talaganamana_999" localSheetId="13">#REF!</definedName>
    <definedName name="talaganamana_999" localSheetId="6">#REF!</definedName>
    <definedName name="talaganamana_999" localSheetId="7">#REF!</definedName>
    <definedName name="talaganamana_999" localSheetId="15">#REF!</definedName>
    <definedName name="talaganamana_999" localSheetId="8">#REF!</definedName>
    <definedName name="talaganamana_999">#REF!</definedName>
    <definedName name="TinaBacud" localSheetId="9">#REF!</definedName>
    <definedName name="TinaBacud" localSheetId="2">#REF!</definedName>
    <definedName name="TinaBacud" localSheetId="10">#REF!</definedName>
    <definedName name="TinaBacud" localSheetId="3">#REF!</definedName>
    <definedName name="TinaBacud" localSheetId="13">#REF!</definedName>
    <definedName name="TinaBacud" localSheetId="6">#REF!</definedName>
    <definedName name="TinaBacud" localSheetId="7">#REF!</definedName>
    <definedName name="TinaBacud" localSheetId="15">#REF!</definedName>
    <definedName name="TinaBacud" localSheetId="8">#REF!</definedName>
    <definedName name="TinaBacud">#REF!</definedName>
    <definedName name="U" localSheetId="9">#REF!</definedName>
    <definedName name="U" localSheetId="2">#REF!</definedName>
    <definedName name="U" localSheetId="10">#REF!</definedName>
    <definedName name="U" localSheetId="3">#REF!</definedName>
    <definedName name="U" localSheetId="13">#REF!</definedName>
    <definedName name="U" localSheetId="6">#REF!</definedName>
    <definedName name="U" localSheetId="7">#REF!</definedName>
    <definedName name="U" localSheetId="15">#REF!</definedName>
    <definedName name="U" localSheetId="8">#REF!</definedName>
    <definedName name="U">#REF!</definedName>
    <definedName name="upm">'[5]Take-Up'!$B$5</definedName>
    <definedName name="upm_1">'[5]Take-Up'!$B$5</definedName>
    <definedName name="V" localSheetId="9">#REF!</definedName>
    <definedName name="V" localSheetId="2">#REF!</definedName>
    <definedName name="V" localSheetId="10">#REF!</definedName>
    <definedName name="V" localSheetId="3">#REF!</definedName>
    <definedName name="V" localSheetId="13">#REF!</definedName>
    <definedName name="V" localSheetId="6">#REF!</definedName>
    <definedName name="V" localSheetId="7">#REF!</definedName>
    <definedName name="V" localSheetId="15">#REF!</definedName>
    <definedName name="V" localSheetId="8">#REF!</definedName>
    <definedName name="V">#REF!</definedName>
    <definedName name="vrhfruhfrui_111" localSheetId="9">#REF!</definedName>
    <definedName name="vrhfruhfrui_111" localSheetId="2">#REF!</definedName>
    <definedName name="vrhfruhfrui_111" localSheetId="10">#REF!</definedName>
    <definedName name="vrhfruhfrui_111" localSheetId="3">#REF!</definedName>
    <definedName name="vrhfruhfrui_111" localSheetId="13">#REF!</definedName>
    <definedName name="vrhfruhfrui_111" localSheetId="6">#REF!</definedName>
    <definedName name="vrhfruhfrui_111" localSheetId="7">#REF!</definedName>
    <definedName name="vrhfruhfrui_111" localSheetId="15">#REF!</definedName>
    <definedName name="vrhfruhfrui_111" localSheetId="8">#REF!</definedName>
    <definedName name="vrhfruhfrui_111">#REF!</definedName>
    <definedName name="W" localSheetId="9">#REF!</definedName>
    <definedName name="W" localSheetId="2">#REF!</definedName>
    <definedName name="W" localSheetId="10">#REF!</definedName>
    <definedName name="W" localSheetId="3">#REF!</definedName>
    <definedName name="W" localSheetId="13">#REF!</definedName>
    <definedName name="W" localSheetId="6">#REF!</definedName>
    <definedName name="W" localSheetId="7">#REF!</definedName>
    <definedName name="W" localSheetId="15">#REF!</definedName>
    <definedName name="W" localSheetId="8">#REF!</definedName>
    <definedName name="W">#REF!</definedName>
    <definedName name="w23w2" localSheetId="9">#REF!</definedName>
    <definedName name="w23w2" localSheetId="2">#REF!</definedName>
    <definedName name="w23w2" localSheetId="10">#REF!</definedName>
    <definedName name="w23w2" localSheetId="3">#REF!</definedName>
    <definedName name="w23w2" localSheetId="13">#REF!</definedName>
    <definedName name="w23w2" localSheetId="6">#REF!</definedName>
    <definedName name="w23w2" localSheetId="7">#REF!</definedName>
    <definedName name="w23w2" localSheetId="15">#REF!</definedName>
    <definedName name="w23w2" localSheetId="8">#REF!</definedName>
    <definedName name="w23w2">#REF!</definedName>
    <definedName name="WLP" localSheetId="9">#REF!</definedName>
    <definedName name="WLP" localSheetId="2">#REF!</definedName>
    <definedName name="WLP" localSheetId="10">#REF!</definedName>
    <definedName name="WLP" localSheetId="3">#REF!</definedName>
    <definedName name="WLP" localSheetId="13">#REF!</definedName>
    <definedName name="WLP" localSheetId="6">#REF!</definedName>
    <definedName name="WLP" localSheetId="7">#REF!</definedName>
    <definedName name="WLP" localSheetId="15">#REF!</definedName>
    <definedName name="WLP" localSheetId="8">#REF!</definedName>
    <definedName name="WLP">#REF!</definedName>
    <definedName name="X" localSheetId="9">#REF!</definedName>
    <definedName name="X" localSheetId="2">#REF!</definedName>
    <definedName name="X" localSheetId="10">#REF!</definedName>
    <definedName name="X" localSheetId="3">#REF!</definedName>
    <definedName name="X" localSheetId="13">#REF!</definedName>
    <definedName name="X" localSheetId="6">#REF!</definedName>
    <definedName name="X" localSheetId="7">#REF!</definedName>
    <definedName name="X" localSheetId="15">#REF!</definedName>
    <definedName name="X" localSheetId="8">#REF!</definedName>
    <definedName name="X">#REF!</definedName>
    <definedName name="xavier" localSheetId="9">#REF!</definedName>
    <definedName name="xavier" localSheetId="2">#REF!</definedName>
    <definedName name="xavier" localSheetId="10">#REF!</definedName>
    <definedName name="xavier" localSheetId="3">#REF!</definedName>
    <definedName name="xavier" localSheetId="13">#REF!</definedName>
    <definedName name="xavier" localSheetId="6">#REF!</definedName>
    <definedName name="xavier" localSheetId="7">#REF!</definedName>
    <definedName name="xavier" localSheetId="15">#REF!</definedName>
    <definedName name="xavier" localSheetId="8">#REF!</definedName>
    <definedName name="xavier">#REF!</definedName>
    <definedName name="XRs" localSheetId="9">#REF!</definedName>
    <definedName name="XRs" localSheetId="2">#REF!</definedName>
    <definedName name="XRs" localSheetId="10">#REF!</definedName>
    <definedName name="XRs" localSheetId="3">#REF!</definedName>
    <definedName name="XRs" localSheetId="13">#REF!</definedName>
    <definedName name="XRs" localSheetId="6">#REF!</definedName>
    <definedName name="XRs" localSheetId="7">#REF!</definedName>
    <definedName name="XRs" localSheetId="15">#REF!</definedName>
    <definedName name="XRs" localSheetId="8">#REF!</definedName>
    <definedName name="XRs">#REF!</definedName>
    <definedName name="xzzzz." localSheetId="9">#REF!</definedName>
    <definedName name="xzzzz." localSheetId="2">#REF!</definedName>
    <definedName name="xzzzz." localSheetId="10">#REF!</definedName>
    <definedName name="xzzzz." localSheetId="3">#REF!</definedName>
    <definedName name="xzzzz." localSheetId="13">#REF!</definedName>
    <definedName name="xzzzz." localSheetId="6">#REF!</definedName>
    <definedName name="xzzzz." localSheetId="7">#REF!</definedName>
    <definedName name="xzzzz." localSheetId="15">#REF!</definedName>
    <definedName name="xzzzz." localSheetId="8">#REF!</definedName>
    <definedName name="xzzzz.">#REF!</definedName>
    <definedName name="Y" localSheetId="9">#REF!</definedName>
    <definedName name="Y" localSheetId="2">#REF!</definedName>
    <definedName name="Y" localSheetId="10">#REF!</definedName>
    <definedName name="Y" localSheetId="3">#REF!</definedName>
    <definedName name="Y" localSheetId="13">#REF!</definedName>
    <definedName name="Y" localSheetId="6">#REF!</definedName>
    <definedName name="Y" localSheetId="7">#REF!</definedName>
    <definedName name="Y" localSheetId="15">#REF!</definedName>
    <definedName name="Y" localSheetId="8">#REF!</definedName>
    <definedName name="Y">#REF!</definedName>
    <definedName name="z" localSheetId="9">#REF!</definedName>
    <definedName name="z" localSheetId="2">#REF!</definedName>
    <definedName name="z" localSheetId="10">#REF!</definedName>
    <definedName name="z" localSheetId="3">#REF!</definedName>
    <definedName name="z" localSheetId="13">#REF!</definedName>
    <definedName name="z" localSheetId="6">#REF!</definedName>
    <definedName name="z" localSheetId="7">#REF!</definedName>
    <definedName name="z" localSheetId="15">#REF!</definedName>
    <definedName name="z" localSheetId="8">#REF!</definedName>
    <definedName name="z">#REF!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16" i="243" l="1"/>
  <c r="C11" i="4"/>
  <c r="C8" i="241" s="1"/>
  <c r="E13" i="241" s="1"/>
  <c r="E22" i="241" s="1"/>
  <c r="C8" i="4"/>
  <c r="C22" i="247" s="1"/>
  <c r="C24" i="247" s="1"/>
  <c r="C25" i="247" s="1"/>
  <c r="C26" i="247" s="1"/>
  <c r="C27" i="247" s="1"/>
  <c r="C28" i="247" s="1"/>
  <c r="C29" i="247" s="1"/>
  <c r="C30" i="247" s="1"/>
  <c r="C31" i="247" s="1"/>
  <c r="C32" i="247" s="1"/>
  <c r="C33" i="247" s="1"/>
  <c r="C34" i="247" s="1"/>
  <c r="C35" i="247" s="1"/>
  <c r="C37" i="247" s="1"/>
  <c r="C38" i="247" s="1"/>
  <c r="C39" i="247" s="1"/>
  <c r="C40" i="247" s="1"/>
  <c r="C41" i="247" s="1"/>
  <c r="C42" i="247" s="1"/>
  <c r="C43" i="247" s="1"/>
  <c r="C44" i="247" s="1"/>
  <c r="C45" i="247" s="1"/>
  <c r="C46" i="247" s="1"/>
  <c r="C47" i="247" s="1"/>
  <c r="C48" i="247" s="1"/>
  <c r="C50" i="247" s="1"/>
  <c r="C51" i="247" s="1"/>
  <c r="C52" i="247" s="1"/>
  <c r="C53" i="247" s="1"/>
  <c r="C54" i="247" s="1"/>
  <c r="C55" i="247" s="1"/>
  <c r="C56" i="247" s="1"/>
  <c r="C57" i="247" s="1"/>
  <c r="C58" i="247" s="1"/>
  <c r="C59" i="247" s="1"/>
  <c r="C60" i="247" s="1"/>
  <c r="C61" i="247" s="1"/>
  <c r="C63" i="247" s="1"/>
  <c r="C64" i="247" s="1"/>
  <c r="C65" i="247" s="1"/>
  <c r="C66" i="247" s="1"/>
  <c r="C67" i="247" s="1"/>
  <c r="C68" i="247" s="1"/>
  <c r="C69" i="247" s="1"/>
  <c r="C70" i="247" s="1"/>
  <c r="C71" i="247" s="1"/>
  <c r="C72" i="247" s="1"/>
  <c r="C73" i="247" s="1"/>
  <c r="C74" i="247" s="1"/>
  <c r="C76" i="247" s="1"/>
  <c r="C77" i="247" s="1"/>
  <c r="C78" i="247" s="1"/>
  <c r="C79" i="247" s="1"/>
  <c r="C80" i="247" s="1"/>
  <c r="C81" i="247" s="1"/>
  <c r="C82" i="247" s="1"/>
  <c r="C83" i="247" s="1"/>
  <c r="C84" i="247" s="1"/>
  <c r="C85" i="247" s="1"/>
  <c r="C86" i="247" s="1"/>
  <c r="C87" i="247" s="1"/>
  <c r="C88" i="247" s="1"/>
  <c r="H16" i="243"/>
  <c r="B88" i="247"/>
  <c r="C10" i="247"/>
  <c r="F16" i="243"/>
  <c r="C12" i="4" s="1"/>
  <c r="C6" i="247"/>
  <c r="C5" i="247"/>
  <c r="B90" i="246"/>
  <c r="A26" i="246"/>
  <c r="A27" i="246"/>
  <c r="A28" i="246" s="1"/>
  <c r="A29" i="246" s="1"/>
  <c r="A30" i="246" s="1"/>
  <c r="A31" i="246" s="1"/>
  <c r="A32" i="246" s="1"/>
  <c r="A33" i="246" s="1"/>
  <c r="A34" i="246" s="1"/>
  <c r="A35" i="246" s="1"/>
  <c r="A36" i="246" s="1"/>
  <c r="A37" i="246" s="1"/>
  <c r="A39" i="246" s="1"/>
  <c r="A40" i="246" s="1"/>
  <c r="A41" i="246" s="1"/>
  <c r="A42" i="246" s="1"/>
  <c r="A43" i="246" s="1"/>
  <c r="A44" i="246" s="1"/>
  <c r="A45" i="246" s="1"/>
  <c r="A46" i="246" s="1"/>
  <c r="A47" i="246" s="1"/>
  <c r="A48" i="246" s="1"/>
  <c r="A49" i="246" s="1"/>
  <c r="A50" i="246" s="1"/>
  <c r="A52" i="246" s="1"/>
  <c r="A53" i="246" s="1"/>
  <c r="A54" i="246" s="1"/>
  <c r="A55" i="246" s="1"/>
  <c r="A56" i="246" s="1"/>
  <c r="A57" i="246" s="1"/>
  <c r="A58" i="246" s="1"/>
  <c r="A59" i="246" s="1"/>
  <c r="A60" i="246" s="1"/>
  <c r="A61" i="246" s="1"/>
  <c r="A62" i="246" s="1"/>
  <c r="A63" i="246" s="1"/>
  <c r="A65" i="246" s="1"/>
  <c r="A66" i="246" s="1"/>
  <c r="A67" i="246" s="1"/>
  <c r="A68" i="246" s="1"/>
  <c r="A69" i="246" s="1"/>
  <c r="A70" i="246" s="1"/>
  <c r="A71" i="246" s="1"/>
  <c r="A72" i="246" s="1"/>
  <c r="A73" i="246" s="1"/>
  <c r="A74" i="246" s="1"/>
  <c r="A75" i="246" s="1"/>
  <c r="A76" i="246" s="1"/>
  <c r="A78" i="246" s="1"/>
  <c r="A79" i="246" s="1"/>
  <c r="A80" i="246" s="1"/>
  <c r="A81" i="246" s="1"/>
  <c r="A82" i="246" s="1"/>
  <c r="A83" i="246" s="1"/>
  <c r="A84" i="246" s="1"/>
  <c r="A85" i="246" s="1"/>
  <c r="A86" i="246" s="1"/>
  <c r="A87" i="246" s="1"/>
  <c r="A88" i="246" s="1"/>
  <c r="A89" i="246" s="1"/>
  <c r="A90" i="246" s="1"/>
  <c r="C10" i="246"/>
  <c r="C6" i="246"/>
  <c r="C5" i="246"/>
  <c r="H33" i="243"/>
  <c r="H32" i="243"/>
  <c r="H31" i="243"/>
  <c r="H30" i="243"/>
  <c r="H29" i="243"/>
  <c r="H27" i="243"/>
  <c r="H25" i="243"/>
  <c r="H24" i="243"/>
  <c r="H23" i="243"/>
  <c r="H21" i="243"/>
  <c r="H20" i="243"/>
  <c r="H19" i="243"/>
  <c r="H18" i="243"/>
  <c r="H12" i="243"/>
  <c r="H13" i="243"/>
  <c r="H14" i="243"/>
  <c r="D15" i="247" s="1"/>
  <c r="H15" i="243"/>
  <c r="H11" i="243"/>
  <c r="G33" i="243"/>
  <c r="G32" i="243"/>
  <c r="G31" i="243"/>
  <c r="G30" i="243"/>
  <c r="L30" i="243" s="1"/>
  <c r="G29" i="243"/>
  <c r="G27" i="243"/>
  <c r="L27" i="243" s="1"/>
  <c r="F27" i="243"/>
  <c r="G25" i="243"/>
  <c r="G24" i="243"/>
  <c r="G23" i="243"/>
  <c r="G21" i="243"/>
  <c r="G20" i="243"/>
  <c r="G19" i="243"/>
  <c r="G18" i="243"/>
  <c r="G15" i="243"/>
  <c r="G14" i="243"/>
  <c r="G13" i="243"/>
  <c r="G12" i="243"/>
  <c r="G11" i="243"/>
  <c r="C10" i="244"/>
  <c r="C10" i="245"/>
  <c r="A26" i="245"/>
  <c r="A28" i="245" s="1"/>
  <c r="A29" i="245" s="1"/>
  <c r="A30" i="245" s="1"/>
  <c r="A31" i="245" s="1"/>
  <c r="A32" i="245" s="1"/>
  <c r="A33" i="245" s="1"/>
  <c r="A34" i="245" s="1"/>
  <c r="A35" i="245" s="1"/>
  <c r="A36" i="245" s="1"/>
  <c r="A37" i="245" s="1"/>
  <c r="A38" i="245" s="1"/>
  <c r="A39" i="245" s="1"/>
  <c r="A40" i="245" s="1"/>
  <c r="A41" i="245" s="1"/>
  <c r="A42" i="245" s="1"/>
  <c r="A43" i="245" s="1"/>
  <c r="A44" i="245" s="1"/>
  <c r="A45" i="245" s="1"/>
  <c r="A46" i="245" s="1"/>
  <c r="A47" i="245" s="1"/>
  <c r="A48" i="245" s="1"/>
  <c r="A49" i="245" s="1"/>
  <c r="A50" i="245" s="1"/>
  <c r="A51" i="245" s="1"/>
  <c r="A52" i="245" s="1"/>
  <c r="A53" i="245" s="1"/>
  <c r="A54" i="245" s="1"/>
  <c r="A55" i="245" s="1"/>
  <c r="A56" i="245" s="1"/>
  <c r="A57" i="245" s="1"/>
  <c r="A58" i="245" s="1"/>
  <c r="A59" i="245" s="1"/>
  <c r="A60" i="245" s="1"/>
  <c r="A61" i="245" s="1"/>
  <c r="A62" i="245" s="1"/>
  <c r="A63" i="245" s="1"/>
  <c r="A64" i="245" s="1"/>
  <c r="A65" i="245" s="1"/>
  <c r="A66" i="245" s="1"/>
  <c r="A67" i="245" s="1"/>
  <c r="A68" i="245" s="1"/>
  <c r="A69" i="245" s="1"/>
  <c r="A70" i="245" s="1"/>
  <c r="A71" i="245" s="1"/>
  <c r="A72" i="245" s="1"/>
  <c r="A73" i="245" s="1"/>
  <c r="A74" i="245" s="1"/>
  <c r="A75" i="245" s="1"/>
  <c r="A76" i="245" s="1"/>
  <c r="C6" i="245"/>
  <c r="C5" i="245"/>
  <c r="A24" i="244"/>
  <c r="A26" i="244"/>
  <c r="A27" i="244" s="1"/>
  <c r="A28" i="244" s="1"/>
  <c r="A29" i="244" s="1"/>
  <c r="A30" i="244" s="1"/>
  <c r="A31" i="244" s="1"/>
  <c r="A32" i="244" s="1"/>
  <c r="A33" i="244" s="1"/>
  <c r="A34" i="244" s="1"/>
  <c r="A35" i="244" s="1"/>
  <c r="A36" i="244" s="1"/>
  <c r="A37" i="244" s="1"/>
  <c r="A38" i="244" s="1"/>
  <c r="A39" i="244" s="1"/>
  <c r="A40" i="244" s="1"/>
  <c r="A41" i="244" s="1"/>
  <c r="A42" i="244" s="1"/>
  <c r="A43" i="244" s="1"/>
  <c r="A44" i="244" s="1"/>
  <c r="A45" i="244" s="1"/>
  <c r="A46" i="244" s="1"/>
  <c r="A47" i="244" s="1"/>
  <c r="A48" i="244" s="1"/>
  <c r="A49" i="244" s="1"/>
  <c r="A50" i="244" s="1"/>
  <c r="A51" i="244" s="1"/>
  <c r="A52" i="244" s="1"/>
  <c r="A53" i="244" s="1"/>
  <c r="A54" i="244" s="1"/>
  <c r="A55" i="244" s="1"/>
  <c r="A56" i="244" s="1"/>
  <c r="A57" i="244" s="1"/>
  <c r="A58" i="244" s="1"/>
  <c r="A59" i="244" s="1"/>
  <c r="A60" i="244" s="1"/>
  <c r="A61" i="244" s="1"/>
  <c r="A62" i="244" s="1"/>
  <c r="A63" i="244" s="1"/>
  <c r="A64" i="244" s="1"/>
  <c r="A65" i="244" s="1"/>
  <c r="A66" i="244" s="1"/>
  <c r="A67" i="244" s="1"/>
  <c r="A68" i="244" s="1"/>
  <c r="A69" i="244" s="1"/>
  <c r="A70" i="244" s="1"/>
  <c r="A71" i="244" s="1"/>
  <c r="A72" i="244" s="1"/>
  <c r="A73" i="244" s="1"/>
  <c r="A74" i="244" s="1"/>
  <c r="C6" i="244"/>
  <c r="C5" i="244"/>
  <c r="A25" i="150"/>
  <c r="A26" i="150"/>
  <c r="A27" i="150" s="1"/>
  <c r="A28" i="150" s="1"/>
  <c r="A29"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25" i="237"/>
  <c r="A26" i="237"/>
  <c r="A27" i="237" s="1"/>
  <c r="A28" i="237" s="1"/>
  <c r="A29" i="237" s="1"/>
  <c r="A30" i="237" s="1"/>
  <c r="A31" i="237" s="1"/>
  <c r="A32" i="237" s="1"/>
  <c r="A33" i="237" s="1"/>
  <c r="A34" i="237" s="1"/>
  <c r="A35" i="237" s="1"/>
  <c r="A36" i="237" s="1"/>
  <c r="A37" i="237" s="1"/>
  <c r="A38" i="237" s="1"/>
  <c r="A39" i="237" s="1"/>
  <c r="A40" i="237" s="1"/>
  <c r="A41" i="237" s="1"/>
  <c r="A42" i="237" s="1"/>
  <c r="A43" i="237" s="1"/>
  <c r="A44" i="237" s="1"/>
  <c r="A45" i="237" s="1"/>
  <c r="A46" i="237" s="1"/>
  <c r="A47" i="237" s="1"/>
  <c r="A48" i="237" s="1"/>
  <c r="A49" i="237" s="1"/>
  <c r="A50" i="237" s="1"/>
  <c r="A51" i="237" s="1"/>
  <c r="A52" i="237" s="1"/>
  <c r="A53" i="237" s="1"/>
  <c r="A54" i="237" s="1"/>
  <c r="A55" i="237" s="1"/>
  <c r="A56" i="237" s="1"/>
  <c r="A57" i="237" s="1"/>
  <c r="A58" i="237" s="1"/>
  <c r="A59" i="237" s="1"/>
  <c r="A60" i="237" s="1"/>
  <c r="A61" i="237" s="1"/>
  <c r="A62" i="237" s="1"/>
  <c r="A63" i="237" s="1"/>
  <c r="A64" i="237" s="1"/>
  <c r="A65" i="237" s="1"/>
  <c r="A66" i="237" s="1"/>
  <c r="A67" i="237" s="1"/>
  <c r="A68" i="237" s="1"/>
  <c r="A69" i="237" s="1"/>
  <c r="A70" i="237" s="1"/>
  <c r="A71" i="237" s="1"/>
  <c r="A72" i="237" s="1"/>
  <c r="A25" i="240"/>
  <c r="A26" i="240" s="1"/>
  <c r="A27" i="240" s="1"/>
  <c r="A28" i="240" s="1"/>
  <c r="A29" i="240" s="1"/>
  <c r="A30" i="240" s="1"/>
  <c r="A31" i="240" s="1"/>
  <c r="A32" i="240" s="1"/>
  <c r="A33" i="240" s="1"/>
  <c r="A34" i="240" s="1"/>
  <c r="A35" i="240" s="1"/>
  <c r="A36" i="240" s="1"/>
  <c r="A37" i="240" s="1"/>
  <c r="A38" i="240" s="1"/>
  <c r="A39" i="240" s="1"/>
  <c r="A40" i="240" s="1"/>
  <c r="A41" i="240" s="1"/>
  <c r="A42" i="240" s="1"/>
  <c r="A43" i="240" s="1"/>
  <c r="A44" i="240" s="1"/>
  <c r="A45" i="240" s="1"/>
  <c r="A46" i="240" s="1"/>
  <c r="A47" i="240" s="1"/>
  <c r="A48" i="240" s="1"/>
  <c r="A49" i="240" s="1"/>
  <c r="A50" i="240" s="1"/>
  <c r="A51" i="240" s="1"/>
  <c r="A52" i="240" s="1"/>
  <c r="A53" i="240" s="1"/>
  <c r="A54" i="240" s="1"/>
  <c r="A55" i="240" s="1"/>
  <c r="A56" i="240" s="1"/>
  <c r="A57" i="240" s="1"/>
  <c r="A58" i="240" s="1"/>
  <c r="A59" i="240" s="1"/>
  <c r="A60" i="240" s="1"/>
  <c r="A61" i="240" s="1"/>
  <c r="A62" i="240" s="1"/>
  <c r="A63" i="240" s="1"/>
  <c r="A64" i="240" s="1"/>
  <c r="A65" i="240" s="1"/>
  <c r="A66" i="240" s="1"/>
  <c r="A67" i="240" s="1"/>
  <c r="A68" i="240" s="1"/>
  <c r="A69" i="240" s="1"/>
  <c r="A70" i="240" s="1"/>
  <c r="A71" i="240" s="1"/>
  <c r="A72" i="240" s="1"/>
  <c r="A73" i="240" s="1"/>
  <c r="A74" i="240" s="1"/>
  <c r="A75" i="240" s="1"/>
  <c r="A76" i="240" s="1"/>
  <c r="A77" i="240" s="1"/>
  <c r="A78" i="240" s="1"/>
  <c r="A79" i="240" s="1"/>
  <c r="A80" i="240" s="1"/>
  <c r="A81" i="240" s="1"/>
  <c r="A82" i="240" s="1"/>
  <c r="A83" i="240" s="1"/>
  <c r="A26" i="228"/>
  <c r="A27" i="228" s="1"/>
  <c r="A28" i="228" s="1"/>
  <c r="A29" i="228" s="1"/>
  <c r="A30" i="228" s="1"/>
  <c r="A31" i="228" s="1"/>
  <c r="A33" i="228" s="1"/>
  <c r="A34" i="228" s="1"/>
  <c r="A35" i="228" s="1"/>
  <c r="A36" i="228" s="1"/>
  <c r="A37" i="228" s="1"/>
  <c r="A38" i="228" s="1"/>
  <c r="A39" i="228" s="1"/>
  <c r="A40" i="228" s="1"/>
  <c r="A41" i="228" s="1"/>
  <c r="A42" i="228" s="1"/>
  <c r="A43" i="228" s="1"/>
  <c r="A44" i="228" s="1"/>
  <c r="A45" i="228" s="1"/>
  <c r="A46" i="228" s="1"/>
  <c r="A47" i="228" s="1"/>
  <c r="A48" i="228" s="1"/>
  <c r="A49" i="228" s="1"/>
  <c r="A50" i="228" s="1"/>
  <c r="A51" i="228" s="1"/>
  <c r="A52" i="228" s="1"/>
  <c r="A53" i="228" s="1"/>
  <c r="A54" i="228" s="1"/>
  <c r="A55" i="228" s="1"/>
  <c r="A56" i="228" s="1"/>
  <c r="A57" i="228" s="1"/>
  <c r="A58" i="228" s="1"/>
  <c r="A59" i="228" s="1"/>
  <c r="A60" i="228" s="1"/>
  <c r="A61" i="228" s="1"/>
  <c r="A62" i="228" s="1"/>
  <c r="A63" i="228" s="1"/>
  <c r="A64" i="228" s="1"/>
  <c r="A65" i="228" s="1"/>
  <c r="A66" i="228" s="1"/>
  <c r="A67" i="228" s="1"/>
  <c r="A68" i="228" s="1"/>
  <c r="A69" i="228" s="1"/>
  <c r="A70" i="228" s="1"/>
  <c r="A71" i="228" s="1"/>
  <c r="A72" i="228" s="1"/>
  <c r="A73" i="228" s="1"/>
  <c r="A74" i="228" s="1"/>
  <c r="A75" i="228" s="1"/>
  <c r="A76" i="228" s="1"/>
  <c r="A77" i="228" s="1"/>
  <c r="A78" i="228" s="1"/>
  <c r="A79" i="228" s="1"/>
  <c r="A80" i="228" s="1"/>
  <c r="A81" i="228" s="1"/>
  <c r="A27" i="242"/>
  <c r="A28" i="242" s="1"/>
  <c r="A29" i="242" s="1"/>
  <c r="A30" i="242" s="1"/>
  <c r="A31" i="242" s="1"/>
  <c r="A32" i="242" s="1"/>
  <c r="A33" i="242" s="1"/>
  <c r="A34" i="242" s="1"/>
  <c r="A35" i="242" s="1"/>
  <c r="A36" i="242" s="1"/>
  <c r="A37" i="242" s="1"/>
  <c r="A38" i="242" s="1"/>
  <c r="A39" i="242" s="1"/>
  <c r="A40" i="242" s="1"/>
  <c r="A41" i="242" s="1"/>
  <c r="A42" i="242" s="1"/>
  <c r="A43" i="242" s="1"/>
  <c r="A44" i="242" s="1"/>
  <c r="A45" i="242" s="1"/>
  <c r="A46" i="242" s="1"/>
  <c r="A47" i="242" s="1"/>
  <c r="A48" i="242" s="1"/>
  <c r="A49" i="242" s="1"/>
  <c r="A50" i="242" s="1"/>
  <c r="A51" i="242" s="1"/>
  <c r="A52" i="242" s="1"/>
  <c r="A53" i="242" s="1"/>
  <c r="A54" i="242" s="1"/>
  <c r="A55" i="242" s="1"/>
  <c r="A56" i="242" s="1"/>
  <c r="A57" i="242" s="1"/>
  <c r="A58" i="242" s="1"/>
  <c r="A59" i="242" s="1"/>
  <c r="A60" i="242" s="1"/>
  <c r="A61" i="242" s="1"/>
  <c r="A62" i="242" s="1"/>
  <c r="A63" i="242" s="1"/>
  <c r="A64" i="242" s="1"/>
  <c r="A65" i="242" s="1"/>
  <c r="A66" i="242" s="1"/>
  <c r="A67" i="242" s="1"/>
  <c r="A68" i="242" s="1"/>
  <c r="A69" i="242" s="1"/>
  <c r="A70" i="242" s="1"/>
  <c r="A71" i="242" s="1"/>
  <c r="A72" i="242" s="1"/>
  <c r="A73" i="242" s="1"/>
  <c r="A74" i="242" s="1"/>
  <c r="A27" i="239"/>
  <c r="A28" i="239"/>
  <c r="A29" i="239" s="1"/>
  <c r="A30" i="239" s="1"/>
  <c r="A31" i="239" s="1"/>
  <c r="A32" i="239" s="1"/>
  <c r="A33" i="239" s="1"/>
  <c r="A34" i="239" s="1"/>
  <c r="A35" i="239" s="1"/>
  <c r="A36" i="239" s="1"/>
  <c r="A37" i="239" s="1"/>
  <c r="A38" i="239" s="1"/>
  <c r="A39" i="239" s="1"/>
  <c r="A40" i="239" s="1"/>
  <c r="A41" i="239" s="1"/>
  <c r="A42" i="239" s="1"/>
  <c r="A43" i="239" s="1"/>
  <c r="A44" i="239" s="1"/>
  <c r="A45" i="239" s="1"/>
  <c r="A46" i="239" s="1"/>
  <c r="A47" i="239" s="1"/>
  <c r="A48" i="239" s="1"/>
  <c r="A49" i="239" s="1"/>
  <c r="A50" i="239" s="1"/>
  <c r="A51" i="239" s="1"/>
  <c r="A52" i="239" s="1"/>
  <c r="A53" i="239" s="1"/>
  <c r="A54" i="239" s="1"/>
  <c r="A55" i="239" s="1"/>
  <c r="A56" i="239" s="1"/>
  <c r="A57" i="239" s="1"/>
  <c r="A58" i="239" s="1"/>
  <c r="A59" i="239" s="1"/>
  <c r="A60" i="239" s="1"/>
  <c r="A61" i="239" s="1"/>
  <c r="A62" i="239" s="1"/>
  <c r="A63" i="239" s="1"/>
  <c r="A64" i="239" s="1"/>
  <c r="A65" i="239" s="1"/>
  <c r="A66" i="239" s="1"/>
  <c r="A67" i="239" s="1"/>
  <c r="A68" i="239" s="1"/>
  <c r="A69" i="239" s="1"/>
  <c r="A70" i="239" s="1"/>
  <c r="A71" i="239" s="1"/>
  <c r="A72" i="239" s="1"/>
  <c r="A73" i="239" s="1"/>
  <c r="A74" i="239" s="1"/>
  <c r="A75" i="239" s="1"/>
  <c r="A76" i="239" s="1"/>
  <c r="A77" i="239" s="1"/>
  <c r="A78" i="239" s="1"/>
  <c r="A79" i="239" s="1"/>
  <c r="A80" i="239" s="1"/>
  <c r="A81" i="239" s="1"/>
  <c r="A82" i="239" s="1"/>
  <c r="A83" i="239" s="1"/>
  <c r="A84" i="239" s="1"/>
  <c r="A85" i="239" s="1"/>
  <c r="C6" i="241"/>
  <c r="C6" i="150"/>
  <c r="C6" i="237"/>
  <c r="C6" i="240"/>
  <c r="C6" i="229"/>
  <c r="C6" i="228"/>
  <c r="C6" i="225"/>
  <c r="C6" i="242"/>
  <c r="C6" i="239"/>
  <c r="C6" i="236"/>
  <c r="K33" i="243"/>
  <c r="F33" i="243"/>
  <c r="K32" i="243"/>
  <c r="F32" i="243"/>
  <c r="K31" i="243"/>
  <c r="F31" i="243"/>
  <c r="K30" i="243"/>
  <c r="F30" i="243"/>
  <c r="K29" i="243"/>
  <c r="F29" i="243"/>
  <c r="K28" i="243"/>
  <c r="L28" i="243"/>
  <c r="K27" i="243"/>
  <c r="K26" i="243"/>
  <c r="L26" i="243" s="1"/>
  <c r="K25" i="243"/>
  <c r="F25" i="243"/>
  <c r="K24" i="243"/>
  <c r="F24" i="243"/>
  <c r="K23" i="243"/>
  <c r="F23" i="243"/>
  <c r="K22" i="243"/>
  <c r="L22" i="243" s="1"/>
  <c r="K21" i="243"/>
  <c r="F21" i="243"/>
  <c r="K20" i="243"/>
  <c r="F20" i="243"/>
  <c r="K19" i="243"/>
  <c r="F19" i="243"/>
  <c r="K18" i="243"/>
  <c r="F18" i="243"/>
  <c r="K17" i="243"/>
  <c r="L17" i="243" s="1"/>
  <c r="K15" i="243"/>
  <c r="F15" i="243"/>
  <c r="K14" i="243"/>
  <c r="F14" i="243"/>
  <c r="K13" i="243"/>
  <c r="F13" i="243"/>
  <c r="K12" i="243"/>
  <c r="F12" i="243"/>
  <c r="K11" i="243"/>
  <c r="F11" i="243"/>
  <c r="C10" i="241"/>
  <c r="C10" i="150"/>
  <c r="C10" i="237"/>
  <c r="C10" i="240"/>
  <c r="C10" i="229"/>
  <c r="C10" i="228"/>
  <c r="C10" i="225"/>
  <c r="C10" i="242"/>
  <c r="C10" i="239"/>
  <c r="C10" i="236"/>
  <c r="C5" i="242"/>
  <c r="C5" i="241"/>
  <c r="C5" i="240"/>
  <c r="C5" i="239"/>
  <c r="C5" i="225"/>
  <c r="C5" i="150"/>
  <c r="C5" i="236"/>
  <c r="C5" i="237"/>
  <c r="C5" i="228"/>
  <c r="C5" i="229"/>
  <c r="L25" i="243" l="1"/>
  <c r="D15" i="240"/>
  <c r="L20" i="243"/>
  <c r="D15" i="228"/>
  <c r="L11" i="243"/>
  <c r="L15" i="243"/>
  <c r="L31" i="243"/>
  <c r="D15" i="237"/>
  <c r="D16" i="229"/>
  <c r="L12" i="243"/>
  <c r="L18" i="243"/>
  <c r="D15" i="239"/>
  <c r="D16" i="245"/>
  <c r="D16" i="236"/>
  <c r="D15" i="242"/>
  <c r="D15" i="150"/>
  <c r="L13" i="243"/>
  <c r="L19" i="243"/>
  <c r="D15" i="225"/>
  <c r="D16" i="244"/>
  <c r="D15" i="241"/>
  <c r="D15" i="246"/>
  <c r="C13" i="4"/>
  <c r="L14" i="243"/>
  <c r="C8" i="240"/>
  <c r="E13" i="240" s="1"/>
  <c r="E22" i="240" s="1"/>
  <c r="G22" i="240" s="1"/>
  <c r="D24" i="228"/>
  <c r="D26" i="228" s="1"/>
  <c r="D27" i="228" s="1"/>
  <c r="D28" i="228" s="1"/>
  <c r="D29" i="228" s="1"/>
  <c r="D30" i="228" s="1"/>
  <c r="D31" i="228" s="1"/>
  <c r="D33" i="228" s="1"/>
  <c r="D34" i="228" s="1"/>
  <c r="D35" i="228" s="1"/>
  <c r="D36" i="228" s="1"/>
  <c r="D37" i="228" s="1"/>
  <c r="D38" i="228" s="1"/>
  <c r="D39" i="228" s="1"/>
  <c r="D40" i="228" s="1"/>
  <c r="D41" i="228" s="1"/>
  <c r="D42" i="228" s="1"/>
  <c r="D43" i="228" s="1"/>
  <c r="D44" i="228" s="1"/>
  <c r="D45" i="228" s="1"/>
  <c r="D46" i="228" s="1"/>
  <c r="D47" i="228" s="1"/>
  <c r="D48" i="228" s="1"/>
  <c r="D49" i="228" s="1"/>
  <c r="D50" i="228" s="1"/>
  <c r="D51" i="228" s="1"/>
  <c r="D52" i="228" s="1"/>
  <c r="D53" i="228" s="1"/>
  <c r="D54" i="228" s="1"/>
  <c r="D55" i="228" s="1"/>
  <c r="D56" i="228" s="1"/>
  <c r="D57" i="228" s="1"/>
  <c r="D58" i="228" s="1"/>
  <c r="D59" i="228" s="1"/>
  <c r="D60" i="228" s="1"/>
  <c r="D61" i="228" s="1"/>
  <c r="D62" i="228" s="1"/>
  <c r="D63" i="228" s="1"/>
  <c r="D64" i="228" s="1"/>
  <c r="D65" i="228" s="1"/>
  <c r="D66" i="228" s="1"/>
  <c r="D67" i="228" s="1"/>
  <c r="D68" i="228" s="1"/>
  <c r="D69" i="228" s="1"/>
  <c r="D70" i="228" s="1"/>
  <c r="D71" i="228" s="1"/>
  <c r="D72" i="228" s="1"/>
  <c r="D73" i="228" s="1"/>
  <c r="D74" i="228" s="1"/>
  <c r="D75" i="228" s="1"/>
  <c r="D76" i="228" s="1"/>
  <c r="D77" i="228" s="1"/>
  <c r="D78" i="228" s="1"/>
  <c r="D79" i="228" s="1"/>
  <c r="D80" i="228" s="1"/>
  <c r="D81" i="228" s="1"/>
  <c r="D22" i="150"/>
  <c r="D24" i="150" s="1"/>
  <c r="D25" i="150" s="1"/>
  <c r="D26" i="150" s="1"/>
  <c r="D27" i="150" s="1"/>
  <c r="D28" i="150" s="1"/>
  <c r="D29" i="150" s="1"/>
  <c r="D31" i="150" s="1"/>
  <c r="D32" i="150" s="1"/>
  <c r="D33" i="150" s="1"/>
  <c r="D34" i="150" s="1"/>
  <c r="D35" i="150" s="1"/>
  <c r="D36" i="150" s="1"/>
  <c r="D37" i="150" s="1"/>
  <c r="D38" i="150" s="1"/>
  <c r="D39" i="150" s="1"/>
  <c r="D40" i="150" s="1"/>
  <c r="D41" i="150" s="1"/>
  <c r="D42" i="150" s="1"/>
  <c r="D43" i="150" s="1"/>
  <c r="D44" i="150" s="1"/>
  <c r="D45" i="150" s="1"/>
  <c r="D46" i="150" s="1"/>
  <c r="D47" i="150" s="1"/>
  <c r="D48" i="150" s="1"/>
  <c r="D49" i="150" s="1"/>
  <c r="D50" i="150" s="1"/>
  <c r="D51" i="150" s="1"/>
  <c r="D52" i="150" s="1"/>
  <c r="D53" i="150" s="1"/>
  <c r="D54" i="150" s="1"/>
  <c r="D55" i="150" s="1"/>
  <c r="D56" i="150" s="1"/>
  <c r="D57" i="150" s="1"/>
  <c r="D58" i="150" s="1"/>
  <c r="D59" i="150" s="1"/>
  <c r="D60" i="150" s="1"/>
  <c r="D61" i="150" s="1"/>
  <c r="D62" i="150" s="1"/>
  <c r="D63" i="150" s="1"/>
  <c r="D64" i="150" s="1"/>
  <c r="D65" i="150" s="1"/>
  <c r="D66" i="150" s="1"/>
  <c r="D67" i="150" s="1"/>
  <c r="D68" i="150" s="1"/>
  <c r="D69" i="150" s="1"/>
  <c r="D70" i="150" s="1"/>
  <c r="D71" i="150" s="1"/>
  <c r="D72" i="150" s="1"/>
  <c r="D73" i="150" s="1"/>
  <c r="D74" i="150" s="1"/>
  <c r="D75" i="150" s="1"/>
  <c r="D76" i="150" s="1"/>
  <c r="D77" i="150" s="1"/>
  <c r="D78" i="150" s="1"/>
  <c r="D79" i="150" s="1"/>
  <c r="D25" i="245"/>
  <c r="D26" i="245" s="1"/>
  <c r="D28" i="245" s="1"/>
  <c r="D29" i="245" s="1"/>
  <c r="D30" i="245" s="1"/>
  <c r="D31" i="245" s="1"/>
  <c r="D32" i="245" s="1"/>
  <c r="D33" i="245" s="1"/>
  <c r="D34" i="245" s="1"/>
  <c r="D35" i="245" s="1"/>
  <c r="D36" i="245" s="1"/>
  <c r="D37" i="245" s="1"/>
  <c r="D38" i="245" s="1"/>
  <c r="D39" i="245" s="1"/>
  <c r="D40" i="245" s="1"/>
  <c r="D41" i="245" s="1"/>
  <c r="D42" i="245" s="1"/>
  <c r="D43" i="245" s="1"/>
  <c r="D44" i="245" s="1"/>
  <c r="D45" i="245" s="1"/>
  <c r="D46" i="245" s="1"/>
  <c r="D47" i="245" s="1"/>
  <c r="D48" i="245" s="1"/>
  <c r="D49" i="245" s="1"/>
  <c r="D50" i="245" s="1"/>
  <c r="D51" i="245" s="1"/>
  <c r="D52" i="245" s="1"/>
  <c r="D53" i="245" s="1"/>
  <c r="D54" i="245" s="1"/>
  <c r="D55" i="245" s="1"/>
  <c r="D56" i="245" s="1"/>
  <c r="D57" i="245" s="1"/>
  <c r="D58" i="245" s="1"/>
  <c r="D59" i="245" s="1"/>
  <c r="D60" i="245" s="1"/>
  <c r="D61" i="245" s="1"/>
  <c r="D62" i="245" s="1"/>
  <c r="D63" i="245" s="1"/>
  <c r="D64" i="245" s="1"/>
  <c r="D65" i="245" s="1"/>
  <c r="D66" i="245" s="1"/>
  <c r="D67" i="245" s="1"/>
  <c r="D68" i="245" s="1"/>
  <c r="D69" i="245" s="1"/>
  <c r="D70" i="245" s="1"/>
  <c r="D71" i="245" s="1"/>
  <c r="D72" i="245" s="1"/>
  <c r="D73" i="245" s="1"/>
  <c r="D74" i="245" s="1"/>
  <c r="D75" i="245" s="1"/>
  <c r="D76" i="245" s="1"/>
  <c r="C22" i="241"/>
  <c r="C24" i="241" s="1"/>
  <c r="C25" i="241" s="1"/>
  <c r="C26" i="241" s="1"/>
  <c r="C27" i="241" s="1"/>
  <c r="C28" i="241" s="1"/>
  <c r="C29" i="241" s="1"/>
  <c r="C31" i="241" s="1"/>
  <c r="C32" i="241" s="1"/>
  <c r="C33" i="241" s="1"/>
  <c r="C34" i="241" s="1"/>
  <c r="C35" i="241" s="1"/>
  <c r="C36" i="241" s="1"/>
  <c r="C37" i="241" s="1"/>
  <c r="C38" i="241" s="1"/>
  <c r="C39" i="241" s="1"/>
  <c r="C40" i="241" s="1"/>
  <c r="C41" i="241" s="1"/>
  <c r="C42" i="241" s="1"/>
  <c r="C43" i="241" s="1"/>
  <c r="C44" i="241" s="1"/>
  <c r="C45" i="241" s="1"/>
  <c r="C46" i="241" s="1"/>
  <c r="C47" i="241" s="1"/>
  <c r="C48" i="241" s="1"/>
  <c r="C49" i="241" s="1"/>
  <c r="C50" i="241" s="1"/>
  <c r="C51" i="241" s="1"/>
  <c r="C52" i="241" s="1"/>
  <c r="C53" i="241" s="1"/>
  <c r="C54" i="241" s="1"/>
  <c r="C55" i="241" s="1"/>
  <c r="C56" i="241" s="1"/>
  <c r="C57" i="241" s="1"/>
  <c r="C58" i="241" s="1"/>
  <c r="C59" i="241" s="1"/>
  <c r="C60" i="241" s="1"/>
  <c r="C61" i="241" s="1"/>
  <c r="C62" i="241" s="1"/>
  <c r="C63" i="241" s="1"/>
  <c r="C64" i="241" s="1"/>
  <c r="C65" i="241" s="1"/>
  <c r="C66" i="241" s="1"/>
  <c r="C67" i="241" s="1"/>
  <c r="C68" i="241" s="1"/>
  <c r="C69" i="241" s="1"/>
  <c r="C70" i="241" s="1"/>
  <c r="C71" i="241" s="1"/>
  <c r="C72" i="241" s="1"/>
  <c r="C73" i="241" s="1"/>
  <c r="C74" i="241" s="1"/>
  <c r="C75" i="241" s="1"/>
  <c r="C76" i="241" s="1"/>
  <c r="C77" i="241" s="1"/>
  <c r="C78" i="241" s="1"/>
  <c r="C79" i="241" s="1"/>
  <c r="D23" i="244"/>
  <c r="D24" i="244" s="1"/>
  <c r="D26" i="244" s="1"/>
  <c r="D27" i="244" s="1"/>
  <c r="D28" i="244" s="1"/>
  <c r="D29" i="244" s="1"/>
  <c r="D30" i="244" s="1"/>
  <c r="D31" i="244" s="1"/>
  <c r="D32" i="244" s="1"/>
  <c r="D33" i="244" s="1"/>
  <c r="D34" i="244" s="1"/>
  <c r="D35" i="244" s="1"/>
  <c r="D36" i="244" s="1"/>
  <c r="D37" i="244" s="1"/>
  <c r="D38" i="244" s="1"/>
  <c r="D39" i="244" s="1"/>
  <c r="D40" i="244" s="1"/>
  <c r="D41" i="244" s="1"/>
  <c r="D42" i="244" s="1"/>
  <c r="D43" i="244" s="1"/>
  <c r="D44" i="244" s="1"/>
  <c r="D45" i="244" s="1"/>
  <c r="D46" i="244" s="1"/>
  <c r="D47" i="244" s="1"/>
  <c r="D48" i="244" s="1"/>
  <c r="D49" i="244" s="1"/>
  <c r="D50" i="244" s="1"/>
  <c r="D51" i="244" s="1"/>
  <c r="D52" i="244" s="1"/>
  <c r="D53" i="244" s="1"/>
  <c r="D54" i="244" s="1"/>
  <c r="D55" i="244" s="1"/>
  <c r="D56" i="244" s="1"/>
  <c r="D57" i="244" s="1"/>
  <c r="D58" i="244" s="1"/>
  <c r="D59" i="244" s="1"/>
  <c r="D60" i="244" s="1"/>
  <c r="D61" i="244" s="1"/>
  <c r="D62" i="244" s="1"/>
  <c r="D63" i="244" s="1"/>
  <c r="D64" i="244" s="1"/>
  <c r="D65" i="244" s="1"/>
  <c r="D66" i="244" s="1"/>
  <c r="D67" i="244" s="1"/>
  <c r="D68" i="244" s="1"/>
  <c r="D69" i="244" s="1"/>
  <c r="D70" i="244" s="1"/>
  <c r="D71" i="244" s="1"/>
  <c r="D72" i="244" s="1"/>
  <c r="D73" i="244" s="1"/>
  <c r="D74" i="244" s="1"/>
  <c r="D23" i="229"/>
  <c r="D24" i="229" s="1"/>
  <c r="D25" i="229" s="1"/>
  <c r="D22" i="237"/>
  <c r="D24" i="237" s="1"/>
  <c r="D25" i="237" s="1"/>
  <c r="D26" i="237" s="1"/>
  <c r="D27" i="237" s="1"/>
  <c r="D28" i="237" s="1"/>
  <c r="D29" i="237" s="1"/>
  <c r="D30" i="237" s="1"/>
  <c r="D31" i="237" s="1"/>
  <c r="D32" i="237" s="1"/>
  <c r="D33" i="237" s="1"/>
  <c r="D34" i="237" s="1"/>
  <c r="D35" i="237" s="1"/>
  <c r="D36" i="237" s="1"/>
  <c r="D37" i="237" s="1"/>
  <c r="D38" i="237" s="1"/>
  <c r="D39" i="237" s="1"/>
  <c r="D40" i="237" s="1"/>
  <c r="D41" i="237" s="1"/>
  <c r="D42" i="237" s="1"/>
  <c r="D43" i="237" s="1"/>
  <c r="D44" i="237" s="1"/>
  <c r="D45" i="237" s="1"/>
  <c r="D46" i="237" s="1"/>
  <c r="D47" i="237" s="1"/>
  <c r="D48" i="237" s="1"/>
  <c r="D49" i="237" s="1"/>
  <c r="D50" i="237" s="1"/>
  <c r="D51" i="237" s="1"/>
  <c r="D52" i="237" s="1"/>
  <c r="D53" i="237" s="1"/>
  <c r="D54" i="237" s="1"/>
  <c r="D55" i="237" s="1"/>
  <c r="D56" i="237" s="1"/>
  <c r="D57" i="237" s="1"/>
  <c r="D58" i="237" s="1"/>
  <c r="D59" i="237" s="1"/>
  <c r="D60" i="237" s="1"/>
  <c r="D61" i="237" s="1"/>
  <c r="D62" i="237" s="1"/>
  <c r="D63" i="237" s="1"/>
  <c r="D64" i="237" s="1"/>
  <c r="D65" i="237" s="1"/>
  <c r="D66" i="237" s="1"/>
  <c r="D67" i="237" s="1"/>
  <c r="D68" i="237" s="1"/>
  <c r="D69" i="237" s="1"/>
  <c r="D70" i="237" s="1"/>
  <c r="D71" i="237" s="1"/>
  <c r="D72" i="237" s="1"/>
  <c r="D22" i="240"/>
  <c r="D24" i="240" s="1"/>
  <c r="D25" i="240" s="1"/>
  <c r="D26" i="240" s="1"/>
  <c r="D27" i="240" s="1"/>
  <c r="D28" i="240" s="1"/>
  <c r="D29" i="240" s="1"/>
  <c r="D30" i="240" s="1"/>
  <c r="D31" i="240" s="1"/>
  <c r="D32" i="240" s="1"/>
  <c r="D33" i="240" s="1"/>
  <c r="D34" i="240" s="1"/>
  <c r="D35" i="240" s="1"/>
  <c r="D36" i="240" s="1"/>
  <c r="D37" i="240" s="1"/>
  <c r="D38" i="240" s="1"/>
  <c r="D39" i="240" s="1"/>
  <c r="D40" i="240" s="1"/>
  <c r="D41" i="240" s="1"/>
  <c r="D42" i="240" s="1"/>
  <c r="D43" i="240" s="1"/>
  <c r="D44" i="240" s="1"/>
  <c r="D45" i="240" s="1"/>
  <c r="D46" i="240" s="1"/>
  <c r="D47" i="240" s="1"/>
  <c r="D48" i="240" s="1"/>
  <c r="D49" i="240" s="1"/>
  <c r="D50" i="240" s="1"/>
  <c r="D51" i="240" s="1"/>
  <c r="D52" i="240" s="1"/>
  <c r="D53" i="240" s="1"/>
  <c r="D54" i="240" s="1"/>
  <c r="D55" i="240" s="1"/>
  <c r="D56" i="240" s="1"/>
  <c r="D57" i="240" s="1"/>
  <c r="D58" i="240" s="1"/>
  <c r="D59" i="240" s="1"/>
  <c r="D60" i="240" s="1"/>
  <c r="D61" i="240" s="1"/>
  <c r="D62" i="240" s="1"/>
  <c r="D63" i="240" s="1"/>
  <c r="D64" i="240" s="1"/>
  <c r="D65" i="240" s="1"/>
  <c r="D66" i="240" s="1"/>
  <c r="D67" i="240" s="1"/>
  <c r="D68" i="240" s="1"/>
  <c r="D69" i="240" s="1"/>
  <c r="D70" i="240" s="1"/>
  <c r="D71" i="240" s="1"/>
  <c r="D72" i="240" s="1"/>
  <c r="D73" i="240" s="1"/>
  <c r="D74" i="240" s="1"/>
  <c r="D75" i="240" s="1"/>
  <c r="D76" i="240" s="1"/>
  <c r="D77" i="240" s="1"/>
  <c r="D78" i="240" s="1"/>
  <c r="D79" i="240" s="1"/>
  <c r="D80" i="240" s="1"/>
  <c r="D81" i="240" s="1"/>
  <c r="D82" i="240" s="1"/>
  <c r="D83" i="240" s="1"/>
  <c r="D25" i="236"/>
  <c r="D26" i="236" s="1"/>
  <c r="D27" i="236" s="1"/>
  <c r="D24" i="246"/>
  <c r="D26" i="246" s="1"/>
  <c r="D27" i="246" s="1"/>
  <c r="D28" i="246" s="1"/>
  <c r="D29" i="246" s="1"/>
  <c r="D30" i="246" s="1"/>
  <c r="D31" i="246" s="1"/>
  <c r="D32" i="246" s="1"/>
  <c r="D33" i="246" s="1"/>
  <c r="D34" i="246" s="1"/>
  <c r="D35" i="246" s="1"/>
  <c r="D36" i="246" s="1"/>
  <c r="D37" i="246" s="1"/>
  <c r="D39" i="246" s="1"/>
  <c r="D40" i="246" s="1"/>
  <c r="D41" i="246" s="1"/>
  <c r="D42" i="246" s="1"/>
  <c r="D43" i="246" s="1"/>
  <c r="D44" i="246" s="1"/>
  <c r="D45" i="246" s="1"/>
  <c r="D46" i="246" s="1"/>
  <c r="D47" i="246" s="1"/>
  <c r="D48" i="246" s="1"/>
  <c r="D49" i="246" s="1"/>
  <c r="D50" i="246" s="1"/>
  <c r="D52" i="246" s="1"/>
  <c r="D53" i="246" s="1"/>
  <c r="D54" i="246" s="1"/>
  <c r="D55" i="246" s="1"/>
  <c r="D56" i="246" s="1"/>
  <c r="D57" i="246" s="1"/>
  <c r="D58" i="246" s="1"/>
  <c r="D59" i="246" s="1"/>
  <c r="D60" i="246" s="1"/>
  <c r="D61" i="246" s="1"/>
  <c r="D62" i="246" s="1"/>
  <c r="D63" i="246" s="1"/>
  <c r="D65" i="246" s="1"/>
  <c r="D66" i="246" s="1"/>
  <c r="D67" i="246" s="1"/>
  <c r="D68" i="246" s="1"/>
  <c r="D69" i="246" s="1"/>
  <c r="D70" i="246" s="1"/>
  <c r="D71" i="246" s="1"/>
  <c r="D72" i="246" s="1"/>
  <c r="D73" i="246" s="1"/>
  <c r="D74" i="246" s="1"/>
  <c r="D75" i="246" s="1"/>
  <c r="D76" i="246" s="1"/>
  <c r="D78" i="246" s="1"/>
  <c r="D79" i="246" s="1"/>
  <c r="D80" i="246" s="1"/>
  <c r="D81" i="246" s="1"/>
  <c r="D82" i="246" s="1"/>
  <c r="D83" i="246" s="1"/>
  <c r="D84" i="246" s="1"/>
  <c r="D85" i="246" s="1"/>
  <c r="D86" i="246" s="1"/>
  <c r="D87" i="246" s="1"/>
  <c r="D88" i="246" s="1"/>
  <c r="D89" i="246" s="1"/>
  <c r="D90" i="246" s="1"/>
  <c r="D24" i="225"/>
  <c r="D26" i="225" s="1"/>
  <c r="D27" i="225" s="1"/>
  <c r="D28" i="225" s="1"/>
  <c r="D29" i="225" s="1"/>
  <c r="D30" i="225" s="1"/>
  <c r="D31" i="225" s="1"/>
  <c r="D33" i="225" s="1"/>
  <c r="D34" i="225" s="1"/>
  <c r="D35" i="225" s="1"/>
  <c r="D36" i="225" s="1"/>
  <c r="D37" i="225" s="1"/>
  <c r="D38" i="225" s="1"/>
  <c r="D39" i="225" s="1"/>
  <c r="D40" i="225" s="1"/>
  <c r="D41" i="225" s="1"/>
  <c r="D42" i="225" s="1"/>
  <c r="D43" i="225" s="1"/>
  <c r="D44" i="225" s="1"/>
  <c r="D45" i="225" s="1"/>
  <c r="D46" i="225" s="1"/>
  <c r="D47" i="225" s="1"/>
  <c r="D48" i="225" s="1"/>
  <c r="D49" i="225" s="1"/>
  <c r="D50" i="225" s="1"/>
  <c r="D51" i="225" s="1"/>
  <c r="D52" i="225" s="1"/>
  <c r="D53" i="225" s="1"/>
  <c r="D54" i="225" s="1"/>
  <c r="D55" i="225" s="1"/>
  <c r="D56" i="225" s="1"/>
  <c r="D57" i="225" s="1"/>
  <c r="D58" i="225" s="1"/>
  <c r="D59" i="225" s="1"/>
  <c r="D60" i="225" s="1"/>
  <c r="D61" i="225" s="1"/>
  <c r="D62" i="225" s="1"/>
  <c r="D63" i="225" s="1"/>
  <c r="D64" i="225" s="1"/>
  <c r="D65" i="225" s="1"/>
  <c r="D66" i="225" s="1"/>
  <c r="D67" i="225" s="1"/>
  <c r="D68" i="225" s="1"/>
  <c r="D69" i="225" s="1"/>
  <c r="D70" i="225" s="1"/>
  <c r="D71" i="225" s="1"/>
  <c r="D72" i="225" s="1"/>
  <c r="D73" i="225" s="1"/>
  <c r="D74" i="225" s="1"/>
  <c r="D75" i="225" s="1"/>
  <c r="D76" i="225" s="1"/>
  <c r="D77" i="225" s="1"/>
  <c r="D78" i="225" s="1"/>
  <c r="D79" i="225" s="1"/>
  <c r="D80" i="225" s="1"/>
  <c r="D81" i="225" s="1"/>
  <c r="D24" i="242"/>
  <c r="D26" i="242" s="1"/>
  <c r="D27" i="242" s="1"/>
  <c r="D28" i="242" s="1"/>
  <c r="D29" i="242" s="1"/>
  <c r="D30" i="242" s="1"/>
  <c r="D31" i="242" s="1"/>
  <c r="D32" i="242" s="1"/>
  <c r="D33" i="242" s="1"/>
  <c r="D34" i="242" s="1"/>
  <c r="D35" i="242" s="1"/>
  <c r="D36" i="242" s="1"/>
  <c r="D37" i="242" s="1"/>
  <c r="D38" i="242" s="1"/>
  <c r="D39" i="242" s="1"/>
  <c r="D40" i="242" s="1"/>
  <c r="D41" i="242" s="1"/>
  <c r="D42" i="242" s="1"/>
  <c r="D43" i="242" s="1"/>
  <c r="D44" i="242" s="1"/>
  <c r="D45" i="242" s="1"/>
  <c r="D46" i="242" s="1"/>
  <c r="D47" i="242" s="1"/>
  <c r="D48" i="242" s="1"/>
  <c r="D49" i="242" s="1"/>
  <c r="D50" i="242" s="1"/>
  <c r="D51" i="242" s="1"/>
  <c r="D52" i="242" s="1"/>
  <c r="D53" i="242" s="1"/>
  <c r="D54" i="242" s="1"/>
  <c r="D55" i="242" s="1"/>
  <c r="D56" i="242" s="1"/>
  <c r="D57" i="242" s="1"/>
  <c r="D58" i="242" s="1"/>
  <c r="D59" i="242" s="1"/>
  <c r="D60" i="242" s="1"/>
  <c r="D61" i="242" s="1"/>
  <c r="D62" i="242" s="1"/>
  <c r="D63" i="242" s="1"/>
  <c r="D64" i="242" s="1"/>
  <c r="D65" i="242" s="1"/>
  <c r="D66" i="242" s="1"/>
  <c r="D67" i="242" s="1"/>
  <c r="D68" i="242" s="1"/>
  <c r="D69" i="242" s="1"/>
  <c r="D70" i="242" s="1"/>
  <c r="D71" i="242" s="1"/>
  <c r="D72" i="242" s="1"/>
  <c r="D73" i="242" s="1"/>
  <c r="D74" i="242" s="1"/>
  <c r="D24" i="239"/>
  <c r="D26" i="239" s="1"/>
  <c r="D27" i="239" s="1"/>
  <c r="D28" i="239" s="1"/>
  <c r="D29" i="239" s="1"/>
  <c r="D30" i="239" s="1"/>
  <c r="D31" i="239" s="1"/>
  <c r="D32" i="239" s="1"/>
  <c r="D33" i="239" s="1"/>
  <c r="D34" i="239" s="1"/>
  <c r="D35" i="239" s="1"/>
  <c r="D36" i="239" s="1"/>
  <c r="D37" i="239" s="1"/>
  <c r="D38" i="239" s="1"/>
  <c r="D39" i="239" s="1"/>
  <c r="D40" i="239" s="1"/>
  <c r="D41" i="239" s="1"/>
  <c r="D42" i="239" s="1"/>
  <c r="D43" i="239" s="1"/>
  <c r="D44" i="239" s="1"/>
  <c r="D45" i="239" s="1"/>
  <c r="D46" i="239" s="1"/>
  <c r="D47" i="239" s="1"/>
  <c r="D48" i="239" s="1"/>
  <c r="D49" i="239" s="1"/>
  <c r="D50" i="239" s="1"/>
  <c r="D51" i="239" s="1"/>
  <c r="D52" i="239" s="1"/>
  <c r="D53" i="239" s="1"/>
  <c r="D54" i="239" s="1"/>
  <c r="D55" i="239" s="1"/>
  <c r="D56" i="239" s="1"/>
  <c r="D57" i="239" s="1"/>
  <c r="D58" i="239" s="1"/>
  <c r="D59" i="239" s="1"/>
  <c r="D60" i="239" s="1"/>
  <c r="D61" i="239" s="1"/>
  <c r="D62" i="239" s="1"/>
  <c r="D63" i="239" s="1"/>
  <c r="D64" i="239" s="1"/>
  <c r="D65" i="239" s="1"/>
  <c r="D66" i="239" s="1"/>
  <c r="D67" i="239" s="1"/>
  <c r="D68" i="239" s="1"/>
  <c r="D69" i="239" s="1"/>
  <c r="D70" i="239" s="1"/>
  <c r="D71" i="239" s="1"/>
  <c r="D72" i="239" s="1"/>
  <c r="D73" i="239" s="1"/>
  <c r="D74" i="239" s="1"/>
  <c r="D75" i="239" s="1"/>
  <c r="D76" i="239" s="1"/>
  <c r="D77" i="239" s="1"/>
  <c r="D78" i="239" s="1"/>
  <c r="D79" i="239" s="1"/>
  <c r="D80" i="239" s="1"/>
  <c r="D81" i="239" s="1"/>
  <c r="D82" i="239" s="1"/>
  <c r="D83" i="239" s="1"/>
  <c r="D84" i="239" s="1"/>
  <c r="D85" i="239" s="1"/>
  <c r="L33" i="243"/>
  <c r="C8" i="244"/>
  <c r="E13" i="244" s="1"/>
  <c r="E23" i="244" s="1"/>
  <c r="G23" i="244" s="1"/>
  <c r="C8" i="150"/>
  <c r="E13" i="150" s="1"/>
  <c r="E22" i="150" s="1"/>
  <c r="G22" i="150" s="1"/>
  <c r="C7" i="228"/>
  <c r="C7" i="229"/>
  <c r="C7" i="245"/>
  <c r="C7" i="241"/>
  <c r="C7" i="239"/>
  <c r="C7" i="242"/>
  <c r="C7" i="237"/>
  <c r="C7" i="225"/>
  <c r="C7" i="244"/>
  <c r="C7" i="150"/>
  <c r="C7" i="236"/>
  <c r="C7" i="240"/>
  <c r="C9" i="246"/>
  <c r="D13" i="246" s="1"/>
  <c r="D14" i="246" s="1"/>
  <c r="D16" i="246" s="1"/>
  <c r="C9" i="242"/>
  <c r="D13" i="242" s="1"/>
  <c r="D14" i="242" s="1"/>
  <c r="D16" i="242" s="1"/>
  <c r="C9" i="225"/>
  <c r="D13" i="225" s="1"/>
  <c r="C9" i="245"/>
  <c r="D13" i="245" s="1"/>
  <c r="D14" i="245" s="1"/>
  <c r="C9" i="239"/>
  <c r="D13" i="239" s="1"/>
  <c r="C9" i="228"/>
  <c r="D13" i="228" s="1"/>
  <c r="D14" i="228" s="1"/>
  <c r="C9" i="244"/>
  <c r="D13" i="244" s="1"/>
  <c r="D14" i="244" s="1"/>
  <c r="C9" i="236"/>
  <c r="D13" i="236" s="1"/>
  <c r="D14" i="236" s="1"/>
  <c r="C9" i="150"/>
  <c r="D13" i="150" s="1"/>
  <c r="D14" i="150" s="1"/>
  <c r="D16" i="150" s="1"/>
  <c r="C8" i="237"/>
  <c r="E13" i="237" s="1"/>
  <c r="E22" i="237" s="1"/>
  <c r="G22" i="237" s="1"/>
  <c r="C8" i="242"/>
  <c r="E13" i="242" s="1"/>
  <c r="E24" i="242" s="1"/>
  <c r="G24" i="242" s="1"/>
  <c r="G22" i="241"/>
  <c r="D14" i="239"/>
  <c r="D16" i="239" s="1"/>
  <c r="L21" i="243"/>
  <c r="L23" i="243"/>
  <c r="L32" i="243"/>
  <c r="C8" i="247"/>
  <c r="E13" i="247" s="1"/>
  <c r="E22" i="247" s="1"/>
  <c r="C8" i="229"/>
  <c r="E13" i="229" s="1"/>
  <c r="E23" i="229" s="1"/>
  <c r="C8" i="246"/>
  <c r="E13" i="246" s="1"/>
  <c r="E24" i="246" s="1"/>
  <c r="C8" i="228"/>
  <c r="E13" i="228" s="1"/>
  <c r="E24" i="228" s="1"/>
  <c r="C8" i="225"/>
  <c r="E13" i="225" s="1"/>
  <c r="E24" i="225" s="1"/>
  <c r="C8" i="239"/>
  <c r="E13" i="239" s="1"/>
  <c r="E24" i="239" s="1"/>
  <c r="C8" i="236"/>
  <c r="E13" i="236" s="1"/>
  <c r="E25" i="236" s="1"/>
  <c r="C8" i="245"/>
  <c r="E13" i="245" s="1"/>
  <c r="E25" i="245" s="1"/>
  <c r="L24" i="243"/>
  <c r="L29" i="243"/>
  <c r="C7" i="247"/>
  <c r="C7" i="246"/>
  <c r="C9" i="240"/>
  <c r="D13" i="240" s="1"/>
  <c r="C9" i="237"/>
  <c r="D13" i="237" s="1"/>
  <c r="C9" i="229"/>
  <c r="D13" i="229" s="1"/>
  <c r="C9" i="247"/>
  <c r="D13" i="247" s="1"/>
  <c r="C9" i="241"/>
  <c r="D13" i="241" s="1"/>
  <c r="D15" i="245" l="1"/>
  <c r="D17" i="245" s="1"/>
  <c r="D16" i="228"/>
  <c r="D18" i="228" s="1"/>
  <c r="D15" i="236"/>
  <c r="D17" i="236" s="1"/>
  <c r="D19" i="236" s="1"/>
  <c r="D15" i="244"/>
  <c r="D17" i="244" s="1"/>
  <c r="E28" i="244" s="1"/>
  <c r="D18" i="242"/>
  <c r="D19" i="242"/>
  <c r="D14" i="225"/>
  <c r="D16" i="225" s="1"/>
  <c r="E38" i="150"/>
  <c r="E54" i="150"/>
  <c r="E70" i="150"/>
  <c r="E24" i="150"/>
  <c r="E45" i="150"/>
  <c r="E61" i="150"/>
  <c r="E73" i="150"/>
  <c r="E32" i="150"/>
  <c r="E48" i="150"/>
  <c r="E64" i="150"/>
  <c r="E27" i="150"/>
  <c r="E47" i="150"/>
  <c r="E63" i="150"/>
  <c r="E26" i="150"/>
  <c r="D17" i="150"/>
  <c r="E42" i="150"/>
  <c r="E62" i="150"/>
  <c r="E29" i="150"/>
  <c r="E49" i="150"/>
  <c r="E69" i="150"/>
  <c r="E28" i="150"/>
  <c r="E52" i="150"/>
  <c r="E72" i="150"/>
  <c r="E43" i="150"/>
  <c r="E67" i="150"/>
  <c r="E58" i="150"/>
  <c r="E33" i="150"/>
  <c r="E57" i="150"/>
  <c r="E25" i="150"/>
  <c r="E56" i="150"/>
  <c r="E35" i="150"/>
  <c r="E59" i="150"/>
  <c r="E34" i="150"/>
  <c r="E66" i="150"/>
  <c r="E37" i="150"/>
  <c r="E65" i="150"/>
  <c r="E36" i="150"/>
  <c r="E60" i="150"/>
  <c r="E39" i="150"/>
  <c r="E71" i="150"/>
  <c r="E46" i="150"/>
  <c r="E74" i="150"/>
  <c r="E41" i="150"/>
  <c r="E79" i="150"/>
  <c r="E40" i="150"/>
  <c r="E68" i="150"/>
  <c r="E51" i="150"/>
  <c r="E75" i="150"/>
  <c r="E77" i="150"/>
  <c r="E31" i="150"/>
  <c r="E55" i="150"/>
  <c r="E50" i="150"/>
  <c r="E44" i="150"/>
  <c r="E53" i="150"/>
  <c r="E78" i="150"/>
  <c r="E76" i="150"/>
  <c r="D19" i="246"/>
  <c r="D18" i="246"/>
  <c r="D19" i="245"/>
  <c r="D20" i="245"/>
  <c r="G24" i="225"/>
  <c r="D20" i="236"/>
  <c r="D14" i="247"/>
  <c r="D16" i="247" s="1"/>
  <c r="E29" i="244"/>
  <c r="E56" i="244"/>
  <c r="E33" i="244"/>
  <c r="E41" i="244"/>
  <c r="E44" i="244"/>
  <c r="E31" i="244"/>
  <c r="E47" i="244"/>
  <c r="E57" i="244"/>
  <c r="D18" i="244"/>
  <c r="G24" i="228"/>
  <c r="D18" i="239"/>
  <c r="D19" i="239"/>
  <c r="D14" i="241"/>
  <c r="D16" i="241" s="1"/>
  <c r="G22" i="247"/>
  <c r="D14" i="229"/>
  <c r="G24" i="246"/>
  <c r="D14" i="240"/>
  <c r="D16" i="240" s="1"/>
  <c r="G25" i="236"/>
  <c r="D14" i="237"/>
  <c r="D16" i="237" s="1"/>
  <c r="G25" i="245"/>
  <c r="G24" i="239"/>
  <c r="G23" i="229"/>
  <c r="D19" i="228" l="1"/>
  <c r="E27" i="244"/>
  <c r="E40" i="244"/>
  <c r="E67" i="244"/>
  <c r="E73" i="244"/>
  <c r="E69" i="244"/>
  <c r="E49" i="244"/>
  <c r="E72" i="244"/>
  <c r="E64" i="244"/>
  <c r="E30" i="244"/>
  <c r="E52" i="244"/>
  <c r="E66" i="244"/>
  <c r="E63" i="244"/>
  <c r="E58" i="244"/>
  <c r="E51" i="244"/>
  <c r="E37" i="244"/>
  <c r="E35" i="244"/>
  <c r="E59" i="244"/>
  <c r="E24" i="244"/>
  <c r="E61" i="244"/>
  <c r="E43" i="244"/>
  <c r="E26" i="244"/>
  <c r="E60" i="244"/>
  <c r="E70" i="244"/>
  <c r="E39" i="244"/>
  <c r="E45" i="244"/>
  <c r="E48" i="244"/>
  <c r="E65" i="244"/>
  <c r="E71" i="244"/>
  <c r="E32" i="244"/>
  <c r="E28" i="228"/>
  <c r="E29" i="228"/>
  <c r="E55" i="244"/>
  <c r="E38" i="244"/>
  <c r="E42" i="244"/>
  <c r="E34" i="244"/>
  <c r="E50" i="244"/>
  <c r="E36" i="244"/>
  <c r="E53" i="244"/>
  <c r="E74" i="244"/>
  <c r="E46" i="244"/>
  <c r="E54" i="244"/>
  <c r="E68" i="244"/>
  <c r="E62" i="244"/>
  <c r="E31" i="228"/>
  <c r="E27" i="228"/>
  <c r="E30" i="228"/>
  <c r="F39" i="228"/>
  <c r="F59" i="228"/>
  <c r="F81" i="228"/>
  <c r="F42" i="228"/>
  <c r="F62" i="228"/>
  <c r="F30" i="228"/>
  <c r="F52" i="228"/>
  <c r="F72" i="228"/>
  <c r="F41" i="228"/>
  <c r="F61" i="228"/>
  <c r="F33" i="228"/>
  <c r="F43" i="228"/>
  <c r="F67" i="228"/>
  <c r="F46" i="228"/>
  <c r="F70" i="228"/>
  <c r="F36" i="228"/>
  <c r="F29" i="228"/>
  <c r="G29" i="228" s="1"/>
  <c r="F45" i="228"/>
  <c r="F35" i="228"/>
  <c r="F55" i="228"/>
  <c r="F75" i="228"/>
  <c r="F38" i="228"/>
  <c r="F58" i="228"/>
  <c r="F78" i="228"/>
  <c r="F48" i="228"/>
  <c r="F68" i="228"/>
  <c r="F34" i="228"/>
  <c r="F57" i="228"/>
  <c r="F77" i="228"/>
  <c r="F76" i="228"/>
  <c r="F56" i="228"/>
  <c r="F65" i="228"/>
  <c r="F51" i="228"/>
  <c r="F71" i="228"/>
  <c r="F27" i="228"/>
  <c r="F54" i="228"/>
  <c r="F74" i="228"/>
  <c r="F40" i="228"/>
  <c r="F64" i="228"/>
  <c r="F31" i="228"/>
  <c r="G31" i="228" s="1"/>
  <c r="F49" i="228"/>
  <c r="F73" i="228"/>
  <c r="F79" i="228"/>
  <c r="F28" i="228"/>
  <c r="G28" i="228" s="1"/>
  <c r="F37" i="228"/>
  <c r="F26" i="228"/>
  <c r="F44" i="228"/>
  <c r="F53" i="228"/>
  <c r="F80" i="228"/>
  <c r="F47" i="228"/>
  <c r="F50" i="228"/>
  <c r="F60" i="228"/>
  <c r="F69" i="228"/>
  <c r="F63" i="228"/>
  <c r="F66" i="228"/>
  <c r="F33" i="242"/>
  <c r="F30" i="242"/>
  <c r="F39" i="242"/>
  <c r="F41" i="242"/>
  <c r="F74" i="242"/>
  <c r="F57" i="242"/>
  <c r="F45" i="242"/>
  <c r="F60" i="242"/>
  <c r="F31" i="242"/>
  <c r="F68" i="242"/>
  <c r="F42" i="242"/>
  <c r="F51" i="242"/>
  <c r="F64" i="242"/>
  <c r="F29" i="242"/>
  <c r="F35" i="242"/>
  <c r="F70" i="242"/>
  <c r="F62" i="242"/>
  <c r="F55" i="242"/>
  <c r="F69" i="242"/>
  <c r="F54" i="242"/>
  <c r="F49" i="242"/>
  <c r="F63" i="242"/>
  <c r="F34" i="242"/>
  <c r="F66" i="242"/>
  <c r="F72" i="242"/>
  <c r="F48" i="242"/>
  <c r="F65" i="242"/>
  <c r="F44" i="242"/>
  <c r="F47" i="242"/>
  <c r="F58" i="242"/>
  <c r="F36" i="242"/>
  <c r="F38" i="242"/>
  <c r="F40" i="242"/>
  <c r="F26" i="242"/>
  <c r="F27" i="242"/>
  <c r="F52" i="242"/>
  <c r="F53" i="242"/>
  <c r="F56" i="242"/>
  <c r="F46" i="242"/>
  <c r="F32" i="242"/>
  <c r="F59" i="242"/>
  <c r="F43" i="242"/>
  <c r="F28" i="242"/>
  <c r="F37" i="242"/>
  <c r="F61" i="242"/>
  <c r="F71" i="242"/>
  <c r="F67" i="242"/>
  <c r="F50" i="242"/>
  <c r="F73" i="242"/>
  <c r="D19" i="225"/>
  <c r="D18" i="225"/>
  <c r="E46" i="228"/>
  <c r="G46" i="228" s="1"/>
  <c r="E66" i="228"/>
  <c r="E47" i="228"/>
  <c r="E37" i="228"/>
  <c r="E61" i="228"/>
  <c r="G61" i="228" s="1"/>
  <c r="E35" i="228"/>
  <c r="E67" i="228"/>
  <c r="E48" i="228"/>
  <c r="E68" i="228"/>
  <c r="G68" i="228" s="1"/>
  <c r="E50" i="228"/>
  <c r="E70" i="228"/>
  <c r="E45" i="228"/>
  <c r="E65" i="228"/>
  <c r="E43" i="228"/>
  <c r="G43" i="228" s="1"/>
  <c r="E52" i="228"/>
  <c r="E72" i="228"/>
  <c r="E38" i="228"/>
  <c r="E62" i="228"/>
  <c r="E39" i="228"/>
  <c r="E34" i="228"/>
  <c r="E53" i="228"/>
  <c r="E77" i="228"/>
  <c r="E63" i="228"/>
  <c r="E40" i="228"/>
  <c r="E64" i="228"/>
  <c r="E55" i="228"/>
  <c r="G55" i="228" s="1"/>
  <c r="E75" i="228"/>
  <c r="E81" i="228"/>
  <c r="E54" i="228"/>
  <c r="E78" i="228"/>
  <c r="G78" i="228" s="1"/>
  <c r="E33" i="228"/>
  <c r="E49" i="228"/>
  <c r="E69" i="228"/>
  <c r="E59" i="228"/>
  <c r="E36" i="228"/>
  <c r="E56" i="228"/>
  <c r="E80" i="228"/>
  <c r="E42" i="228"/>
  <c r="G42" i="228" s="1"/>
  <c r="E79" i="228"/>
  <c r="E51" i="228"/>
  <c r="E76" i="228"/>
  <c r="G76" i="228" s="1"/>
  <c r="E41" i="228"/>
  <c r="E71" i="228"/>
  <c r="E58" i="228"/>
  <c r="D20" i="228"/>
  <c r="E73" i="228"/>
  <c r="E74" i="228"/>
  <c r="E57" i="228"/>
  <c r="E44" i="228"/>
  <c r="E26" i="228"/>
  <c r="E60" i="228"/>
  <c r="E42" i="242"/>
  <c r="G42" i="242" s="1"/>
  <c r="E63" i="242"/>
  <c r="E47" i="242"/>
  <c r="E28" i="242"/>
  <c r="E39" i="242"/>
  <c r="G39" i="242" s="1"/>
  <c r="E51" i="242"/>
  <c r="E56" i="242"/>
  <c r="E30" i="242"/>
  <c r="E43" i="242"/>
  <c r="E52" i="242"/>
  <c r="E58" i="242"/>
  <c r="E31" i="242"/>
  <c r="E66" i="242"/>
  <c r="E68" i="242"/>
  <c r="E32" i="242"/>
  <c r="G32" i="242" s="1"/>
  <c r="E70" i="242"/>
  <c r="E38" i="242"/>
  <c r="E59" i="242"/>
  <c r="E40" i="242"/>
  <c r="E71" i="242"/>
  <c r="E36" i="242"/>
  <c r="E41" i="242"/>
  <c r="E50" i="242"/>
  <c r="E29" i="242"/>
  <c r="E35" i="242"/>
  <c r="G35" i="242" s="1"/>
  <c r="E69" i="242"/>
  <c r="G69" i="242" s="1"/>
  <c r="E60" i="242"/>
  <c r="G60" i="242" s="1"/>
  <c r="D20" i="242"/>
  <c r="E55" i="242"/>
  <c r="E73" i="242"/>
  <c r="E64" i="242"/>
  <c r="E33" i="242"/>
  <c r="E37" i="242"/>
  <c r="E72" i="242"/>
  <c r="E62" i="242"/>
  <c r="E34" i="242"/>
  <c r="E27" i="242"/>
  <c r="E65" i="242"/>
  <c r="G65" i="242" s="1"/>
  <c r="E45" i="242"/>
  <c r="G45" i="242" s="1"/>
  <c r="E49" i="242"/>
  <c r="E74" i="242"/>
  <c r="E61" i="242"/>
  <c r="E44" i="242"/>
  <c r="G44" i="242" s="1"/>
  <c r="E53" i="242"/>
  <c r="E48" i="242"/>
  <c r="E46" i="242"/>
  <c r="E67" i="242"/>
  <c r="G67" i="242" s="1"/>
  <c r="E54" i="242"/>
  <c r="E57" i="242"/>
  <c r="E26" i="242"/>
  <c r="E76" i="247"/>
  <c r="E26" i="247"/>
  <c r="E30" i="247"/>
  <c r="E34" i="247"/>
  <c r="E39" i="247"/>
  <c r="E43" i="247"/>
  <c r="E47" i="247"/>
  <c r="E51" i="247"/>
  <c r="E55" i="247"/>
  <c r="E59" i="247"/>
  <c r="E64" i="247"/>
  <c r="E68" i="247"/>
  <c r="E72" i="247"/>
  <c r="E80" i="247"/>
  <c r="E84" i="247"/>
  <c r="D17" i="247"/>
  <c r="D18" i="247" s="1"/>
  <c r="E28" i="247"/>
  <c r="E32" i="247"/>
  <c r="E37" i="247"/>
  <c r="E41" i="247"/>
  <c r="E45" i="247"/>
  <c r="E53" i="247"/>
  <c r="E57" i="247"/>
  <c r="E61" i="247"/>
  <c r="E66" i="247"/>
  <c r="E70" i="247"/>
  <c r="E74" i="247"/>
  <c r="E78" i="247"/>
  <c r="E82" i="247"/>
  <c r="E86" i="247"/>
  <c r="E88" i="247"/>
  <c r="E24" i="247"/>
  <c r="E29" i="247"/>
  <c r="E38" i="247"/>
  <c r="E46" i="247"/>
  <c r="E58" i="247"/>
  <c r="E67" i="247"/>
  <c r="E79" i="247"/>
  <c r="E87" i="247"/>
  <c r="E33" i="247"/>
  <c r="E48" i="247"/>
  <c r="E60" i="247"/>
  <c r="E65" i="247"/>
  <c r="E77" i="247"/>
  <c r="E44" i="247"/>
  <c r="E81" i="247"/>
  <c r="E27" i="247"/>
  <c r="E40" i="247"/>
  <c r="E54" i="247"/>
  <c r="E35" i="247"/>
  <c r="E42" i="247"/>
  <c r="E56" i="247"/>
  <c r="E63" i="247"/>
  <c r="E69" i="247"/>
  <c r="E83" i="247"/>
  <c r="E31" i="247"/>
  <c r="E73" i="247"/>
  <c r="E25" i="247"/>
  <c r="E52" i="247"/>
  <c r="E50" i="247"/>
  <c r="E71" i="247"/>
  <c r="E85" i="247"/>
  <c r="E37" i="240"/>
  <c r="E53" i="240"/>
  <c r="E69" i="240"/>
  <c r="E40" i="240"/>
  <c r="E56" i="240"/>
  <c r="E72" i="240"/>
  <c r="E31" i="240"/>
  <c r="E47" i="240"/>
  <c r="E63" i="240"/>
  <c r="E38" i="240"/>
  <c r="E78" i="240"/>
  <c r="E82" i="240"/>
  <c r="E46" i="240"/>
  <c r="E26" i="240"/>
  <c r="E81" i="240"/>
  <c r="E41" i="240"/>
  <c r="E61" i="240"/>
  <c r="E36" i="240"/>
  <c r="E60" i="240"/>
  <c r="E80" i="240"/>
  <c r="E43" i="240"/>
  <c r="E67" i="240"/>
  <c r="E70" i="240"/>
  <c r="E66" i="240"/>
  <c r="E62" i="240"/>
  <c r="E58" i="240"/>
  <c r="E45" i="240"/>
  <c r="E65" i="240"/>
  <c r="E44" i="240"/>
  <c r="E64" i="240"/>
  <c r="E27" i="240"/>
  <c r="E51" i="240"/>
  <c r="E71" i="240"/>
  <c r="E74" i="240"/>
  <c r="E24" i="240"/>
  <c r="E77" i="240"/>
  <c r="E73" i="240"/>
  <c r="E29" i="240"/>
  <c r="E49" i="240"/>
  <c r="E28" i="240"/>
  <c r="E48" i="240"/>
  <c r="E68" i="240"/>
  <c r="E35" i="240"/>
  <c r="E55" i="240"/>
  <c r="E75" i="240"/>
  <c r="E34" i="240"/>
  <c r="E25" i="240"/>
  <c r="E79" i="240"/>
  <c r="E83" i="240"/>
  <c r="E52" i="240"/>
  <c r="E54" i="240"/>
  <c r="E59" i="240"/>
  <c r="E33" i="240"/>
  <c r="E76" i="240"/>
  <c r="E50" i="240"/>
  <c r="D17" i="240"/>
  <c r="E32" i="240"/>
  <c r="E42" i="240"/>
  <c r="E57" i="240"/>
  <c r="E39" i="240"/>
  <c r="E30" i="240"/>
  <c r="D17" i="237"/>
  <c r="E33" i="237"/>
  <c r="E49" i="237"/>
  <c r="E65" i="237"/>
  <c r="E30" i="237"/>
  <c r="E46" i="237"/>
  <c r="E62" i="237"/>
  <c r="E31" i="237"/>
  <c r="E47" i="237"/>
  <c r="E63" i="237"/>
  <c r="E32" i="237"/>
  <c r="E48" i="237"/>
  <c r="E64" i="237"/>
  <c r="E37" i="237"/>
  <c r="E57" i="237"/>
  <c r="E26" i="237"/>
  <c r="E50" i="237"/>
  <c r="E70" i="237"/>
  <c r="E43" i="237"/>
  <c r="E67" i="237"/>
  <c r="E40" i="237"/>
  <c r="E29" i="237"/>
  <c r="E61" i="237"/>
  <c r="E38" i="237"/>
  <c r="E66" i="237"/>
  <c r="E51" i="237"/>
  <c r="E28" i="237"/>
  <c r="E56" i="237"/>
  <c r="E41" i="237"/>
  <c r="E69" i="237"/>
  <c r="E42" i="237"/>
  <c r="E27" i="237"/>
  <c r="E55" i="237"/>
  <c r="E36" i="237"/>
  <c r="E60" i="237"/>
  <c r="E45" i="237"/>
  <c r="E72" i="237"/>
  <c r="E54" i="237"/>
  <c r="E35" i="237"/>
  <c r="E59" i="237"/>
  <c r="E44" i="237"/>
  <c r="E68" i="237"/>
  <c r="E25" i="237"/>
  <c r="E39" i="237"/>
  <c r="E58" i="237"/>
  <c r="E53" i="237"/>
  <c r="E71" i="237"/>
  <c r="E24" i="237"/>
  <c r="E34" i="237"/>
  <c r="E52" i="237"/>
  <c r="F29" i="239"/>
  <c r="F45" i="239"/>
  <c r="F61" i="239"/>
  <c r="F77" i="239"/>
  <c r="F34" i="239"/>
  <c r="F50" i="239"/>
  <c r="F66" i="239"/>
  <c r="F82" i="239"/>
  <c r="F36" i="239"/>
  <c r="F56" i="239"/>
  <c r="F76" i="239"/>
  <c r="F35" i="239"/>
  <c r="F51" i="239"/>
  <c r="F67" i="239"/>
  <c r="F83" i="239"/>
  <c r="F33" i="239"/>
  <c r="F53" i="239"/>
  <c r="F73" i="239"/>
  <c r="F38" i="239"/>
  <c r="F58" i="239"/>
  <c r="F78" i="239"/>
  <c r="F44" i="239"/>
  <c r="F64" i="239"/>
  <c r="F31" i="239"/>
  <c r="F55" i="239"/>
  <c r="F75" i="239"/>
  <c r="F84" i="239"/>
  <c r="F37" i="239"/>
  <c r="F65" i="239"/>
  <c r="F30" i="239"/>
  <c r="F62" i="239"/>
  <c r="F28" i="239"/>
  <c r="F60" i="239"/>
  <c r="F39" i="239"/>
  <c r="F63" i="239"/>
  <c r="F72" i="239"/>
  <c r="F85" i="239"/>
  <c r="F26" i="239"/>
  <c r="F40" i="239"/>
  <c r="F41" i="239"/>
  <c r="F69" i="239"/>
  <c r="F42" i="239"/>
  <c r="F70" i="239"/>
  <c r="F32" i="239"/>
  <c r="F68" i="239"/>
  <c r="F43" i="239"/>
  <c r="F71" i="239"/>
  <c r="F81" i="239"/>
  <c r="F46" i="239"/>
  <c r="F48" i="239"/>
  <c r="F47" i="239"/>
  <c r="F54" i="239"/>
  <c r="F52" i="239"/>
  <c r="F59" i="239"/>
  <c r="F49" i="239"/>
  <c r="F74" i="239"/>
  <c r="F80" i="239"/>
  <c r="F79" i="239"/>
  <c r="F57" i="239"/>
  <c r="F27" i="239"/>
  <c r="F27" i="236"/>
  <c r="F26" i="236"/>
  <c r="E65" i="246"/>
  <c r="E39" i="246"/>
  <c r="E30" i="246"/>
  <c r="E34" i="246"/>
  <c r="E78" i="246"/>
  <c r="E26" i="246"/>
  <c r="E31" i="246"/>
  <c r="E33" i="246"/>
  <c r="E36" i="246"/>
  <c r="E40" i="246"/>
  <c r="E44" i="246"/>
  <c r="E48" i="246"/>
  <c r="E56" i="246"/>
  <c r="E60" i="246"/>
  <c r="E68" i="246"/>
  <c r="E72" i="246"/>
  <c r="E76" i="246"/>
  <c r="E80" i="246"/>
  <c r="E84" i="246"/>
  <c r="E88" i="246"/>
  <c r="D20" i="246"/>
  <c r="E27" i="246"/>
  <c r="E32" i="246"/>
  <c r="E41" i="246"/>
  <c r="E43" i="246"/>
  <c r="E50" i="246"/>
  <c r="E53" i="246"/>
  <c r="E55" i="246"/>
  <c r="E62" i="246"/>
  <c r="E67" i="246"/>
  <c r="E74" i="246"/>
  <c r="E79" i="246"/>
  <c r="E86" i="246"/>
  <c r="E52" i="246"/>
  <c r="E28" i="246"/>
  <c r="E45" i="246"/>
  <c r="E58" i="246"/>
  <c r="E63" i="246"/>
  <c r="E69" i="246"/>
  <c r="E82" i="246"/>
  <c r="E87" i="246"/>
  <c r="E89" i="246"/>
  <c r="E35" i="246"/>
  <c r="E42" i="246"/>
  <c r="E70" i="246"/>
  <c r="E73" i="246"/>
  <c r="E81" i="246"/>
  <c r="E46" i="246"/>
  <c r="E49" i="246"/>
  <c r="E54" i="246"/>
  <c r="E57" i="246"/>
  <c r="E71" i="246"/>
  <c r="E85" i="246"/>
  <c r="E29" i="246"/>
  <c r="E37" i="246"/>
  <c r="E59" i="246"/>
  <c r="E66" i="246"/>
  <c r="E47" i="246"/>
  <c r="E61" i="246"/>
  <c r="E75" i="246"/>
  <c r="E83" i="246"/>
  <c r="E90" i="246"/>
  <c r="F39" i="150"/>
  <c r="G39" i="150" s="1"/>
  <c r="F55" i="150"/>
  <c r="G55" i="150" s="1"/>
  <c r="F71" i="150"/>
  <c r="G71" i="150" s="1"/>
  <c r="F34" i="150"/>
  <c r="G34" i="150" s="1"/>
  <c r="F50" i="150"/>
  <c r="G50" i="150" s="1"/>
  <c r="F66" i="150"/>
  <c r="G66" i="150" s="1"/>
  <c r="F29" i="150"/>
  <c r="G29" i="150" s="1"/>
  <c r="F45" i="150"/>
  <c r="G45" i="150" s="1"/>
  <c r="F61" i="150"/>
  <c r="G61" i="150" s="1"/>
  <c r="F77" i="150"/>
  <c r="G77" i="150" s="1"/>
  <c r="F32" i="150"/>
  <c r="G32" i="150" s="1"/>
  <c r="F48" i="150"/>
  <c r="G48" i="150" s="1"/>
  <c r="F64" i="150"/>
  <c r="G64" i="150" s="1"/>
  <c r="F27" i="150"/>
  <c r="G27" i="150" s="1"/>
  <c r="F79" i="150"/>
  <c r="G79" i="150" s="1"/>
  <c r="F51" i="150"/>
  <c r="G51" i="150" s="1"/>
  <c r="F75" i="150"/>
  <c r="G75" i="150" s="1"/>
  <c r="F42" i="150"/>
  <c r="G42" i="150" s="1"/>
  <c r="F62" i="150"/>
  <c r="G62" i="150" s="1"/>
  <c r="F33" i="150"/>
  <c r="G33" i="150" s="1"/>
  <c r="F53" i="150"/>
  <c r="G53" i="150" s="1"/>
  <c r="F73" i="150"/>
  <c r="G73" i="150" s="1"/>
  <c r="F36" i="150"/>
  <c r="G36" i="150" s="1"/>
  <c r="F56" i="150"/>
  <c r="G56" i="150" s="1"/>
  <c r="F76" i="150"/>
  <c r="G76" i="150" s="1"/>
  <c r="F35" i="150"/>
  <c r="G35" i="150" s="1"/>
  <c r="F63" i="150"/>
  <c r="G63" i="150" s="1"/>
  <c r="F38" i="150"/>
  <c r="G38" i="150" s="1"/>
  <c r="F70" i="150"/>
  <c r="G70" i="150" s="1"/>
  <c r="F41" i="150"/>
  <c r="G41" i="150" s="1"/>
  <c r="F69" i="150"/>
  <c r="G69" i="150" s="1"/>
  <c r="F40" i="150"/>
  <c r="G40" i="150" s="1"/>
  <c r="F68" i="150"/>
  <c r="G68" i="150" s="1"/>
  <c r="F43" i="150"/>
  <c r="G43" i="150" s="1"/>
  <c r="F67" i="150"/>
  <c r="G67" i="150" s="1"/>
  <c r="F46" i="150"/>
  <c r="G46" i="150" s="1"/>
  <c r="F74" i="150"/>
  <c r="G74" i="150" s="1"/>
  <c r="F49" i="150"/>
  <c r="G49" i="150" s="1"/>
  <c r="F25" i="150"/>
  <c r="F44" i="150"/>
  <c r="G44" i="150" s="1"/>
  <c r="F72" i="150"/>
  <c r="G72" i="150" s="1"/>
  <c r="F47" i="150"/>
  <c r="G47" i="150" s="1"/>
  <c r="F31" i="150"/>
  <c r="G31" i="150" s="1"/>
  <c r="F54" i="150"/>
  <c r="G54" i="150" s="1"/>
  <c r="F78" i="150"/>
  <c r="G78" i="150" s="1"/>
  <c r="F57" i="150"/>
  <c r="G57" i="150" s="1"/>
  <c r="F28" i="150"/>
  <c r="G28" i="150" s="1"/>
  <c r="F52" i="150"/>
  <c r="G52" i="150" s="1"/>
  <c r="F37" i="150"/>
  <c r="G37" i="150" s="1"/>
  <c r="F59" i="150"/>
  <c r="G59" i="150" s="1"/>
  <c r="F65" i="150"/>
  <c r="G65" i="150" s="1"/>
  <c r="F58" i="150"/>
  <c r="G58" i="150" s="1"/>
  <c r="F60" i="150"/>
  <c r="G60" i="150" s="1"/>
  <c r="F26" i="150"/>
  <c r="G26" i="150" s="1"/>
  <c r="F24" i="150"/>
  <c r="E61" i="245"/>
  <c r="E31" i="245"/>
  <c r="E28" i="245"/>
  <c r="E48" i="245"/>
  <c r="E55" i="245"/>
  <c r="E52" i="245"/>
  <c r="E32" i="245"/>
  <c r="E39" i="245"/>
  <c r="E45" i="245"/>
  <c r="E64" i="245"/>
  <c r="E33" i="245"/>
  <c r="E74" i="245"/>
  <c r="E57" i="245"/>
  <c r="E46" i="245"/>
  <c r="E60" i="245"/>
  <c r="E53" i="245"/>
  <c r="E67" i="245"/>
  <c r="E58" i="245"/>
  <c r="E26" i="245"/>
  <c r="E75" i="245"/>
  <c r="E66" i="245"/>
  <c r="E38" i="245"/>
  <c r="E73" i="245"/>
  <c r="E54" i="245"/>
  <c r="E68" i="245"/>
  <c r="E59" i="245"/>
  <c r="E40" i="245"/>
  <c r="D21" i="245"/>
  <c r="E63" i="245"/>
  <c r="E70" i="245"/>
  <c r="E69" i="245"/>
  <c r="E62" i="245"/>
  <c r="E65" i="245"/>
  <c r="E36" i="245"/>
  <c r="E43" i="245"/>
  <c r="E72" i="245"/>
  <c r="E71" i="245"/>
  <c r="E30" i="245"/>
  <c r="E50" i="245"/>
  <c r="E76" i="245"/>
  <c r="E49" i="245"/>
  <c r="E35" i="245"/>
  <c r="E56" i="245"/>
  <c r="E47" i="245"/>
  <c r="E37" i="245"/>
  <c r="E29" i="245"/>
  <c r="E44" i="245"/>
  <c r="E51" i="245"/>
  <c r="E34" i="245"/>
  <c r="E42" i="245"/>
  <c r="E41" i="245"/>
  <c r="G24" i="150"/>
  <c r="E80" i="150"/>
  <c r="D17" i="241"/>
  <c r="D18" i="241" s="1"/>
  <c r="E32" i="241"/>
  <c r="E46" i="241"/>
  <c r="E62" i="241"/>
  <c r="E78" i="241"/>
  <c r="E45" i="241"/>
  <c r="E61" i="241"/>
  <c r="E77" i="241"/>
  <c r="E36" i="241"/>
  <c r="E52" i="241"/>
  <c r="E68" i="241"/>
  <c r="E29" i="241"/>
  <c r="E39" i="241"/>
  <c r="E55" i="241"/>
  <c r="E71" i="241"/>
  <c r="E34" i="241"/>
  <c r="E54" i="241"/>
  <c r="E74" i="241"/>
  <c r="E49" i="241"/>
  <c r="E69" i="241"/>
  <c r="E33" i="241"/>
  <c r="E56" i="241"/>
  <c r="E76" i="241"/>
  <c r="E35" i="241"/>
  <c r="E59" i="241"/>
  <c r="E28" i="241"/>
  <c r="E42" i="241"/>
  <c r="E70" i="241"/>
  <c r="E53" i="241"/>
  <c r="E31" i="241"/>
  <c r="E48" i="241"/>
  <c r="E25" i="241"/>
  <c r="E47" i="241"/>
  <c r="E75" i="241"/>
  <c r="E50" i="241"/>
  <c r="E27" i="241"/>
  <c r="E57" i="241"/>
  <c r="E26" i="241"/>
  <c r="E60" i="241"/>
  <c r="E24" i="241"/>
  <c r="E51" i="241"/>
  <c r="E58" i="241"/>
  <c r="E37" i="241"/>
  <c r="E65" i="241"/>
  <c r="E40" i="241"/>
  <c r="E64" i="241"/>
  <c r="E79" i="241"/>
  <c r="E63" i="241"/>
  <c r="E73" i="241"/>
  <c r="E67" i="241"/>
  <c r="E41" i="241"/>
  <c r="E38" i="241"/>
  <c r="E44" i="241"/>
  <c r="E43" i="241"/>
  <c r="E66" i="241"/>
  <c r="E72" i="241"/>
  <c r="D15" i="229"/>
  <c r="D17" i="229" s="1"/>
  <c r="E29" i="239"/>
  <c r="E37" i="239"/>
  <c r="E45" i="239"/>
  <c r="E53" i="239"/>
  <c r="E61" i="239"/>
  <c r="E69" i="239"/>
  <c r="E77" i="239"/>
  <c r="E85" i="239"/>
  <c r="E32" i="239"/>
  <c r="E40" i="239"/>
  <c r="E48" i="239"/>
  <c r="E56" i="239"/>
  <c r="G56" i="239" s="1"/>
  <c r="E64" i="239"/>
  <c r="E72" i="239"/>
  <c r="E80" i="239"/>
  <c r="D20" i="239"/>
  <c r="E33" i="239"/>
  <c r="E43" i="239"/>
  <c r="E55" i="239"/>
  <c r="E65" i="239"/>
  <c r="E75" i="239"/>
  <c r="E27" i="239"/>
  <c r="E36" i="239"/>
  <c r="E46" i="239"/>
  <c r="E58" i="239"/>
  <c r="E68" i="239"/>
  <c r="E78" i="239"/>
  <c r="E39" i="239"/>
  <c r="G39" i="239" s="1"/>
  <c r="E51" i="239"/>
  <c r="E67" i="239"/>
  <c r="E81" i="239"/>
  <c r="E34" i="239"/>
  <c r="E50" i="239"/>
  <c r="E62" i="239"/>
  <c r="E76" i="239"/>
  <c r="E47" i="239"/>
  <c r="E35" i="239"/>
  <c r="E79" i="239"/>
  <c r="E44" i="239"/>
  <c r="E74" i="239"/>
  <c r="E41" i="239"/>
  <c r="E57" i="239"/>
  <c r="E71" i="239"/>
  <c r="E83" i="239"/>
  <c r="E38" i="239"/>
  <c r="E52" i="239"/>
  <c r="E66" i="239"/>
  <c r="E82" i="239"/>
  <c r="E31" i="239"/>
  <c r="E73" i="239"/>
  <c r="E28" i="239"/>
  <c r="E54" i="239"/>
  <c r="E70" i="239"/>
  <c r="E84" i="239"/>
  <c r="E49" i="239"/>
  <c r="E30" i="239"/>
  <c r="G30" i="239" s="1"/>
  <c r="E60" i="239"/>
  <c r="E26" i="239"/>
  <c r="E59" i="239"/>
  <c r="E42" i="239"/>
  <c r="G42" i="239" s="1"/>
  <c r="E63" i="239"/>
  <c r="F53" i="244"/>
  <c r="F51" i="244"/>
  <c r="G51" i="244" s="1"/>
  <c r="F40" i="244"/>
  <c r="G40" i="244" s="1"/>
  <c r="F41" i="244"/>
  <c r="G41" i="244" s="1"/>
  <c r="F64" i="244"/>
  <c r="G64" i="244" s="1"/>
  <c r="F49" i="244"/>
  <c r="G49" i="244" s="1"/>
  <c r="F26" i="244"/>
  <c r="F34" i="244"/>
  <c r="F70" i="244"/>
  <c r="G70" i="244" s="1"/>
  <c r="F33" i="244"/>
  <c r="G33" i="244" s="1"/>
  <c r="F56" i="244"/>
  <c r="G56" i="244" s="1"/>
  <c r="F55" i="244"/>
  <c r="G55" i="244" s="1"/>
  <c r="F32" i="244"/>
  <c r="G32" i="244" s="1"/>
  <c r="F52" i="244"/>
  <c r="G52" i="244" s="1"/>
  <c r="F47" i="244"/>
  <c r="G47" i="244" s="1"/>
  <c r="F67" i="244"/>
  <c r="G67" i="244" s="1"/>
  <c r="F68" i="244"/>
  <c r="F48" i="244"/>
  <c r="G48" i="244" s="1"/>
  <c r="F62" i="244"/>
  <c r="G62" i="244" s="1"/>
  <c r="F69" i="244"/>
  <c r="G69" i="244" s="1"/>
  <c r="F65" i="244"/>
  <c r="G65" i="244" s="1"/>
  <c r="F54" i="244"/>
  <c r="F38" i="244"/>
  <c r="F43" i="244"/>
  <c r="G43" i="244" s="1"/>
  <c r="F57" i="244"/>
  <c r="G57" i="244" s="1"/>
  <c r="F45" i="244"/>
  <c r="G45" i="244" s="1"/>
  <c r="F60" i="244"/>
  <c r="G60" i="244" s="1"/>
  <c r="F37" i="244"/>
  <c r="G37" i="244" s="1"/>
  <c r="F63" i="244"/>
  <c r="G63" i="244" s="1"/>
  <c r="F30" i="244"/>
  <c r="G30" i="244" s="1"/>
  <c r="F35" i="244"/>
  <c r="G35" i="244" s="1"/>
  <c r="F66" i="244"/>
  <c r="F42" i="244"/>
  <c r="F58" i="244"/>
  <c r="G58" i="244" s="1"/>
  <c r="F59" i="244"/>
  <c r="G59" i="244" s="1"/>
  <c r="F73" i="244"/>
  <c r="G73" i="244" s="1"/>
  <c r="F61" i="244"/>
  <c r="G61" i="244" s="1"/>
  <c r="F36" i="244"/>
  <c r="F72" i="244"/>
  <c r="G72" i="244" s="1"/>
  <c r="F24" i="244"/>
  <c r="F39" i="244"/>
  <c r="G39" i="244" s="1"/>
  <c r="F71" i="244"/>
  <c r="G71" i="244" s="1"/>
  <c r="F74" i="244"/>
  <c r="G74" i="244" s="1"/>
  <c r="F50" i="244"/>
  <c r="G50" i="244" s="1"/>
  <c r="F46" i="244"/>
  <c r="G46" i="244" s="1"/>
  <c r="F28" i="244"/>
  <c r="G28" i="244" s="1"/>
  <c r="F29" i="244"/>
  <c r="G29" i="244" s="1"/>
  <c r="F44" i="244"/>
  <c r="G44" i="244" s="1"/>
  <c r="F27" i="244"/>
  <c r="G27" i="244" s="1"/>
  <c r="F31" i="244"/>
  <c r="G31" i="244" s="1"/>
  <c r="G26" i="244"/>
  <c r="G66" i="244"/>
  <c r="E26" i="236"/>
  <c r="D21" i="236"/>
  <c r="E27" i="236"/>
  <c r="F27" i="246"/>
  <c r="F31" i="246"/>
  <c r="F29" i="246"/>
  <c r="F37" i="246"/>
  <c r="F41" i="246"/>
  <c r="F45" i="246"/>
  <c r="F49" i="246"/>
  <c r="F53" i="246"/>
  <c r="F57" i="246"/>
  <c r="F61" i="246"/>
  <c r="F65" i="246"/>
  <c r="F69" i="246"/>
  <c r="F73" i="246"/>
  <c r="F81" i="246"/>
  <c r="F85" i="246"/>
  <c r="F89" i="246"/>
  <c r="F34" i="246"/>
  <c r="F36" i="246"/>
  <c r="F39" i="246"/>
  <c r="F46" i="246"/>
  <c r="F48" i="246"/>
  <c r="F58" i="246"/>
  <c r="F60" i="246"/>
  <c r="F70" i="246"/>
  <c r="F72" i="246"/>
  <c r="F82" i="246"/>
  <c r="F84" i="246"/>
  <c r="F40" i="246"/>
  <c r="F42" i="246"/>
  <c r="F47" i="246"/>
  <c r="F66" i="246"/>
  <c r="F71" i="246"/>
  <c r="F76" i="246"/>
  <c r="F26" i="246"/>
  <c r="F30" i="246"/>
  <c r="F56" i="246"/>
  <c r="F59" i="246"/>
  <c r="F62" i="246"/>
  <c r="F67" i="246"/>
  <c r="F87" i="246"/>
  <c r="F35" i="246"/>
  <c r="F43" i="246"/>
  <c r="F63" i="246"/>
  <c r="F74" i="246"/>
  <c r="F78" i="246"/>
  <c r="F88" i="246"/>
  <c r="F28" i="246"/>
  <c r="F50" i="246"/>
  <c r="F79" i="246"/>
  <c r="F44" i="246"/>
  <c r="F52" i="246"/>
  <c r="F80" i="246"/>
  <c r="F86" i="246"/>
  <c r="F32" i="246"/>
  <c r="F54" i="246"/>
  <c r="F68" i="246"/>
  <c r="F33" i="246"/>
  <c r="F55" i="246"/>
  <c r="F75" i="246"/>
  <c r="F83" i="246"/>
  <c r="F90" i="246"/>
  <c r="G25" i="150"/>
  <c r="D18" i="150"/>
  <c r="D19" i="244"/>
  <c r="F74" i="245"/>
  <c r="F48" i="245"/>
  <c r="F37" i="245"/>
  <c r="F57" i="245"/>
  <c r="F72" i="245"/>
  <c r="F30" i="245"/>
  <c r="F67" i="245"/>
  <c r="F64" i="245"/>
  <c r="F65" i="245"/>
  <c r="F46" i="245"/>
  <c r="F38" i="245"/>
  <c r="F29" i="245"/>
  <c r="F42" i="245"/>
  <c r="F51" i="245"/>
  <c r="F28" i="245"/>
  <c r="F40" i="245"/>
  <c r="F52" i="245"/>
  <c r="F49" i="245"/>
  <c r="F70" i="245"/>
  <c r="F50" i="245"/>
  <c r="F41" i="245"/>
  <c r="F71" i="245"/>
  <c r="F55" i="245"/>
  <c r="F39" i="245"/>
  <c r="F61" i="245"/>
  <c r="F31" i="245"/>
  <c r="F76" i="245"/>
  <c r="F59" i="245"/>
  <c r="F68" i="245"/>
  <c r="F26" i="245"/>
  <c r="F60" i="245"/>
  <c r="F63" i="245"/>
  <c r="F58" i="245"/>
  <c r="F69" i="245"/>
  <c r="F73" i="245"/>
  <c r="F33" i="245"/>
  <c r="F36" i="245"/>
  <c r="F45" i="245"/>
  <c r="F66" i="245"/>
  <c r="F54" i="245"/>
  <c r="F75" i="245"/>
  <c r="F35" i="245"/>
  <c r="F44" i="245"/>
  <c r="F34" i="245"/>
  <c r="F53" i="245"/>
  <c r="F43" i="245"/>
  <c r="F62" i="245"/>
  <c r="F56" i="245"/>
  <c r="F47" i="245"/>
  <c r="F32" i="245"/>
  <c r="G35" i="228" l="1"/>
  <c r="G46" i="242"/>
  <c r="G36" i="239"/>
  <c r="G55" i="239"/>
  <c r="G42" i="244"/>
  <c r="G68" i="244"/>
  <c r="G53" i="244"/>
  <c r="E75" i="244"/>
  <c r="G78" i="239"/>
  <c r="G80" i="239"/>
  <c r="G34" i="244"/>
  <c r="G54" i="228"/>
  <c r="G65" i="228"/>
  <c r="G38" i="244"/>
  <c r="G36" i="244"/>
  <c r="G54" i="244"/>
  <c r="G49" i="242"/>
  <c r="G34" i="242"/>
  <c r="G33" i="242"/>
  <c r="G28" i="242"/>
  <c r="G36" i="228"/>
  <c r="G57" i="228"/>
  <c r="G72" i="228"/>
  <c r="G51" i="228"/>
  <c r="G49" i="228"/>
  <c r="G48" i="228"/>
  <c r="G53" i="242"/>
  <c r="G31" i="242"/>
  <c r="G60" i="228"/>
  <c r="G30" i="228"/>
  <c r="G62" i="242"/>
  <c r="G64" i="242"/>
  <c r="G63" i="239"/>
  <c r="G70" i="239"/>
  <c r="G38" i="239"/>
  <c r="G64" i="239"/>
  <c r="G61" i="239"/>
  <c r="G26" i="228"/>
  <c r="G73" i="228"/>
  <c r="G59" i="228"/>
  <c r="G27" i="228"/>
  <c r="G29" i="242"/>
  <c r="G30" i="242"/>
  <c r="G83" i="239"/>
  <c r="G47" i="239"/>
  <c r="F28" i="236"/>
  <c r="G41" i="242"/>
  <c r="G51" i="242"/>
  <c r="G74" i="228"/>
  <c r="G75" i="228"/>
  <c r="G39" i="228"/>
  <c r="G67" i="228"/>
  <c r="G69" i="239"/>
  <c r="G60" i="239"/>
  <c r="G31" i="239"/>
  <c r="G41" i="239"/>
  <c r="G35" i="239"/>
  <c r="G51" i="239"/>
  <c r="G58" i="239"/>
  <c r="G33" i="239"/>
  <c r="G32" i="239"/>
  <c r="G29" i="239"/>
  <c r="G66" i="242"/>
  <c r="G41" i="228"/>
  <c r="G77" i="228"/>
  <c r="G62" i="228"/>
  <c r="G56" i="242"/>
  <c r="G58" i="242"/>
  <c r="G56" i="228"/>
  <c r="G52" i="239"/>
  <c r="G68" i="239"/>
  <c r="G34" i="239"/>
  <c r="G46" i="239"/>
  <c r="G65" i="239"/>
  <c r="G85" i="239"/>
  <c r="G53" i="239"/>
  <c r="G54" i="242"/>
  <c r="G73" i="242"/>
  <c r="G63" i="228"/>
  <c r="G47" i="228"/>
  <c r="H24" i="242"/>
  <c r="H23" i="242"/>
  <c r="G71" i="242"/>
  <c r="F75" i="242"/>
  <c r="G66" i="228"/>
  <c r="G50" i="228"/>
  <c r="G54" i="239"/>
  <c r="G44" i="228"/>
  <c r="H24" i="228"/>
  <c r="H23" i="228"/>
  <c r="G64" i="228"/>
  <c r="G47" i="242"/>
  <c r="F82" i="228"/>
  <c r="G38" i="228"/>
  <c r="G49" i="239"/>
  <c r="G28" i="239"/>
  <c r="G66" i="239"/>
  <c r="G71" i="239"/>
  <c r="G76" i="239"/>
  <c r="G81" i="239"/>
  <c r="G77" i="239"/>
  <c r="E75" i="242"/>
  <c r="G26" i="242"/>
  <c r="G61" i="242"/>
  <c r="G72" i="242"/>
  <c r="G59" i="242"/>
  <c r="G68" i="242"/>
  <c r="G63" i="242"/>
  <c r="G58" i="228"/>
  <c r="G81" i="228"/>
  <c r="G40" i="228"/>
  <c r="G34" i="228"/>
  <c r="G45" i="228"/>
  <c r="E40" i="225"/>
  <c r="E50" i="225"/>
  <c r="E60" i="225"/>
  <c r="E72" i="225"/>
  <c r="E35" i="225"/>
  <c r="E45" i="225"/>
  <c r="E57" i="225"/>
  <c r="E67" i="225"/>
  <c r="E77" i="225"/>
  <c r="D20" i="225"/>
  <c r="E52" i="225"/>
  <c r="E74" i="225"/>
  <c r="E37" i="225"/>
  <c r="E59" i="225"/>
  <c r="E69" i="225"/>
  <c r="E36" i="225"/>
  <c r="E48" i="225"/>
  <c r="E58" i="225"/>
  <c r="E68" i="225"/>
  <c r="E80" i="225"/>
  <c r="E43" i="225"/>
  <c r="E53" i="225"/>
  <c r="E65" i="225"/>
  <c r="E75" i="225"/>
  <c r="E42" i="225"/>
  <c r="E64" i="225"/>
  <c r="E49" i="225"/>
  <c r="E34" i="225"/>
  <c r="E44" i="225"/>
  <c r="E56" i="225"/>
  <c r="E66" i="225"/>
  <c r="E76" i="225"/>
  <c r="E41" i="225"/>
  <c r="E51" i="225"/>
  <c r="E61" i="225"/>
  <c r="E73" i="225"/>
  <c r="E54" i="225"/>
  <c r="E33" i="225"/>
  <c r="E63" i="225"/>
  <c r="E62" i="225"/>
  <c r="E39" i="225"/>
  <c r="E71" i="225"/>
  <c r="E46" i="225"/>
  <c r="E78" i="225"/>
  <c r="E55" i="225"/>
  <c r="E81" i="225"/>
  <c r="E38" i="225"/>
  <c r="E70" i="225"/>
  <c r="E47" i="225"/>
  <c r="E79" i="225"/>
  <c r="E28" i="225"/>
  <c r="E30" i="225"/>
  <c r="E29" i="225"/>
  <c r="E27" i="225"/>
  <c r="E26" i="225"/>
  <c r="E31" i="225"/>
  <c r="G50" i="242"/>
  <c r="G37" i="242"/>
  <c r="G52" i="242"/>
  <c r="G38" i="242"/>
  <c r="G70" i="242"/>
  <c r="G69" i="228"/>
  <c r="G80" i="228"/>
  <c r="G37" i="228"/>
  <c r="G82" i="239"/>
  <c r="G74" i="239"/>
  <c r="G40" i="242"/>
  <c r="G27" i="236"/>
  <c r="G84" i="239"/>
  <c r="G57" i="239"/>
  <c r="G62" i="239"/>
  <c r="G27" i="239"/>
  <c r="G72" i="239"/>
  <c r="G40" i="239"/>
  <c r="G37" i="239"/>
  <c r="G51" i="245"/>
  <c r="G47" i="245"/>
  <c r="G76" i="245"/>
  <c r="G72" i="245"/>
  <c r="G62" i="245"/>
  <c r="G75" i="245"/>
  <c r="G53" i="245"/>
  <c r="G74" i="245"/>
  <c r="G48" i="245"/>
  <c r="G59" i="246"/>
  <c r="G71" i="246"/>
  <c r="G46" i="246"/>
  <c r="G42" i="246"/>
  <c r="G82" i="246"/>
  <c r="G45" i="246"/>
  <c r="G79" i="246"/>
  <c r="G55" i="246"/>
  <c r="G41" i="246"/>
  <c r="G88" i="246"/>
  <c r="G72" i="246"/>
  <c r="G48" i="246"/>
  <c r="G33" i="246"/>
  <c r="G34" i="246"/>
  <c r="E82" i="228"/>
  <c r="G57" i="242"/>
  <c r="G48" i="242"/>
  <c r="G74" i="242"/>
  <c r="G55" i="242"/>
  <c r="G43" i="242"/>
  <c r="G71" i="228"/>
  <c r="G79" i="228"/>
  <c r="G33" i="228"/>
  <c r="G52" i="228"/>
  <c r="G70" i="228"/>
  <c r="F26" i="225"/>
  <c r="F42" i="225"/>
  <c r="F52" i="225"/>
  <c r="F64" i="225"/>
  <c r="F74" i="225"/>
  <c r="F30" i="225"/>
  <c r="F35" i="225"/>
  <c r="F45" i="225"/>
  <c r="F55" i="225"/>
  <c r="F73" i="225"/>
  <c r="F63" i="225"/>
  <c r="F44" i="225"/>
  <c r="F56" i="225"/>
  <c r="F66" i="225"/>
  <c r="F77" i="225"/>
  <c r="F47" i="225"/>
  <c r="F61" i="225"/>
  <c r="F75" i="225"/>
  <c r="F40" i="225"/>
  <c r="F50" i="225"/>
  <c r="F60" i="225"/>
  <c r="F72" i="225"/>
  <c r="F28" i="225"/>
  <c r="F81" i="225"/>
  <c r="F43" i="225"/>
  <c r="F53" i="225"/>
  <c r="F67" i="225"/>
  <c r="F34" i="225"/>
  <c r="F76" i="225"/>
  <c r="F37" i="225"/>
  <c r="F79" i="225"/>
  <c r="F69" i="225"/>
  <c r="F36" i="225"/>
  <c r="F48" i="225"/>
  <c r="F58" i="225"/>
  <c r="F68" i="225"/>
  <c r="F80" i="225"/>
  <c r="F29" i="225"/>
  <c r="F39" i="225"/>
  <c r="F51" i="225"/>
  <c r="F65" i="225"/>
  <c r="F31" i="225"/>
  <c r="F27" i="225"/>
  <c r="F62" i="225"/>
  <c r="F33" i="225"/>
  <c r="F71" i="225"/>
  <c r="F38" i="225"/>
  <c r="F70" i="225"/>
  <c r="F41" i="225"/>
  <c r="F54" i="225"/>
  <c r="F57" i="225"/>
  <c r="F46" i="225"/>
  <c r="F78" i="225"/>
  <c r="F49" i="225"/>
  <c r="F59" i="225"/>
  <c r="G27" i="242"/>
  <c r="G36" i="242"/>
  <c r="G53" i="228"/>
  <c r="E25" i="229"/>
  <c r="D18" i="229"/>
  <c r="D19" i="229" s="1"/>
  <c r="E24" i="229"/>
  <c r="H22" i="247"/>
  <c r="H21" i="247"/>
  <c r="G54" i="245"/>
  <c r="G75" i="246"/>
  <c r="G59" i="239"/>
  <c r="G44" i="239"/>
  <c r="G48" i="239"/>
  <c r="G45" i="239"/>
  <c r="G80" i="150"/>
  <c r="G41" i="245"/>
  <c r="G44" i="245"/>
  <c r="G56" i="245"/>
  <c r="G50" i="245"/>
  <c r="G43" i="245"/>
  <c r="G69" i="245"/>
  <c r="G40" i="245"/>
  <c r="G73" i="245"/>
  <c r="G26" i="245"/>
  <c r="E77" i="245"/>
  <c r="G60" i="245"/>
  <c r="G33" i="245"/>
  <c r="G32" i="245"/>
  <c r="G28" i="245"/>
  <c r="F80" i="150"/>
  <c r="G61" i="246"/>
  <c r="G37" i="246"/>
  <c r="G57" i="246"/>
  <c r="G81" i="246"/>
  <c r="G35" i="246"/>
  <c r="G69" i="246"/>
  <c r="G28" i="246"/>
  <c r="G74" i="246"/>
  <c r="G53" i="246"/>
  <c r="G32" i="246"/>
  <c r="G84" i="246"/>
  <c r="G68" i="246"/>
  <c r="G44" i="246"/>
  <c r="G31" i="246"/>
  <c r="G30" i="246"/>
  <c r="E73" i="237"/>
  <c r="F31" i="237"/>
  <c r="G31" i="237" s="1"/>
  <c r="F47" i="237"/>
  <c r="G47" i="237" s="1"/>
  <c r="F63" i="237"/>
  <c r="F28" i="237"/>
  <c r="G28" i="237" s="1"/>
  <c r="F44" i="237"/>
  <c r="G44" i="237" s="1"/>
  <c r="F60" i="237"/>
  <c r="G60" i="237" s="1"/>
  <c r="F33" i="237"/>
  <c r="G33" i="237" s="1"/>
  <c r="F49" i="237"/>
  <c r="F65" i="237"/>
  <c r="G65" i="237" s="1"/>
  <c r="F30" i="237"/>
  <c r="G30" i="237" s="1"/>
  <c r="F46" i="237"/>
  <c r="G46" i="237" s="1"/>
  <c r="F62" i="237"/>
  <c r="G62" i="237" s="1"/>
  <c r="F27" i="237"/>
  <c r="G27" i="237" s="1"/>
  <c r="F51" i="237"/>
  <c r="G51" i="237" s="1"/>
  <c r="F71" i="237"/>
  <c r="G71" i="237" s="1"/>
  <c r="F40" i="237"/>
  <c r="G40" i="237" s="1"/>
  <c r="F64" i="237"/>
  <c r="G64" i="237" s="1"/>
  <c r="F41" i="237"/>
  <c r="G41" i="237" s="1"/>
  <c r="F61" i="237"/>
  <c r="G61" i="237" s="1"/>
  <c r="F34" i="237"/>
  <c r="G34" i="237" s="1"/>
  <c r="F54" i="237"/>
  <c r="G54" i="237" s="1"/>
  <c r="F24" i="237"/>
  <c r="G24" i="237" s="1"/>
  <c r="F35" i="237"/>
  <c r="G35" i="237" s="1"/>
  <c r="F55" i="237"/>
  <c r="G55" i="237" s="1"/>
  <c r="F25" i="237"/>
  <c r="G25" i="237" s="1"/>
  <c r="F48" i="237"/>
  <c r="G48" i="237" s="1"/>
  <c r="F68" i="237"/>
  <c r="G68" i="237" s="1"/>
  <c r="F45" i="237"/>
  <c r="G45" i="237" s="1"/>
  <c r="F69" i="237"/>
  <c r="G69" i="237" s="1"/>
  <c r="F38" i="237"/>
  <c r="G38" i="237" s="1"/>
  <c r="F58" i="237"/>
  <c r="G58" i="237" s="1"/>
  <c r="F39" i="237"/>
  <c r="G39" i="237" s="1"/>
  <c r="F59" i="237"/>
  <c r="G59" i="237" s="1"/>
  <c r="F32" i="237"/>
  <c r="G32" i="237" s="1"/>
  <c r="F52" i="237"/>
  <c r="G52" i="237" s="1"/>
  <c r="F29" i="237"/>
  <c r="G29" i="237" s="1"/>
  <c r="F53" i="237"/>
  <c r="G53" i="237" s="1"/>
  <c r="F72" i="237"/>
  <c r="G72" i="237" s="1"/>
  <c r="F42" i="237"/>
  <c r="G42" i="237" s="1"/>
  <c r="F66" i="237"/>
  <c r="G66" i="237" s="1"/>
  <c r="F43" i="237"/>
  <c r="G43" i="237" s="1"/>
  <c r="F37" i="237"/>
  <c r="G37" i="237" s="1"/>
  <c r="F70" i="237"/>
  <c r="G70" i="237" s="1"/>
  <c r="F56" i="237"/>
  <c r="G56" i="237" s="1"/>
  <c r="F67" i="237"/>
  <c r="G67" i="237" s="1"/>
  <c r="F57" i="237"/>
  <c r="G57" i="237" s="1"/>
  <c r="F50" i="237"/>
  <c r="G50" i="237" s="1"/>
  <c r="F36" i="237"/>
  <c r="G36" i="237" s="1"/>
  <c r="F26" i="237"/>
  <c r="G26" i="237" s="1"/>
  <c r="E84" i="240"/>
  <c r="H23" i="244"/>
  <c r="H22" i="244"/>
  <c r="G39" i="245"/>
  <c r="F86" i="239"/>
  <c r="G63" i="237"/>
  <c r="F30" i="240"/>
  <c r="G30" i="240" s="1"/>
  <c r="F46" i="240"/>
  <c r="G46" i="240" s="1"/>
  <c r="F62" i="240"/>
  <c r="G62" i="240" s="1"/>
  <c r="F33" i="240"/>
  <c r="G33" i="240" s="1"/>
  <c r="F49" i="240"/>
  <c r="G49" i="240" s="1"/>
  <c r="F65" i="240"/>
  <c r="G65" i="240" s="1"/>
  <c r="F81" i="240"/>
  <c r="G81" i="240" s="1"/>
  <c r="F36" i="240"/>
  <c r="G36" i="240" s="1"/>
  <c r="F52" i="240"/>
  <c r="G52" i="240" s="1"/>
  <c r="F68" i="240"/>
  <c r="G68" i="240" s="1"/>
  <c r="F59" i="240"/>
  <c r="G59" i="240" s="1"/>
  <c r="F55" i="240"/>
  <c r="G55" i="240" s="1"/>
  <c r="F80" i="240"/>
  <c r="G80" i="240" s="1"/>
  <c r="F75" i="240"/>
  <c r="G75" i="240" s="1"/>
  <c r="F63" i="240"/>
  <c r="G63" i="240" s="1"/>
  <c r="F26" i="240"/>
  <c r="G26" i="240" s="1"/>
  <c r="F50" i="240"/>
  <c r="G50" i="240" s="1"/>
  <c r="F70" i="240"/>
  <c r="G70" i="240" s="1"/>
  <c r="F45" i="240"/>
  <c r="G45" i="240" s="1"/>
  <c r="F69" i="240"/>
  <c r="G69" i="240" s="1"/>
  <c r="F28" i="240"/>
  <c r="G28" i="240" s="1"/>
  <c r="F48" i="240"/>
  <c r="G48" i="240" s="1"/>
  <c r="F72" i="240"/>
  <c r="G72" i="240" s="1"/>
  <c r="F83" i="240"/>
  <c r="G83" i="240" s="1"/>
  <c r="F78" i="240"/>
  <c r="G78" i="240" s="1"/>
  <c r="F82" i="240"/>
  <c r="G82" i="240" s="1"/>
  <c r="F34" i="240"/>
  <c r="G34" i="240" s="1"/>
  <c r="F54" i="240"/>
  <c r="G54" i="240" s="1"/>
  <c r="F29" i="240"/>
  <c r="G29" i="240" s="1"/>
  <c r="F53" i="240"/>
  <c r="G53" i="240" s="1"/>
  <c r="F73" i="240"/>
  <c r="G73" i="240" s="1"/>
  <c r="F32" i="240"/>
  <c r="G32" i="240" s="1"/>
  <c r="F56" i="240"/>
  <c r="G56" i="240" s="1"/>
  <c r="F27" i="240"/>
  <c r="G27" i="240" s="1"/>
  <c r="F39" i="240"/>
  <c r="G39" i="240" s="1"/>
  <c r="F35" i="240"/>
  <c r="G35" i="240" s="1"/>
  <c r="F31" i="240"/>
  <c r="G31" i="240" s="1"/>
  <c r="F38" i="240"/>
  <c r="G38" i="240" s="1"/>
  <c r="F58" i="240"/>
  <c r="G58" i="240" s="1"/>
  <c r="F37" i="240"/>
  <c r="G37" i="240" s="1"/>
  <c r="F57" i="240"/>
  <c r="G57" i="240" s="1"/>
  <c r="F77" i="240"/>
  <c r="G77" i="240" s="1"/>
  <c r="F40" i="240"/>
  <c r="G40" i="240" s="1"/>
  <c r="F60" i="240"/>
  <c r="G60" i="240" s="1"/>
  <c r="F43" i="240"/>
  <c r="G43" i="240" s="1"/>
  <c r="F71" i="240"/>
  <c r="G71" i="240" s="1"/>
  <c r="F51" i="240"/>
  <c r="G51" i="240" s="1"/>
  <c r="F47" i="240"/>
  <c r="G47" i="240" s="1"/>
  <c r="F25" i="240"/>
  <c r="G25" i="240" s="1"/>
  <c r="F61" i="240"/>
  <c r="G61" i="240" s="1"/>
  <c r="F76" i="240"/>
  <c r="G76" i="240" s="1"/>
  <c r="F64" i="240"/>
  <c r="G64" i="240" s="1"/>
  <c r="F42" i="240"/>
  <c r="G42" i="240" s="1"/>
  <c r="F24" i="240"/>
  <c r="G24" i="240" s="1"/>
  <c r="F74" i="240"/>
  <c r="G74" i="240" s="1"/>
  <c r="F41" i="240"/>
  <c r="G41" i="240" s="1"/>
  <c r="F79" i="240"/>
  <c r="F66" i="240"/>
  <c r="G66" i="240" s="1"/>
  <c r="F44" i="240"/>
  <c r="G44" i="240" s="1"/>
  <c r="F67" i="240"/>
  <c r="G67" i="240" s="1"/>
  <c r="G79" i="240"/>
  <c r="F27" i="247"/>
  <c r="G27" i="247" s="1"/>
  <c r="F31" i="247"/>
  <c r="G31" i="247" s="1"/>
  <c r="F35" i="247"/>
  <c r="G35" i="247" s="1"/>
  <c r="F40" i="247"/>
  <c r="G40" i="247" s="1"/>
  <c r="F44" i="247"/>
  <c r="G44" i="247" s="1"/>
  <c r="F48" i="247"/>
  <c r="G48" i="247" s="1"/>
  <c r="F52" i="247"/>
  <c r="G52" i="247" s="1"/>
  <c r="F56" i="247"/>
  <c r="G56" i="247" s="1"/>
  <c r="F60" i="247"/>
  <c r="G60" i="247" s="1"/>
  <c r="F65" i="247"/>
  <c r="G65" i="247" s="1"/>
  <c r="F69" i="247"/>
  <c r="G69" i="247" s="1"/>
  <c r="F73" i="247"/>
  <c r="G73" i="247" s="1"/>
  <c r="F77" i="247"/>
  <c r="G77" i="247" s="1"/>
  <c r="F81" i="247"/>
  <c r="G81" i="247" s="1"/>
  <c r="F85" i="247"/>
  <c r="G85" i="247" s="1"/>
  <c r="F25" i="247"/>
  <c r="G25" i="247" s="1"/>
  <c r="F29" i="247"/>
  <c r="G29" i="247" s="1"/>
  <c r="F33" i="247"/>
  <c r="G33" i="247" s="1"/>
  <c r="F38" i="247"/>
  <c r="G38" i="247" s="1"/>
  <c r="F42" i="247"/>
  <c r="G42" i="247" s="1"/>
  <c r="F46" i="247"/>
  <c r="G46" i="247" s="1"/>
  <c r="F50" i="247"/>
  <c r="G50" i="247" s="1"/>
  <c r="F54" i="247"/>
  <c r="G54" i="247" s="1"/>
  <c r="F58" i="247"/>
  <c r="G58" i="247" s="1"/>
  <c r="F63" i="247"/>
  <c r="G63" i="247" s="1"/>
  <c r="F67" i="247"/>
  <c r="G67" i="247" s="1"/>
  <c r="F71" i="247"/>
  <c r="G71" i="247" s="1"/>
  <c r="F79" i="247"/>
  <c r="G79" i="247" s="1"/>
  <c r="F83" i="247"/>
  <c r="G83" i="247" s="1"/>
  <c r="F87" i="247"/>
  <c r="G87" i="247" s="1"/>
  <c r="F26" i="247"/>
  <c r="G26" i="247" s="1"/>
  <c r="F34" i="247"/>
  <c r="G34" i="247" s="1"/>
  <c r="F43" i="247"/>
  <c r="G43" i="247" s="1"/>
  <c r="F55" i="247"/>
  <c r="G55" i="247" s="1"/>
  <c r="F64" i="247"/>
  <c r="G64" i="247" s="1"/>
  <c r="F72" i="247"/>
  <c r="G72" i="247" s="1"/>
  <c r="F76" i="247"/>
  <c r="G76" i="247" s="1"/>
  <c r="F84" i="247"/>
  <c r="G84" i="247" s="1"/>
  <c r="F37" i="247"/>
  <c r="G37" i="247" s="1"/>
  <c r="F41" i="247"/>
  <c r="G41" i="247" s="1"/>
  <c r="F53" i="247"/>
  <c r="G53" i="247" s="1"/>
  <c r="F68" i="247"/>
  <c r="G68" i="247" s="1"/>
  <c r="F80" i="247"/>
  <c r="G80" i="247" s="1"/>
  <c r="F24" i="247"/>
  <c r="G24" i="247" s="1"/>
  <c r="F28" i="247"/>
  <c r="G28" i="247" s="1"/>
  <c r="F39" i="247"/>
  <c r="G39" i="247" s="1"/>
  <c r="F59" i="247"/>
  <c r="G59" i="247" s="1"/>
  <c r="F70" i="247"/>
  <c r="G70" i="247" s="1"/>
  <c r="F74" i="247"/>
  <c r="G74" i="247" s="1"/>
  <c r="F32" i="247"/>
  <c r="G32" i="247" s="1"/>
  <c r="F61" i="247"/>
  <c r="G61" i="247" s="1"/>
  <c r="F82" i="247"/>
  <c r="G82" i="247" s="1"/>
  <c r="F47" i="247"/>
  <c r="G47" i="247" s="1"/>
  <c r="F88" i="247"/>
  <c r="G88" i="247" s="1"/>
  <c r="F45" i="247"/>
  <c r="G45" i="247" s="1"/>
  <c r="F86" i="247"/>
  <c r="G86" i="247" s="1"/>
  <c r="F51" i="247"/>
  <c r="G51" i="247" s="1"/>
  <c r="F78" i="247"/>
  <c r="G78" i="247" s="1"/>
  <c r="F66" i="247"/>
  <c r="G66" i="247" s="1"/>
  <c r="F30" i="247"/>
  <c r="G30" i="247" s="1"/>
  <c r="F57" i="247"/>
  <c r="G57" i="247" s="1"/>
  <c r="F91" i="246"/>
  <c r="F77" i="245"/>
  <c r="H22" i="150"/>
  <c r="H24" i="150" s="1"/>
  <c r="H25" i="150" s="1"/>
  <c r="H26" i="150" s="1"/>
  <c r="H27" i="150" s="1"/>
  <c r="H28" i="150" s="1"/>
  <c r="H29" i="150" s="1"/>
  <c r="H31" i="150" s="1"/>
  <c r="H32" i="150" s="1"/>
  <c r="H33" i="150" s="1"/>
  <c r="H34" i="150" s="1"/>
  <c r="H35" i="150" s="1"/>
  <c r="H36" i="150" s="1"/>
  <c r="H37" i="150" s="1"/>
  <c r="H38" i="150" s="1"/>
  <c r="H39" i="150" s="1"/>
  <c r="H40" i="150" s="1"/>
  <c r="H41" i="150" s="1"/>
  <c r="H42" i="150" s="1"/>
  <c r="H43" i="150" s="1"/>
  <c r="H44" i="150" s="1"/>
  <c r="H45" i="150" s="1"/>
  <c r="H46" i="150" s="1"/>
  <c r="H47" i="150" s="1"/>
  <c r="H48" i="150" s="1"/>
  <c r="H49" i="150" s="1"/>
  <c r="H50" i="150" s="1"/>
  <c r="H51" i="150" s="1"/>
  <c r="H52" i="150" s="1"/>
  <c r="H53" i="150" s="1"/>
  <c r="H54" i="150" s="1"/>
  <c r="H55" i="150" s="1"/>
  <c r="H56" i="150" s="1"/>
  <c r="H57" i="150" s="1"/>
  <c r="H58" i="150" s="1"/>
  <c r="H59" i="150" s="1"/>
  <c r="H60" i="150" s="1"/>
  <c r="H61" i="150" s="1"/>
  <c r="H62" i="150" s="1"/>
  <c r="H63" i="150" s="1"/>
  <c r="H64" i="150" s="1"/>
  <c r="H65" i="150" s="1"/>
  <c r="H66" i="150" s="1"/>
  <c r="H67" i="150" s="1"/>
  <c r="H68" i="150" s="1"/>
  <c r="H69" i="150" s="1"/>
  <c r="H70" i="150" s="1"/>
  <c r="H71" i="150" s="1"/>
  <c r="H72" i="150" s="1"/>
  <c r="H73" i="150" s="1"/>
  <c r="H74" i="150" s="1"/>
  <c r="H75" i="150" s="1"/>
  <c r="H76" i="150" s="1"/>
  <c r="H77" i="150" s="1"/>
  <c r="H78" i="150" s="1"/>
  <c r="H79" i="150" s="1"/>
  <c r="H21" i="150"/>
  <c r="H24" i="236"/>
  <c r="H25" i="236"/>
  <c r="F75" i="244"/>
  <c r="G26" i="239"/>
  <c r="E86" i="239"/>
  <c r="G73" i="239"/>
  <c r="G79" i="239"/>
  <c r="G67" i="239"/>
  <c r="G43" i="239"/>
  <c r="H22" i="241"/>
  <c r="H21" i="241"/>
  <c r="G42" i="245"/>
  <c r="G29" i="245"/>
  <c r="G35" i="245"/>
  <c r="G30" i="245"/>
  <c r="G36" i="245"/>
  <c r="G70" i="245"/>
  <c r="G59" i="245"/>
  <c r="G38" i="245"/>
  <c r="G58" i="245"/>
  <c r="G46" i="245"/>
  <c r="G64" i="245"/>
  <c r="G52" i="245"/>
  <c r="G31" i="245"/>
  <c r="G90" i="246"/>
  <c r="G47" i="246"/>
  <c r="G29" i="246"/>
  <c r="G54" i="246"/>
  <c r="G73" i="246"/>
  <c r="G89" i="246"/>
  <c r="G63" i="246"/>
  <c r="G52" i="246"/>
  <c r="G67" i="246"/>
  <c r="G50" i="246"/>
  <c r="G27" i="246"/>
  <c r="G80" i="246"/>
  <c r="G60" i="246"/>
  <c r="G40" i="246"/>
  <c r="G26" i="246"/>
  <c r="E91" i="246"/>
  <c r="G39" i="246"/>
  <c r="G24" i="244"/>
  <c r="D18" i="237"/>
  <c r="D18" i="240"/>
  <c r="H24" i="239"/>
  <c r="H23" i="239"/>
  <c r="E80" i="241"/>
  <c r="H24" i="245"/>
  <c r="H25" i="245"/>
  <c r="G26" i="236"/>
  <c r="E28" i="236"/>
  <c r="G50" i="239"/>
  <c r="G75" i="239"/>
  <c r="F39" i="241"/>
  <c r="G39" i="241" s="1"/>
  <c r="F55" i="241"/>
  <c r="G55" i="241" s="1"/>
  <c r="F71" i="241"/>
  <c r="G71" i="241" s="1"/>
  <c r="F32" i="241"/>
  <c r="G32" i="241" s="1"/>
  <c r="F46" i="241"/>
  <c r="G46" i="241" s="1"/>
  <c r="F62" i="241"/>
  <c r="G62" i="241" s="1"/>
  <c r="F78" i="241"/>
  <c r="G78" i="241" s="1"/>
  <c r="F37" i="241"/>
  <c r="G37" i="241" s="1"/>
  <c r="F53" i="241"/>
  <c r="G53" i="241" s="1"/>
  <c r="F69" i="241"/>
  <c r="G69" i="241" s="1"/>
  <c r="F33" i="241"/>
  <c r="G33" i="241" s="1"/>
  <c r="F48" i="241"/>
  <c r="G48" i="241" s="1"/>
  <c r="F64" i="241"/>
  <c r="G64" i="241" s="1"/>
  <c r="F25" i="241"/>
  <c r="G25" i="241" s="1"/>
  <c r="F51" i="241"/>
  <c r="G51" i="241" s="1"/>
  <c r="F75" i="241"/>
  <c r="G75" i="241" s="1"/>
  <c r="F38" i="241"/>
  <c r="G38" i="241" s="1"/>
  <c r="F58" i="241"/>
  <c r="G58" i="241" s="1"/>
  <c r="F27" i="241"/>
  <c r="G27" i="241" s="1"/>
  <c r="F45" i="241"/>
  <c r="G45" i="241" s="1"/>
  <c r="F65" i="241"/>
  <c r="G65" i="241" s="1"/>
  <c r="F36" i="241"/>
  <c r="G36" i="241" s="1"/>
  <c r="F56" i="241"/>
  <c r="G56" i="241" s="1"/>
  <c r="F76" i="241"/>
  <c r="G76" i="241" s="1"/>
  <c r="F59" i="241"/>
  <c r="G59" i="241" s="1"/>
  <c r="F28" i="241"/>
  <c r="G28" i="241" s="1"/>
  <c r="F54" i="241"/>
  <c r="G54" i="241" s="1"/>
  <c r="F24" i="241"/>
  <c r="F57" i="241"/>
  <c r="G57" i="241" s="1"/>
  <c r="F26" i="241"/>
  <c r="G26" i="241" s="1"/>
  <c r="F60" i="241"/>
  <c r="G60" i="241" s="1"/>
  <c r="F35" i="241"/>
  <c r="G35" i="241" s="1"/>
  <c r="F63" i="241"/>
  <c r="G63" i="241" s="1"/>
  <c r="F34" i="241"/>
  <c r="G34" i="241" s="1"/>
  <c r="F66" i="241"/>
  <c r="G66" i="241" s="1"/>
  <c r="F79" i="241"/>
  <c r="G79" i="241" s="1"/>
  <c r="F61" i="241"/>
  <c r="G61" i="241" s="1"/>
  <c r="F40" i="241"/>
  <c r="G40" i="241" s="1"/>
  <c r="F68" i="241"/>
  <c r="G68" i="241" s="1"/>
  <c r="F43" i="241"/>
  <c r="G43" i="241" s="1"/>
  <c r="F67" i="241"/>
  <c r="G67" i="241" s="1"/>
  <c r="F42" i="241"/>
  <c r="G42" i="241" s="1"/>
  <c r="F70" i="241"/>
  <c r="G70" i="241" s="1"/>
  <c r="F41" i="241"/>
  <c r="G41" i="241" s="1"/>
  <c r="F73" i="241"/>
  <c r="G73" i="241" s="1"/>
  <c r="F44" i="241"/>
  <c r="G44" i="241" s="1"/>
  <c r="F72" i="241"/>
  <c r="G72" i="241" s="1"/>
  <c r="F74" i="241"/>
  <c r="G74" i="241" s="1"/>
  <c r="F29" i="241"/>
  <c r="G29" i="241" s="1"/>
  <c r="F52" i="241"/>
  <c r="G52" i="241" s="1"/>
  <c r="F47" i="241"/>
  <c r="G47" i="241" s="1"/>
  <c r="F49" i="241"/>
  <c r="G49" i="241" s="1"/>
  <c r="F50" i="241"/>
  <c r="G50" i="241" s="1"/>
  <c r="F31" i="241"/>
  <c r="G31" i="241" s="1"/>
  <c r="F77" i="241"/>
  <c r="G77" i="241" s="1"/>
  <c r="G34" i="245"/>
  <c r="G37" i="245"/>
  <c r="G49" i="245"/>
  <c r="G71" i="245"/>
  <c r="G65" i="245"/>
  <c r="G63" i="245"/>
  <c r="G68" i="245"/>
  <c r="G66" i="245"/>
  <c r="G67" i="245"/>
  <c r="G57" i="245"/>
  <c r="G45" i="245"/>
  <c r="G55" i="245"/>
  <c r="G61" i="245"/>
  <c r="G83" i="246"/>
  <c r="G66" i="246"/>
  <c r="G85" i="246"/>
  <c r="G49" i="246"/>
  <c r="G70" i="246"/>
  <c r="G87" i="246"/>
  <c r="G58" i="246"/>
  <c r="G86" i="246"/>
  <c r="G62" i="246"/>
  <c r="G43" i="246"/>
  <c r="H23" i="246"/>
  <c r="H24" i="246"/>
  <c r="G76" i="246"/>
  <c r="G56" i="246"/>
  <c r="G36" i="246"/>
  <c r="G78" i="246"/>
  <c r="G65" i="246"/>
  <c r="G49" i="237"/>
  <c r="E89" i="247"/>
  <c r="G75" i="244" l="1"/>
  <c r="H26" i="228"/>
  <c r="H27" i="228" s="1"/>
  <c r="H28" i="228" s="1"/>
  <c r="H29" i="228" s="1"/>
  <c r="H30" i="228" s="1"/>
  <c r="H31" i="228" s="1"/>
  <c r="H33" i="228" s="1"/>
  <c r="H34" i="228" s="1"/>
  <c r="H35" i="228" s="1"/>
  <c r="H36" i="228" s="1"/>
  <c r="H37" i="228" s="1"/>
  <c r="H38" i="228" s="1"/>
  <c r="H39" i="228" s="1"/>
  <c r="H40" i="228" s="1"/>
  <c r="H41" i="228" s="1"/>
  <c r="H42" i="228" s="1"/>
  <c r="H43" i="228" s="1"/>
  <c r="H44" i="228" s="1"/>
  <c r="H45" i="228" s="1"/>
  <c r="H46" i="228" s="1"/>
  <c r="H47" i="228" s="1"/>
  <c r="H48" i="228" s="1"/>
  <c r="H49" i="228" s="1"/>
  <c r="H50" i="228" s="1"/>
  <c r="H51" i="228" s="1"/>
  <c r="H52" i="228" s="1"/>
  <c r="H53" i="228" s="1"/>
  <c r="H54" i="228" s="1"/>
  <c r="H55" i="228" s="1"/>
  <c r="H56" i="228" s="1"/>
  <c r="H57" i="228" s="1"/>
  <c r="H58" i="228" s="1"/>
  <c r="H59" i="228" s="1"/>
  <c r="H60" i="228" s="1"/>
  <c r="H61" i="228" s="1"/>
  <c r="H62" i="228" s="1"/>
  <c r="H63" i="228" s="1"/>
  <c r="H64" i="228" s="1"/>
  <c r="H65" i="228" s="1"/>
  <c r="H66" i="228" s="1"/>
  <c r="H67" i="228" s="1"/>
  <c r="H68" i="228" s="1"/>
  <c r="H69" i="228" s="1"/>
  <c r="H70" i="228" s="1"/>
  <c r="H71" i="228" s="1"/>
  <c r="H72" i="228" s="1"/>
  <c r="H73" i="228" s="1"/>
  <c r="H74" i="228" s="1"/>
  <c r="H75" i="228" s="1"/>
  <c r="H76" i="228" s="1"/>
  <c r="H77" i="228" s="1"/>
  <c r="H78" i="228" s="1"/>
  <c r="H79" i="228" s="1"/>
  <c r="H80" i="228" s="1"/>
  <c r="H81" i="228" s="1"/>
  <c r="G75" i="225"/>
  <c r="G41" i="225"/>
  <c r="G46" i="225"/>
  <c r="G44" i="225"/>
  <c r="G61" i="225"/>
  <c r="G65" i="225"/>
  <c r="G68" i="225"/>
  <c r="G69" i="225"/>
  <c r="G60" i="225"/>
  <c r="H26" i="246"/>
  <c r="H27" i="246" s="1"/>
  <c r="H28" i="246" s="1"/>
  <c r="H29" i="246" s="1"/>
  <c r="H30" i="246" s="1"/>
  <c r="G28" i="236"/>
  <c r="H26" i="245"/>
  <c r="H28" i="245" s="1"/>
  <c r="H29" i="245" s="1"/>
  <c r="H30" i="245" s="1"/>
  <c r="H31" i="245" s="1"/>
  <c r="H32" i="245" s="1"/>
  <c r="H33" i="245" s="1"/>
  <c r="H34" i="245" s="1"/>
  <c r="H35" i="245" s="1"/>
  <c r="H36" i="245" s="1"/>
  <c r="H37" i="245" s="1"/>
  <c r="H38" i="245" s="1"/>
  <c r="H39" i="245" s="1"/>
  <c r="H40" i="245" s="1"/>
  <c r="H41" i="245" s="1"/>
  <c r="H42" i="245" s="1"/>
  <c r="H43" i="245" s="1"/>
  <c r="H44" i="245" s="1"/>
  <c r="H45" i="245" s="1"/>
  <c r="H46" i="245" s="1"/>
  <c r="H47" i="245" s="1"/>
  <c r="H48" i="245" s="1"/>
  <c r="H49" i="245" s="1"/>
  <c r="H50" i="245" s="1"/>
  <c r="H51" i="245" s="1"/>
  <c r="H52" i="245" s="1"/>
  <c r="H53" i="245" s="1"/>
  <c r="H54" i="245" s="1"/>
  <c r="H55" i="245" s="1"/>
  <c r="H56" i="245" s="1"/>
  <c r="H57" i="245" s="1"/>
  <c r="H58" i="245" s="1"/>
  <c r="H59" i="245" s="1"/>
  <c r="H60" i="245" s="1"/>
  <c r="H61" i="245" s="1"/>
  <c r="H62" i="245" s="1"/>
  <c r="H63" i="245" s="1"/>
  <c r="H64" i="245" s="1"/>
  <c r="H65" i="245" s="1"/>
  <c r="H66" i="245" s="1"/>
  <c r="H67" i="245" s="1"/>
  <c r="H68" i="245" s="1"/>
  <c r="H69" i="245" s="1"/>
  <c r="H70" i="245" s="1"/>
  <c r="H71" i="245" s="1"/>
  <c r="H72" i="245" s="1"/>
  <c r="H73" i="245" s="1"/>
  <c r="H74" i="245" s="1"/>
  <c r="H75" i="245" s="1"/>
  <c r="H76" i="245" s="1"/>
  <c r="H26" i="239"/>
  <c r="H27" i="239" s="1"/>
  <c r="H28" i="239" s="1"/>
  <c r="H29" i="239" s="1"/>
  <c r="H30" i="239" s="1"/>
  <c r="H31" i="239" s="1"/>
  <c r="H32" i="239" s="1"/>
  <c r="H33" i="239" s="1"/>
  <c r="H34" i="239" s="1"/>
  <c r="H35" i="239" s="1"/>
  <c r="H36" i="239" s="1"/>
  <c r="H37" i="239" s="1"/>
  <c r="H38" i="239" s="1"/>
  <c r="H39" i="239" s="1"/>
  <c r="H40" i="239" s="1"/>
  <c r="H41" i="239" s="1"/>
  <c r="H42" i="239" s="1"/>
  <c r="H43" i="239" s="1"/>
  <c r="H44" i="239" s="1"/>
  <c r="H45" i="239" s="1"/>
  <c r="H46" i="239" s="1"/>
  <c r="H47" i="239" s="1"/>
  <c r="H48" i="239" s="1"/>
  <c r="H49" i="239" s="1"/>
  <c r="H50" i="239" s="1"/>
  <c r="H51" i="239" s="1"/>
  <c r="H52" i="239" s="1"/>
  <c r="H53" i="239" s="1"/>
  <c r="H54" i="239" s="1"/>
  <c r="H55" i="239" s="1"/>
  <c r="H56" i="239" s="1"/>
  <c r="H57" i="239" s="1"/>
  <c r="H58" i="239" s="1"/>
  <c r="H59" i="239" s="1"/>
  <c r="H60" i="239" s="1"/>
  <c r="H61" i="239" s="1"/>
  <c r="H62" i="239" s="1"/>
  <c r="H63" i="239" s="1"/>
  <c r="H64" i="239" s="1"/>
  <c r="H65" i="239" s="1"/>
  <c r="H66" i="239" s="1"/>
  <c r="H67" i="239" s="1"/>
  <c r="H68" i="239" s="1"/>
  <c r="H69" i="239" s="1"/>
  <c r="H70" i="239" s="1"/>
  <c r="H71" i="239" s="1"/>
  <c r="H72" i="239" s="1"/>
  <c r="H73" i="239" s="1"/>
  <c r="H74" i="239" s="1"/>
  <c r="H75" i="239" s="1"/>
  <c r="H76" i="239" s="1"/>
  <c r="H77" i="239" s="1"/>
  <c r="H78" i="239" s="1"/>
  <c r="H79" i="239" s="1"/>
  <c r="H80" i="239" s="1"/>
  <c r="H81" i="239" s="1"/>
  <c r="H82" i="239" s="1"/>
  <c r="H83" i="239" s="1"/>
  <c r="H84" i="239" s="1"/>
  <c r="H85" i="239" s="1"/>
  <c r="G49" i="225"/>
  <c r="G27" i="225"/>
  <c r="G79" i="225"/>
  <c r="G81" i="225"/>
  <c r="G51" i="225"/>
  <c r="G64" i="225"/>
  <c r="G58" i="225"/>
  <c r="G45" i="225"/>
  <c r="G50" i="225"/>
  <c r="G38" i="225"/>
  <c r="G63" i="225"/>
  <c r="G52" i="225"/>
  <c r="H31" i="246"/>
  <c r="H32" i="246" s="1"/>
  <c r="H33" i="246" s="1"/>
  <c r="H34" i="246" s="1"/>
  <c r="H35" i="246" s="1"/>
  <c r="H36" i="246" s="1"/>
  <c r="H37" i="246" s="1"/>
  <c r="H39" i="246" s="1"/>
  <c r="H40" i="246" s="1"/>
  <c r="H41" i="246" s="1"/>
  <c r="H42" i="246" s="1"/>
  <c r="H43" i="246" s="1"/>
  <c r="H44" i="246" s="1"/>
  <c r="H45" i="246" s="1"/>
  <c r="H46" i="246" s="1"/>
  <c r="H47" i="246" s="1"/>
  <c r="H48" i="246" s="1"/>
  <c r="H49" i="246" s="1"/>
  <c r="H50" i="246" s="1"/>
  <c r="H52" i="246" s="1"/>
  <c r="H53" i="246" s="1"/>
  <c r="H54" i="246" s="1"/>
  <c r="H55" i="246" s="1"/>
  <c r="H56" i="246" s="1"/>
  <c r="H57" i="246" s="1"/>
  <c r="H58" i="246" s="1"/>
  <c r="H59" i="246" s="1"/>
  <c r="H60" i="246" s="1"/>
  <c r="H61" i="246" s="1"/>
  <c r="H62" i="246" s="1"/>
  <c r="H63" i="246" s="1"/>
  <c r="H65" i="246" s="1"/>
  <c r="H66" i="246" s="1"/>
  <c r="H67" i="246" s="1"/>
  <c r="H68" i="246" s="1"/>
  <c r="H69" i="246" s="1"/>
  <c r="H70" i="246" s="1"/>
  <c r="H71" i="246" s="1"/>
  <c r="H72" i="246" s="1"/>
  <c r="H73" i="246" s="1"/>
  <c r="H74" i="246" s="1"/>
  <c r="H75" i="246" s="1"/>
  <c r="H76" i="246" s="1"/>
  <c r="H78" i="246" s="1"/>
  <c r="H79" i="246" s="1"/>
  <c r="H80" i="246" s="1"/>
  <c r="H81" i="246" s="1"/>
  <c r="H82" i="246" s="1"/>
  <c r="H83" i="246" s="1"/>
  <c r="H84" i="246" s="1"/>
  <c r="H85" i="246" s="1"/>
  <c r="H86" i="246" s="1"/>
  <c r="H87" i="246" s="1"/>
  <c r="H88" i="246" s="1"/>
  <c r="H89" i="246" s="1"/>
  <c r="H90" i="246" s="1"/>
  <c r="G82" i="228"/>
  <c r="G28" i="225"/>
  <c r="G84" i="240"/>
  <c r="G75" i="242"/>
  <c r="G33" i="225"/>
  <c r="G56" i="225"/>
  <c r="G53" i="225"/>
  <c r="H23" i="225"/>
  <c r="H24" i="225"/>
  <c r="H26" i="242"/>
  <c r="H27" i="242" s="1"/>
  <c r="H28" i="242" s="1"/>
  <c r="H29" i="242" s="1"/>
  <c r="H30" i="242" s="1"/>
  <c r="H31" i="242" s="1"/>
  <c r="H32" i="242" s="1"/>
  <c r="H33" i="242" s="1"/>
  <c r="H34" i="242" s="1"/>
  <c r="H35" i="242" s="1"/>
  <c r="H36" i="242" s="1"/>
  <c r="H37" i="242" s="1"/>
  <c r="H38" i="242" s="1"/>
  <c r="H39" i="242" s="1"/>
  <c r="H40" i="242" s="1"/>
  <c r="H41" i="242" s="1"/>
  <c r="H42" i="242" s="1"/>
  <c r="H43" i="242" s="1"/>
  <c r="H44" i="242" s="1"/>
  <c r="H45" i="242" s="1"/>
  <c r="H46" i="242" s="1"/>
  <c r="H47" i="242" s="1"/>
  <c r="H48" i="242" s="1"/>
  <c r="H49" i="242" s="1"/>
  <c r="H50" i="242" s="1"/>
  <c r="H51" i="242" s="1"/>
  <c r="H52" i="242" s="1"/>
  <c r="H53" i="242" s="1"/>
  <c r="H54" i="242" s="1"/>
  <c r="H55" i="242" s="1"/>
  <c r="H56" i="242" s="1"/>
  <c r="H57" i="242" s="1"/>
  <c r="H58" i="242" s="1"/>
  <c r="H59" i="242" s="1"/>
  <c r="H60" i="242" s="1"/>
  <c r="H61" i="242" s="1"/>
  <c r="H62" i="242" s="1"/>
  <c r="H63" i="242" s="1"/>
  <c r="H64" i="242" s="1"/>
  <c r="H65" i="242" s="1"/>
  <c r="H66" i="242" s="1"/>
  <c r="H67" i="242" s="1"/>
  <c r="H68" i="242" s="1"/>
  <c r="H69" i="242" s="1"/>
  <c r="H70" i="242" s="1"/>
  <c r="H71" i="242" s="1"/>
  <c r="H72" i="242" s="1"/>
  <c r="H73" i="242" s="1"/>
  <c r="H74" i="242" s="1"/>
  <c r="G29" i="225"/>
  <c r="G47" i="225"/>
  <c r="G55" i="225"/>
  <c r="G39" i="225"/>
  <c r="G54" i="225"/>
  <c r="G42" i="225"/>
  <c r="G43" i="225"/>
  <c r="G48" i="225"/>
  <c r="G37" i="225"/>
  <c r="G77" i="225"/>
  <c r="G35" i="225"/>
  <c r="G40" i="225"/>
  <c r="G73" i="237"/>
  <c r="G26" i="225"/>
  <c r="E82" i="225"/>
  <c r="G66" i="225"/>
  <c r="F82" i="225"/>
  <c r="G71" i="225"/>
  <c r="G59" i="225"/>
  <c r="G57" i="225"/>
  <c r="G31" i="225"/>
  <c r="G30" i="225"/>
  <c r="G70" i="225"/>
  <c r="G78" i="225"/>
  <c r="G62" i="225"/>
  <c r="G73" i="225"/>
  <c r="G76" i="225"/>
  <c r="G34" i="225"/>
  <c r="G80" i="225"/>
  <c r="G36" i="225"/>
  <c r="G74" i="225"/>
  <c r="G67" i="225"/>
  <c r="G72" i="225"/>
  <c r="H26" i="236"/>
  <c r="H27" i="236" s="1"/>
  <c r="F89" i="247"/>
  <c r="H23" i="229"/>
  <c r="H22" i="229"/>
  <c r="H21" i="237"/>
  <c r="H22" i="237"/>
  <c r="H24" i="237" s="1"/>
  <c r="H25" i="237" s="1"/>
  <c r="H26" i="237" s="1"/>
  <c r="H27" i="237" s="1"/>
  <c r="H28" i="237" s="1"/>
  <c r="H29" i="237" s="1"/>
  <c r="H30" i="237" s="1"/>
  <c r="H31" i="237" s="1"/>
  <c r="H32" i="237" s="1"/>
  <c r="H33" i="237" s="1"/>
  <c r="H34" i="237" s="1"/>
  <c r="H35" i="237" s="1"/>
  <c r="H36" i="237" s="1"/>
  <c r="H37" i="237" s="1"/>
  <c r="H38" i="237" s="1"/>
  <c r="H39" i="237" s="1"/>
  <c r="H40" i="237" s="1"/>
  <c r="H41" i="237" s="1"/>
  <c r="H42" i="237" s="1"/>
  <c r="H43" i="237" s="1"/>
  <c r="H44" i="237" s="1"/>
  <c r="H45" i="237" s="1"/>
  <c r="H46" i="237" s="1"/>
  <c r="H47" i="237" s="1"/>
  <c r="H48" i="237" s="1"/>
  <c r="H49" i="237" s="1"/>
  <c r="H50" i="237" s="1"/>
  <c r="H51" i="237" s="1"/>
  <c r="H52" i="237" s="1"/>
  <c r="H53" i="237" s="1"/>
  <c r="H54" i="237" s="1"/>
  <c r="H55" i="237" s="1"/>
  <c r="H56" i="237" s="1"/>
  <c r="H57" i="237" s="1"/>
  <c r="H58" i="237" s="1"/>
  <c r="H59" i="237" s="1"/>
  <c r="H60" i="237" s="1"/>
  <c r="H61" i="237" s="1"/>
  <c r="H62" i="237" s="1"/>
  <c r="H63" i="237" s="1"/>
  <c r="H64" i="237" s="1"/>
  <c r="H65" i="237" s="1"/>
  <c r="H66" i="237" s="1"/>
  <c r="H67" i="237" s="1"/>
  <c r="H68" i="237" s="1"/>
  <c r="H69" i="237" s="1"/>
  <c r="H70" i="237" s="1"/>
  <c r="H71" i="237" s="1"/>
  <c r="H72" i="237" s="1"/>
  <c r="E26" i="229"/>
  <c r="G89" i="247"/>
  <c r="F25" i="229"/>
  <c r="G25" i="229" s="1"/>
  <c r="F24" i="229"/>
  <c r="F80" i="241"/>
  <c r="G24" i="241"/>
  <c r="G80" i="241" s="1"/>
  <c r="H24" i="244"/>
  <c r="H26" i="244" s="1"/>
  <c r="H27" i="244" s="1"/>
  <c r="H28" i="244" s="1"/>
  <c r="H29" i="244" s="1"/>
  <c r="H30" i="244" s="1"/>
  <c r="H31" i="244" s="1"/>
  <c r="H32" i="244" s="1"/>
  <c r="H33" i="244" s="1"/>
  <c r="H34" i="244" s="1"/>
  <c r="H35" i="244" s="1"/>
  <c r="H36" i="244" s="1"/>
  <c r="H37" i="244" s="1"/>
  <c r="H38" i="244" s="1"/>
  <c r="H39" i="244" s="1"/>
  <c r="H40" i="244" s="1"/>
  <c r="H41" i="244" s="1"/>
  <c r="H42" i="244" s="1"/>
  <c r="H43" i="244" s="1"/>
  <c r="H44" i="244" s="1"/>
  <c r="H45" i="244" s="1"/>
  <c r="H46" i="244" s="1"/>
  <c r="H47" i="244" s="1"/>
  <c r="H48" i="244" s="1"/>
  <c r="H49" i="244" s="1"/>
  <c r="H50" i="244" s="1"/>
  <c r="H51" i="244" s="1"/>
  <c r="H52" i="244" s="1"/>
  <c r="H53" i="244" s="1"/>
  <c r="H54" i="244" s="1"/>
  <c r="H55" i="244" s="1"/>
  <c r="H56" i="244" s="1"/>
  <c r="H57" i="244" s="1"/>
  <c r="H58" i="244" s="1"/>
  <c r="H59" i="244" s="1"/>
  <c r="H60" i="244" s="1"/>
  <c r="H61" i="244" s="1"/>
  <c r="H62" i="244" s="1"/>
  <c r="H63" i="244" s="1"/>
  <c r="H64" i="244" s="1"/>
  <c r="H65" i="244" s="1"/>
  <c r="H66" i="244" s="1"/>
  <c r="H67" i="244" s="1"/>
  <c r="H68" i="244" s="1"/>
  <c r="H69" i="244" s="1"/>
  <c r="H70" i="244" s="1"/>
  <c r="H71" i="244" s="1"/>
  <c r="H72" i="244" s="1"/>
  <c r="H73" i="244" s="1"/>
  <c r="H74" i="244" s="1"/>
  <c r="H22" i="240"/>
  <c r="H24" i="240" s="1"/>
  <c r="H25" i="240" s="1"/>
  <c r="H26" i="240" s="1"/>
  <c r="H27" i="240" s="1"/>
  <c r="H28" i="240" s="1"/>
  <c r="H29" i="240" s="1"/>
  <c r="H30" i="240" s="1"/>
  <c r="H31" i="240" s="1"/>
  <c r="H32" i="240" s="1"/>
  <c r="H33" i="240" s="1"/>
  <c r="H34" i="240" s="1"/>
  <c r="H35" i="240" s="1"/>
  <c r="H36" i="240" s="1"/>
  <c r="H37" i="240" s="1"/>
  <c r="H38" i="240" s="1"/>
  <c r="H39" i="240" s="1"/>
  <c r="H40" i="240" s="1"/>
  <c r="H41" i="240" s="1"/>
  <c r="H42" i="240" s="1"/>
  <c r="H43" i="240" s="1"/>
  <c r="H44" i="240" s="1"/>
  <c r="H45" i="240" s="1"/>
  <c r="H46" i="240" s="1"/>
  <c r="H47" i="240" s="1"/>
  <c r="H48" i="240" s="1"/>
  <c r="H49" i="240" s="1"/>
  <c r="H50" i="240" s="1"/>
  <c r="H51" i="240" s="1"/>
  <c r="H52" i="240" s="1"/>
  <c r="H53" i="240" s="1"/>
  <c r="H54" i="240" s="1"/>
  <c r="H55" i="240" s="1"/>
  <c r="H56" i="240" s="1"/>
  <c r="H57" i="240" s="1"/>
  <c r="H58" i="240" s="1"/>
  <c r="H59" i="240" s="1"/>
  <c r="H60" i="240" s="1"/>
  <c r="H61" i="240" s="1"/>
  <c r="H62" i="240" s="1"/>
  <c r="H63" i="240" s="1"/>
  <c r="H64" i="240" s="1"/>
  <c r="H65" i="240" s="1"/>
  <c r="H66" i="240" s="1"/>
  <c r="H67" i="240" s="1"/>
  <c r="H68" i="240" s="1"/>
  <c r="H69" i="240" s="1"/>
  <c r="H70" i="240" s="1"/>
  <c r="H71" i="240" s="1"/>
  <c r="H72" i="240" s="1"/>
  <c r="H73" i="240" s="1"/>
  <c r="H74" i="240" s="1"/>
  <c r="H75" i="240" s="1"/>
  <c r="H76" i="240" s="1"/>
  <c r="H77" i="240" s="1"/>
  <c r="H78" i="240" s="1"/>
  <c r="H79" i="240" s="1"/>
  <c r="H80" i="240" s="1"/>
  <c r="H81" i="240" s="1"/>
  <c r="H82" i="240" s="1"/>
  <c r="H83" i="240" s="1"/>
  <c r="H21" i="240"/>
  <c r="G91" i="246"/>
  <c r="G86" i="239"/>
  <c r="F84" i="240"/>
  <c r="F73" i="237"/>
  <c r="G77" i="245"/>
  <c r="H24" i="247"/>
  <c r="H25" i="247" s="1"/>
  <c r="H26" i="247" s="1"/>
  <c r="H27" i="247" s="1"/>
  <c r="H28" i="247" s="1"/>
  <c r="H29" i="247" s="1"/>
  <c r="H30" i="247" s="1"/>
  <c r="H31" i="247" s="1"/>
  <c r="H32" i="247" s="1"/>
  <c r="H33" i="247" s="1"/>
  <c r="H34" i="247" s="1"/>
  <c r="H35" i="247" s="1"/>
  <c r="H37" i="247" s="1"/>
  <c r="H38" i="247" s="1"/>
  <c r="H39" i="247" s="1"/>
  <c r="H40" i="247" s="1"/>
  <c r="H41" i="247" s="1"/>
  <c r="H42" i="247" s="1"/>
  <c r="H43" i="247" s="1"/>
  <c r="H44" i="247" s="1"/>
  <c r="H45" i="247" s="1"/>
  <c r="H46" i="247" s="1"/>
  <c r="H47" i="247" s="1"/>
  <c r="H48" i="247" s="1"/>
  <c r="H50" i="247" s="1"/>
  <c r="H51" i="247" s="1"/>
  <c r="H52" i="247" s="1"/>
  <c r="H53" i="247" s="1"/>
  <c r="H54" i="247" s="1"/>
  <c r="H55" i="247" s="1"/>
  <c r="H56" i="247" s="1"/>
  <c r="H57" i="247" s="1"/>
  <c r="H58" i="247" s="1"/>
  <c r="H59" i="247" s="1"/>
  <c r="H60" i="247" s="1"/>
  <c r="H61" i="247" s="1"/>
  <c r="H63" i="247" s="1"/>
  <c r="H64" i="247" s="1"/>
  <c r="H65" i="247" s="1"/>
  <c r="H66" i="247" s="1"/>
  <c r="H67" i="247" s="1"/>
  <c r="H68" i="247" s="1"/>
  <c r="H69" i="247" s="1"/>
  <c r="H70" i="247" s="1"/>
  <c r="H71" i="247" s="1"/>
  <c r="H72" i="247" s="1"/>
  <c r="H73" i="247" s="1"/>
  <c r="H74" i="247" s="1"/>
  <c r="H76" i="247" s="1"/>
  <c r="H77" i="247" s="1"/>
  <c r="H78" i="247" s="1"/>
  <c r="H79" i="247" s="1"/>
  <c r="H80" i="247" s="1"/>
  <c r="H81" i="247" s="1"/>
  <c r="H82" i="247" s="1"/>
  <c r="H83" i="247" s="1"/>
  <c r="H84" i="247" s="1"/>
  <c r="H85" i="247" s="1"/>
  <c r="H86" i="247" s="1"/>
  <c r="H87" i="247" s="1"/>
  <c r="H88" i="247" s="1"/>
  <c r="F26" i="229" l="1"/>
  <c r="G82" i="225"/>
  <c r="H26" i="225"/>
  <c r="H27" i="225" s="1"/>
  <c r="H28" i="225" s="1"/>
  <c r="H29" i="225" s="1"/>
  <c r="H30" i="225" s="1"/>
  <c r="H31" i="225" s="1"/>
  <c r="H33" i="225" s="1"/>
  <c r="H34" i="225" s="1"/>
  <c r="H35" i="225" s="1"/>
  <c r="H36" i="225" s="1"/>
  <c r="H37" i="225" s="1"/>
  <c r="H38" i="225" s="1"/>
  <c r="H39" i="225" s="1"/>
  <c r="H40" i="225" s="1"/>
  <c r="H41" i="225" s="1"/>
  <c r="H42" i="225" s="1"/>
  <c r="H43" i="225" s="1"/>
  <c r="H44" i="225" s="1"/>
  <c r="H45" i="225" s="1"/>
  <c r="H46" i="225" s="1"/>
  <c r="H47" i="225" s="1"/>
  <c r="H48" i="225" s="1"/>
  <c r="H49" i="225" s="1"/>
  <c r="H50" i="225" s="1"/>
  <c r="H51" i="225" s="1"/>
  <c r="H52" i="225" s="1"/>
  <c r="H53" i="225" s="1"/>
  <c r="H54" i="225" s="1"/>
  <c r="H55" i="225" s="1"/>
  <c r="H56" i="225" s="1"/>
  <c r="H57" i="225" s="1"/>
  <c r="H58" i="225" s="1"/>
  <c r="H59" i="225" s="1"/>
  <c r="H60" i="225" s="1"/>
  <c r="H61" i="225" s="1"/>
  <c r="H62" i="225" s="1"/>
  <c r="H63" i="225" s="1"/>
  <c r="H64" i="225" s="1"/>
  <c r="H65" i="225" s="1"/>
  <c r="H66" i="225" s="1"/>
  <c r="H67" i="225" s="1"/>
  <c r="H68" i="225" s="1"/>
  <c r="H69" i="225" s="1"/>
  <c r="H70" i="225" s="1"/>
  <c r="H71" i="225" s="1"/>
  <c r="H72" i="225" s="1"/>
  <c r="H73" i="225" s="1"/>
  <c r="H74" i="225" s="1"/>
  <c r="H75" i="225" s="1"/>
  <c r="H76" i="225" s="1"/>
  <c r="H77" i="225" s="1"/>
  <c r="H78" i="225" s="1"/>
  <c r="H79" i="225" s="1"/>
  <c r="H80" i="225" s="1"/>
  <c r="H81" i="225" s="1"/>
  <c r="G24" i="229"/>
  <c r="G26" i="229" s="1"/>
  <c r="H24" i="241"/>
  <c r="H25" i="241" s="1"/>
  <c r="H26" i="241" s="1"/>
  <c r="H27" i="241" s="1"/>
  <c r="H28" i="241" s="1"/>
  <c r="H29" i="241" s="1"/>
  <c r="H31" i="241" s="1"/>
  <c r="H32" i="241" s="1"/>
  <c r="H33" i="241" s="1"/>
  <c r="H34" i="241" s="1"/>
  <c r="H35" i="241" s="1"/>
  <c r="H36" i="241" s="1"/>
  <c r="H37" i="241" s="1"/>
  <c r="H38" i="241" s="1"/>
  <c r="H39" i="241" s="1"/>
  <c r="H40" i="241" s="1"/>
  <c r="H41" i="241" s="1"/>
  <c r="H42" i="241" s="1"/>
  <c r="H43" i="241" s="1"/>
  <c r="H44" i="241" s="1"/>
  <c r="H45" i="241" s="1"/>
  <c r="H46" i="241" s="1"/>
  <c r="H47" i="241" s="1"/>
  <c r="H48" i="241" s="1"/>
  <c r="H49" i="241" s="1"/>
  <c r="H50" i="241" s="1"/>
  <c r="H51" i="241" s="1"/>
  <c r="H52" i="241" s="1"/>
  <c r="H53" i="241" s="1"/>
  <c r="H54" i="241" s="1"/>
  <c r="H55" i="241" s="1"/>
  <c r="H56" i="241" s="1"/>
  <c r="H57" i="241" s="1"/>
  <c r="H58" i="241" s="1"/>
  <c r="H59" i="241" s="1"/>
  <c r="H60" i="241" s="1"/>
  <c r="H61" i="241" s="1"/>
  <c r="H62" i="241" s="1"/>
  <c r="H63" i="241" s="1"/>
  <c r="H64" i="241" s="1"/>
  <c r="H65" i="241" s="1"/>
  <c r="H66" i="241" s="1"/>
  <c r="H67" i="241" s="1"/>
  <c r="H68" i="241" s="1"/>
  <c r="H69" i="241" s="1"/>
  <c r="H70" i="241" s="1"/>
  <c r="H71" i="241" s="1"/>
  <c r="H72" i="241" s="1"/>
  <c r="H73" i="241" s="1"/>
  <c r="H74" i="241" s="1"/>
  <c r="H75" i="241" s="1"/>
  <c r="H76" i="241" s="1"/>
  <c r="H77" i="241" s="1"/>
  <c r="H78" i="241" s="1"/>
  <c r="H79" i="241" s="1"/>
  <c r="H24" i="229" l="1"/>
  <c r="H25" i="229" s="1"/>
</calcChain>
</file>

<file path=xl/sharedStrings.xml><?xml version="1.0" encoding="utf-8"?>
<sst xmlns="http://schemas.openxmlformats.org/spreadsheetml/2006/main" count="1388" uniqueCount="193">
  <si>
    <t>NAME OF BUYER</t>
  </si>
  <si>
    <t>RF DATE</t>
  </si>
  <si>
    <t>PARTICULARS</t>
  </si>
  <si>
    <t>MA - 1</t>
  </si>
  <si>
    <t>MA - 2</t>
  </si>
  <si>
    <t>MA - 3</t>
  </si>
  <si>
    <t>MA - 4</t>
  </si>
  <si>
    <t>MA - 5</t>
  </si>
  <si>
    <t>MA - 6</t>
  </si>
  <si>
    <t>MA - 7</t>
  </si>
  <si>
    <t>MA - 8</t>
  </si>
  <si>
    <t>MA - 9</t>
  </si>
  <si>
    <t>MA - 10</t>
  </si>
  <si>
    <t>MA - 11</t>
  </si>
  <si>
    <t>MA - 12</t>
  </si>
  <si>
    <t>TOTAL</t>
  </si>
  <si>
    <t>CONFORME:</t>
  </si>
  <si>
    <t>BUYER</t>
  </si>
  <si>
    <t>MA - 13</t>
  </si>
  <si>
    <t>MA - 14</t>
  </si>
  <si>
    <t>MA - 15</t>
  </si>
  <si>
    <t>MA - 16</t>
  </si>
  <si>
    <t>MA - 17</t>
  </si>
  <si>
    <t>MA - 18</t>
  </si>
  <si>
    <t>MA - 19</t>
  </si>
  <si>
    <t>MA - 20</t>
  </si>
  <si>
    <t>MA - 21</t>
  </si>
  <si>
    <t>MA - 22</t>
  </si>
  <si>
    <t>MA - 23</t>
  </si>
  <si>
    <t>MA - 24</t>
  </si>
  <si>
    <t>UNIT</t>
  </si>
  <si>
    <t>PAYMENT TERM</t>
  </si>
  <si>
    <t>PAYMENT NO.</t>
  </si>
  <si>
    <t>HIGHLANDS PRIME, INC.</t>
  </si>
  <si>
    <t>SCHEDULE OF PAYMENTS</t>
  </si>
  <si>
    <t>UNIT AREA  (in sq.m.)</t>
  </si>
  <si>
    <t>Reservation Fee</t>
  </si>
  <si>
    <t>Floor</t>
  </si>
  <si>
    <t>Unit Type</t>
  </si>
  <si>
    <t>2B</t>
  </si>
  <si>
    <t>MA - 25</t>
  </si>
  <si>
    <t>MA - 26</t>
  </si>
  <si>
    <t>MA - 27</t>
  </si>
  <si>
    <t>MA - 28</t>
  </si>
  <si>
    <t>MA - 29</t>
  </si>
  <si>
    <t>MA - 30</t>
  </si>
  <si>
    <t>CONTRACT PRICE COMPUTATION:</t>
  </si>
  <si>
    <t>Total Contract Price</t>
  </si>
  <si>
    <t>NON-MEMBER</t>
  </si>
  <si>
    <t>MEMBER</t>
  </si>
  <si>
    <t>ANNEX A</t>
  </si>
  <si>
    <r>
      <t xml:space="preserve">DIRECTION: </t>
    </r>
    <r>
      <rPr>
        <sz val="15"/>
        <color indexed="8"/>
        <rFont val="Calibri"/>
        <family val="2"/>
      </rPr>
      <t>Please input data in yellow highlighted cells only.</t>
    </r>
  </si>
  <si>
    <t>Less: Term Discount</t>
  </si>
  <si>
    <t>DP - 1</t>
  </si>
  <si>
    <t>DP - 2</t>
  </si>
  <si>
    <t>DP - 3</t>
  </si>
  <si>
    <t>DP - 4</t>
  </si>
  <si>
    <t>DP - 5</t>
  </si>
  <si>
    <t>DP - 6</t>
  </si>
  <si>
    <t>MA - 31</t>
  </si>
  <si>
    <t>MA - 32</t>
  </si>
  <si>
    <t>MA - 33</t>
  </si>
  <si>
    <t>MA - 34</t>
  </si>
  <si>
    <t>MA - 35</t>
  </si>
  <si>
    <t>MA - 36</t>
  </si>
  <si>
    <t>MA - 37</t>
  </si>
  <si>
    <t>MA - 38</t>
  </si>
  <si>
    <t>MA - 39</t>
  </si>
  <si>
    <t>MA - 40</t>
  </si>
  <si>
    <t>MA - 41</t>
  </si>
  <si>
    <t>MA - 42</t>
  </si>
  <si>
    <t>MA - 43</t>
  </si>
  <si>
    <t>MA - 44</t>
  </si>
  <si>
    <t>MA - 45</t>
  </si>
  <si>
    <t>MA - 46</t>
  </si>
  <si>
    <t>MA - 47</t>
  </si>
  <si>
    <t>MA - 48</t>
  </si>
  <si>
    <t>MA - 49</t>
  </si>
  <si>
    <t>MA - 50</t>
  </si>
  <si>
    <t>MA - 51</t>
  </si>
  <si>
    <t>MA - 52</t>
  </si>
  <si>
    <t>MA - 53</t>
  </si>
  <si>
    <t>MA - 54</t>
  </si>
  <si>
    <t>MA - 55</t>
  </si>
  <si>
    <t>MA - 56</t>
  </si>
  <si>
    <t>MA - 57</t>
  </si>
  <si>
    <t>MA - 58</t>
  </si>
  <si>
    <t>MA - 59</t>
  </si>
  <si>
    <t>MA - 60</t>
  </si>
  <si>
    <t xml:space="preserve"> </t>
  </si>
  <si>
    <t>2A</t>
  </si>
  <si>
    <t>2D</t>
  </si>
  <si>
    <t>PL1</t>
  </si>
  <si>
    <t>Floor Area
in sqm +/-</t>
  </si>
  <si>
    <t>Address</t>
  </si>
  <si>
    <t>GA</t>
  </si>
  <si>
    <t>GB</t>
  </si>
  <si>
    <t>GC</t>
  </si>
  <si>
    <t>GD</t>
  </si>
  <si>
    <t>GE</t>
  </si>
  <si>
    <t>2-Bedroom</t>
  </si>
  <si>
    <t>1-Bedroom</t>
  </si>
  <si>
    <t>2E</t>
  </si>
  <si>
    <t>3A</t>
  </si>
  <si>
    <t>PA</t>
  </si>
  <si>
    <t>LUMPSUM</t>
  </si>
  <si>
    <t>38K (6mos), Bullet to 10%, 45K (12mos), 60K (12mos), P75K (12mos), Balance</t>
  </si>
  <si>
    <t>3D</t>
  </si>
  <si>
    <t>PB</t>
  </si>
  <si>
    <t>Plus: TCCATH Share</t>
  </si>
  <si>
    <t>100% over 60 months</t>
  </si>
  <si>
    <t>Return to Data Sheet</t>
  </si>
  <si>
    <t>HORIZON TERRACES</t>
  </si>
  <si>
    <t>GARDEN SUITES (WESTCHASE)</t>
  </si>
  <si>
    <t>Construction Floor</t>
  </si>
  <si>
    <t>TCP* VAT-In 
w/ TCCATH Share</t>
  </si>
  <si>
    <t>checker</t>
  </si>
  <si>
    <t>Ground Flr</t>
  </si>
  <si>
    <t>Parking level</t>
  </si>
  <si>
    <t>1BR</t>
  </si>
  <si>
    <t>2nd Flr</t>
  </si>
  <si>
    <t>Garden Floor</t>
  </si>
  <si>
    <t>2BR</t>
  </si>
  <si>
    <t>3rd Flr</t>
  </si>
  <si>
    <t>2nd Floor</t>
  </si>
  <si>
    <t>4th Flr</t>
  </si>
  <si>
    <t>3rd Floor</t>
  </si>
  <si>
    <t>3E</t>
  </si>
  <si>
    <t>5th Flr</t>
  </si>
  <si>
    <t>5th Floor</t>
  </si>
  <si>
    <t>6th Flr</t>
  </si>
  <si>
    <t>Penthouse Flr</t>
  </si>
  <si>
    <t>PC</t>
  </si>
  <si>
    <t>PD</t>
  </si>
  <si>
    <t>PE</t>
  </si>
  <si>
    <t>*EACH UNIT IS BUNDLED WITH ONE (1) TCCATH SHARE.
The total contract price above are inclusive of 12% VAT and TCCATH SHARE price. Should the buyer be a member, the TCCATH SHARE price shall be deducted from the quoted TCP.</t>
  </si>
  <si>
    <t>Notes:</t>
  </si>
  <si>
    <t>1)  The required reservation fee is Php 50,000 for 1BR units and Php 100,000 for 2BR units.</t>
  </si>
  <si>
    <t xml:space="preserve">2)  The prices quoted above  are inclusive of 12% Value-Added Tax (VAT) applicable at the time of the </t>
  </si>
  <si>
    <t xml:space="preserve">     preparation of this price list. Any adjustments in the rate shall correspondingly adjust the prices.</t>
  </si>
  <si>
    <t xml:space="preserve">3)  Ownership of any units in this project is exclusive to members of Tagaytay Highlands &amp; Midlands Clubs </t>
  </si>
  <si>
    <t xml:space="preserve">      such as  THGCI, TMGCI &amp; TCCATH.</t>
  </si>
  <si>
    <t>4)  The floor areas indicated above are approximate and actual verification on site should be made.</t>
  </si>
  <si>
    <t xml:space="preserve">5)  The prices quoted above do not include the documentary stamp tax, registration fee, transfer tax and </t>
  </si>
  <si>
    <t xml:space="preserve">     other expense for the transfer of title to the buyer's name, all of which shall be for the account of the buyer.</t>
  </si>
  <si>
    <t>UNIT TYPE</t>
  </si>
  <si>
    <t>AREA (+/-)</t>
  </si>
  <si>
    <t>1. Please input data in yellow highlighted cells only.</t>
  </si>
  <si>
    <t>2. From the list of payment terms below, click on the cell to navigate to selected payment term.</t>
  </si>
  <si>
    <t>Cash: 80% DP, 20% after 60 months or upon turnover</t>
  </si>
  <si>
    <t>30% over 48 mos., 70% Lumpsum</t>
  </si>
  <si>
    <t>10% over 6 months, 20% over 48 months, 70% Lumpsum</t>
  </si>
  <si>
    <t>5% over 6 months, 30% over 48 months, 65% Lumpsum</t>
  </si>
  <si>
    <t>30% over 48 months, 70% Lumpsum</t>
  </si>
  <si>
    <t>Plus: Other Charges*</t>
  </si>
  <si>
    <t>% PAYMENT</t>
  </si>
  <si>
    <t>DUE DATE</t>
  </si>
  <si>
    <t>LIST PRICE</t>
  </si>
  <si>
    <t>OTHER CHARGES</t>
  </si>
  <si>
    <t>TOTAL PAYABLE</t>
  </si>
  <si>
    <t>CONTRACT BALANCE</t>
  </si>
  <si>
    <t>DP</t>
  </si>
  <si>
    <t>TOTAL CONTRACT PRICE</t>
  </si>
  <si>
    <t>HPI SALES OFFICER</t>
  </si>
  <si>
    <t>Amortization over 60 months</t>
  </si>
  <si>
    <t>Amortization over 48 months</t>
  </si>
  <si>
    <t>DP over 6 months</t>
  </si>
  <si>
    <t>LIST PRICE (VAT-in w/ share)</t>
  </si>
  <si>
    <t>5% DP, 25% over 48 months, 70% Lumpsum</t>
  </si>
  <si>
    <t>LIST PRICE (VAT-IN, W/ SHARE)</t>
  </si>
  <si>
    <t>Unit Price (VAT-In, net of share)</t>
  </si>
  <si>
    <t>Net Unit Price (VAT-In, net of share)</t>
  </si>
  <si>
    <t>Net List Price (VAT-In, with share)</t>
  </si>
  <si>
    <t>NET LIST PRICE</t>
  </si>
  <si>
    <t>Net List Price (VAT-In, no share)</t>
  </si>
  <si>
    <t>1. This computation sheet only intends to provide an indicative reservation price. Prices, terms and conditions are subject to change without prior notice.</t>
  </si>
  <si>
    <t>2. Submission of post dated checks is required.</t>
  </si>
  <si>
    <t>3. Price includes the Value-Added Tax, currently at 12%.</t>
  </si>
  <si>
    <t>4. Any government-mandated adjustments on taxes shall be applied accordingly.</t>
  </si>
  <si>
    <t>5. Should the buyer intend to avail and/or obtain financing for the payment of the Contract Price, or any part thereof, from a bank or financing institution acceptable to Highlands Prime, Inc., he shall be solely responsible for filing the requisite application form required by the bank or financial institiution, together with the necessary supporting documents for the processing of the loan proceeds to be used to finance the purchase of the property and payment of the contract price or any part thereof, is made within the due date(s) for payment under the chosen payment scheme. While Highlands Prime, Inc. acknowledges that the Bank will initially send the Deed of Undertaking and Letter of Guarantee, as the case may be, to inform Highlands PRime, Inc. of the loan approval, the proceeds shall be paid to Highlands Prime, Inc. on or before the due date stated above. In the event of a delay, penalty charges shall be applied. The Buyers are then encouraged to work on their loan paplication at least four to six months from their due date when they intend to partially or fuly pay the balance.</t>
  </si>
  <si>
    <t>6. Each unit comes with one (1) proprietary share at The Country Club at Tagaytay Highlands (TCCATH). In the interest of determining the apppropriate taxes, a value will be assigned to the club share upon final documentation. All membership applications shall be subject to the approval of the Membership Committee in accordance with the Club's rules, regulations and policies.</t>
  </si>
  <si>
    <t>7. If the buyer is an existing shareholder-member, the proprietary TCCATH share may be converted into a cash discount equivalent to P650,000.</t>
  </si>
  <si>
    <t>HORIZON TERRACES - WESTCHASE (GARDEN SUITES 3)</t>
  </si>
  <si>
    <t>1-Bedroom Terrace Suite</t>
  </si>
  <si>
    <t>2-Bedroom Terrace Suite</t>
  </si>
  <si>
    <t>GH</t>
  </si>
  <si>
    <t>5D</t>
  </si>
  <si>
    <t>Discount</t>
  </si>
  <si>
    <t>5% in 12 mos, 6% in 12 mos, 7% in 12 mos, 8% in 12 mos, 9% in 12 mos, Lumpsum - 60th month</t>
  </si>
  <si>
    <t>Amortization over 12 months</t>
  </si>
  <si>
    <t>Payment Terms for 2Q 2020
Effective April 1, 2020</t>
  </si>
  <si>
    <t>Less : 2Q Promo Discount</t>
  </si>
  <si>
    <t>Less : Equivalent Cash Disc.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</si>
</sst>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quot;$&quot;* #,##0.00_);_(&quot;$&quot;* \(#,##0.00\);_(&quot;$&quot;* &quot;-&quot;??_);_(@_)"/>
    <numFmt numFmtId="166" formatCode="_(* #,##0_);_(* \(#,##0\);_(* &quot;-&quot;??_);_(@_)"/>
    <numFmt numFmtId="167" formatCode="0.00_)"/>
    <numFmt numFmtId="168" formatCode="[$-409]mmmm\ d\,\ yyyy;@"/>
    <numFmt numFmtId="169" formatCode="_(* #,##0.00_);_(* \(#,##0.00\);_(* \-??_);_(@_)"/>
    <numFmt numFmtId="170" formatCode="[$-409]mmmm\-yy;@"/>
    <numFmt numFmtId="171" formatCode="0.0%"/>
    <numFmt numFmtId="172" formatCode=";;;"/>
    <numFmt numFmtId="173" formatCode="[$-409]d\-mmm\-yyyy;@"/>
  </numFmts>
  <fonts count="33">
    <font>
      <sz val="11"/>
      <color theme="1"/>
      <name val="Calibri"/>
      <family val="2"/>
      <scheme val="minor"/>
    </font>
    <font>
      <sz val="11"/>
      <color indexed="8"/>
      <name val="Calibri"/>
      <family val="2"/>
    </font>
    <font>
      <sz val="10"/>
      <name val="Arial"/>
      <family val="2"/>
    </font>
    <font>
      <sz val="8"/>
      <name val="Arial"/>
      <family val="2"/>
    </font>
    <font>
      <b/>
      <i/>
      <sz val="16"/>
      <name val="Helv"/>
    </font>
    <font>
      <sz val="15"/>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0"/>
      <color theme="1"/>
      <name val="Calibri"/>
      <family val="2"/>
      <scheme val="minor"/>
    </font>
    <font>
      <b/>
      <sz val="15"/>
      <color theme="1"/>
      <name val="Calibri"/>
      <family val="2"/>
      <scheme val="minor"/>
    </font>
    <font>
      <sz val="14"/>
      <name val="Calibri"/>
      <family val="2"/>
      <scheme val="minor"/>
    </font>
    <font>
      <sz val="12"/>
      <name val="Calibri"/>
      <family val="2"/>
      <scheme val="minor"/>
    </font>
    <font>
      <b/>
      <sz val="10"/>
      <name val="Calibri"/>
      <family val="2"/>
      <scheme val="minor"/>
    </font>
    <font>
      <b/>
      <sz val="10"/>
      <color theme="1"/>
      <name val="Calibri"/>
      <family val="2"/>
      <scheme val="minor"/>
    </font>
    <font>
      <sz val="11"/>
      <name val="Calibri"/>
      <family val="2"/>
      <scheme val="minor"/>
    </font>
    <font>
      <sz val="10"/>
      <color theme="0"/>
      <name val="Calibri"/>
      <family val="2"/>
      <scheme val="minor"/>
    </font>
    <font>
      <i/>
      <u/>
      <sz val="10"/>
      <color theme="10"/>
      <name val="Calibri"/>
      <family val="2"/>
      <scheme val="minor"/>
    </font>
    <font>
      <b/>
      <u/>
      <sz val="18"/>
      <color theme="1"/>
      <name val="Calibri"/>
      <family val="2"/>
      <scheme val="minor"/>
    </font>
    <font>
      <b/>
      <sz val="14"/>
      <color theme="1"/>
      <name val="Calibri"/>
      <family val="2"/>
      <scheme val="minor"/>
    </font>
    <font>
      <sz val="15"/>
      <color theme="1"/>
      <name val="Calibri"/>
      <family val="2"/>
      <scheme val="minor"/>
    </font>
    <font>
      <b/>
      <sz val="14"/>
      <name val="Calibri"/>
      <family val="2"/>
      <scheme val="minor"/>
    </font>
    <font>
      <b/>
      <sz val="13"/>
      <name val="Calibri"/>
      <family val="2"/>
      <scheme val="minor"/>
    </font>
    <font>
      <sz val="13"/>
      <name val="Calibri"/>
      <family val="2"/>
      <scheme val="minor"/>
    </font>
    <font>
      <b/>
      <sz val="18"/>
      <color rgb="FF0E6EB6"/>
      <name val="Cambria"/>
      <family val="1"/>
      <scheme val="major"/>
    </font>
    <font>
      <u/>
      <sz val="13"/>
      <color theme="1"/>
      <name val="Calibri"/>
      <family val="2"/>
      <scheme val="minor"/>
    </font>
    <font>
      <sz val="12"/>
      <color theme="1"/>
      <name val="Century Gothic"/>
      <family val="2"/>
    </font>
    <font>
      <b/>
      <sz val="12"/>
      <color theme="1"/>
      <name val="Century Gothic"/>
      <family val="2"/>
    </font>
    <font>
      <sz val="10"/>
      <color theme="1"/>
      <name val="Century Gothic"/>
      <family val="2"/>
    </font>
    <font>
      <b/>
      <sz val="10"/>
      <color theme="1"/>
      <name val="Century Gothic"/>
      <family val="2"/>
    </font>
    <font>
      <sz val="11"/>
      <color theme="1"/>
      <name val="Century Gothic"/>
      <family val="2"/>
    </font>
    <font>
      <i/>
      <sz val="8"/>
      <color theme="1"/>
      <name val="Century Gothic"/>
      <family val="2"/>
    </font>
    <font>
      <sz val="8"/>
      <color theme="1"/>
      <name val="Century Gothic"/>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ACACAF"/>
        <bgColor indexed="64"/>
      </patternFill>
    </fill>
    <fill>
      <patternFill patternType="solid">
        <fgColor rgb="FFF7941D"/>
        <bgColor indexed="64"/>
      </patternFill>
    </fill>
    <fill>
      <patternFill patternType="solid">
        <fgColor rgb="FF389E8F"/>
        <bgColor indexed="64"/>
      </patternFill>
    </fill>
    <fill>
      <patternFill patternType="solid">
        <fgColor theme="0" tint="-0.14999847407452621"/>
        <bgColor indexed="64"/>
      </patternFill>
    </fill>
  </fills>
  <borders count="4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double">
        <color auto="1"/>
      </bottom>
      <diagonal/>
    </border>
    <border>
      <left style="thin">
        <color auto="1"/>
      </left>
      <right style="thin">
        <color auto="1"/>
      </right>
      <top style="thin">
        <color auto="1"/>
      </top>
      <bottom style="hair">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s>
  <cellStyleXfs count="26">
    <xf numFmtId="0" fontId="0" fillId="0" borderId="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9" fontId="2" fillId="0" borderId="0" applyFill="0" applyBorder="0" applyAlignment="0" applyProtection="0"/>
    <xf numFmtId="165" fontId="6" fillId="0" borderId="0" applyFont="0" applyFill="0" applyBorder="0" applyAlignment="0" applyProtection="0"/>
    <xf numFmtId="169" fontId="1" fillId="0" borderId="0"/>
    <xf numFmtId="0" fontId="1" fillId="0" borderId="0"/>
    <xf numFmtId="9" fontId="1" fillId="0" borderId="0"/>
    <xf numFmtId="38" fontId="3" fillId="2" borderId="0" applyNumberFormat="0" applyBorder="0" applyAlignment="0" applyProtection="0"/>
    <xf numFmtId="0" fontId="8" fillId="0" borderId="0" applyNumberFormat="0" applyFill="0" applyBorder="0" applyAlignment="0" applyProtection="0"/>
    <xf numFmtId="10" fontId="3" fillId="3" borderId="1" applyNumberFormat="0" applyBorder="0" applyAlignment="0" applyProtection="0"/>
    <xf numFmtId="167" fontId="4" fillId="0" borderId="0"/>
    <xf numFmtId="0" fontId="2" fillId="0" borderId="0"/>
    <xf numFmtId="0" fontId="2" fillId="0" borderId="0"/>
    <xf numFmtId="0" fontId="6" fillId="0" borderId="0"/>
    <xf numFmtId="0" fontId="6" fillId="0" borderId="0"/>
    <xf numFmtId="9" fontId="6"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cellStyleXfs>
  <cellXfs count="182">
    <xf numFmtId="0" fontId="0" fillId="0" borderId="0" xfId="0"/>
    <xf numFmtId="0" fontId="10" fillId="4" borderId="0" xfId="0" applyFont="1" applyFill="1" applyProtection="1">
      <protection hidden="1"/>
    </xf>
    <xf numFmtId="0" fontId="0" fillId="0" borderId="0" xfId="0" applyAlignment="1" applyProtection="1">
      <alignment vertical="center"/>
      <protection hidden="1"/>
    </xf>
    <xf numFmtId="0" fontId="11"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6" xfId="0" applyBorder="1" applyAlignment="1" applyProtection="1">
      <alignment vertical="center"/>
      <protection hidden="1"/>
    </xf>
    <xf numFmtId="0" fontId="11" fillId="0" borderId="7"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15" fillId="0" borderId="15"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20" fillId="4" borderId="0" xfId="0" applyFont="1" applyFill="1" applyProtection="1">
      <protection hidden="1"/>
    </xf>
    <xf numFmtId="0" fontId="20" fillId="4" borderId="0" xfId="0" applyFont="1" applyFill="1" applyAlignment="1" applyProtection="1">
      <alignment vertical="center" wrapText="1"/>
      <protection hidden="1"/>
    </xf>
    <xf numFmtId="0" fontId="9" fillId="0" borderId="0" xfId="0" applyFont="1" applyProtection="1">
      <protection hidden="1"/>
    </xf>
    <xf numFmtId="0" fontId="9" fillId="4" borderId="0" xfId="0" applyFont="1" applyFill="1" applyProtection="1">
      <protection hidden="1"/>
    </xf>
    <xf numFmtId="0" fontId="14" fillId="4" borderId="0" xfId="0" applyFont="1" applyFill="1" applyProtection="1">
      <protection hidden="1"/>
    </xf>
    <xf numFmtId="9" fontId="14" fillId="4" borderId="0" xfId="0" applyNumberFormat="1" applyFont="1" applyFill="1" applyAlignment="1" applyProtection="1">
      <alignment horizontal="center"/>
      <protection hidden="1"/>
    </xf>
    <xf numFmtId="0" fontId="19" fillId="0" borderId="5" xfId="0" applyFont="1" applyBorder="1" applyAlignment="1" applyProtection="1">
      <alignment horizontal="left" vertical="center" indent="11"/>
      <protection hidden="1"/>
    </xf>
    <xf numFmtId="0" fontId="15" fillId="0" borderId="14" xfId="0" applyFont="1" applyBorder="1" applyAlignment="1" applyProtection="1">
      <alignment vertical="center"/>
      <protection hidden="1"/>
    </xf>
    <xf numFmtId="0" fontId="21" fillId="0" borderId="1" xfId="0" quotePrefix="1" applyFont="1" applyFill="1" applyBorder="1" applyAlignment="1" applyProtection="1">
      <alignment horizontal="center" vertical="center"/>
      <protection hidden="1"/>
    </xf>
    <xf numFmtId="4" fontId="19" fillId="4" borderId="1" xfId="0" applyNumberFormat="1" applyFont="1" applyFill="1" applyBorder="1" applyAlignment="1" applyProtection="1">
      <alignment horizontal="center" vertical="center"/>
      <protection hidden="1"/>
    </xf>
    <xf numFmtId="0" fontId="22" fillId="7" borderId="41" xfId="0" applyFont="1" applyFill="1" applyBorder="1" applyAlignment="1" applyProtection="1">
      <alignment horizontal="center" vertical="center"/>
      <protection hidden="1"/>
    </xf>
    <xf numFmtId="0" fontId="23" fillId="0" borderId="0" xfId="0" applyFont="1" applyAlignment="1" applyProtection="1">
      <alignment vertical="center"/>
      <protection hidden="1"/>
    </xf>
    <xf numFmtId="168" fontId="19" fillId="5" borderId="1" xfId="0" applyNumberFormat="1" applyFont="1" applyFill="1" applyBorder="1" applyAlignment="1" applyProtection="1">
      <alignment horizontal="center" vertical="center"/>
      <protection locked="0" hidden="1"/>
    </xf>
    <xf numFmtId="0" fontId="21" fillId="5" borderId="1" xfId="0" quotePrefix="1" applyFont="1" applyFill="1" applyBorder="1" applyAlignment="1" applyProtection="1">
      <alignment horizontal="center" vertical="center"/>
      <protection locked="0" hidden="1"/>
    </xf>
    <xf numFmtId="0" fontId="25" fillId="7" borderId="46" xfId="13" applyFont="1" applyFill="1" applyBorder="1" applyAlignment="1" applyProtection="1">
      <alignment horizontal="center" vertical="center" wrapText="1"/>
      <protection locked="0" hidden="1"/>
    </xf>
    <xf numFmtId="0" fontId="25" fillId="7" borderId="46" xfId="13" applyFont="1" applyFill="1" applyBorder="1" applyAlignment="1" applyProtection="1">
      <alignment horizontal="center" vertical="center"/>
      <protection locked="0" hidden="1"/>
    </xf>
    <xf numFmtId="0" fontId="25" fillId="7" borderId="47" xfId="13" applyFont="1" applyFill="1" applyBorder="1" applyAlignment="1" applyProtection="1">
      <alignment horizontal="center" vertical="center"/>
      <protection locked="0" hidden="1"/>
    </xf>
    <xf numFmtId="173" fontId="9" fillId="4" borderId="0" xfId="0" applyNumberFormat="1" applyFont="1" applyFill="1" applyAlignment="1" applyProtection="1">
      <alignment horizontal="center"/>
      <protection hidden="1"/>
    </xf>
    <xf numFmtId="0" fontId="14" fillId="4" borderId="0" xfId="0" applyFont="1" applyFill="1" applyAlignment="1" applyProtection="1">
      <alignment horizontal="center"/>
      <protection hidden="1"/>
    </xf>
    <xf numFmtId="43" fontId="14" fillId="4" borderId="0" xfId="1" applyFont="1" applyFill="1" applyProtection="1">
      <protection hidden="1"/>
    </xf>
    <xf numFmtId="0" fontId="9" fillId="4" borderId="0" xfId="0" applyFont="1" applyFill="1" applyAlignment="1" applyProtection="1">
      <alignment horizontal="center"/>
      <protection hidden="1"/>
    </xf>
    <xf numFmtId="0" fontId="9" fillId="4" borderId="2" xfId="0" applyFont="1" applyFill="1" applyBorder="1" applyProtection="1">
      <protection hidden="1"/>
    </xf>
    <xf numFmtId="0" fontId="14" fillId="4" borderId="2" xfId="0" applyFont="1" applyFill="1" applyBorder="1" applyProtection="1">
      <protection hidden="1"/>
    </xf>
    <xf numFmtId="0" fontId="13" fillId="0" borderId="0" xfId="13" applyFont="1" applyProtection="1">
      <protection hidden="1"/>
    </xf>
    <xf numFmtId="0" fontId="9" fillId="0" borderId="0" xfId="0" applyFont="1" applyAlignment="1" applyProtection="1">
      <alignment horizontal="center"/>
      <protection hidden="1"/>
    </xf>
    <xf numFmtId="0" fontId="14" fillId="0" borderId="0" xfId="0" applyFont="1" applyProtection="1">
      <protection hidden="1"/>
    </xf>
    <xf numFmtId="0" fontId="14" fillId="9" borderId="8" xfId="0" applyFont="1" applyFill="1" applyBorder="1" applyAlignment="1" applyProtection="1">
      <alignment horizontal="left"/>
      <protection hidden="1"/>
    </xf>
    <xf numFmtId="0" fontId="14" fillId="9" borderId="33" xfId="0" applyFont="1" applyFill="1" applyBorder="1" applyAlignment="1" applyProtection="1">
      <alignment horizontal="left"/>
      <protection hidden="1"/>
    </xf>
    <xf numFmtId="0" fontId="9" fillId="0" borderId="9" xfId="0" applyFont="1" applyBorder="1" applyAlignment="1" applyProtection="1">
      <alignment horizontal="left"/>
      <protection hidden="1"/>
    </xf>
    <xf numFmtId="0" fontId="9" fillId="0" borderId="0" xfId="0" applyFont="1" applyBorder="1" applyAlignment="1" applyProtection="1">
      <alignment horizontal="left"/>
      <protection hidden="1"/>
    </xf>
    <xf numFmtId="0" fontId="9" fillId="4" borderId="9" xfId="0" applyFont="1" applyFill="1" applyBorder="1" applyAlignment="1" applyProtection="1">
      <alignment vertical="center"/>
      <protection hidden="1"/>
    </xf>
    <xf numFmtId="0" fontId="9" fillId="0" borderId="10" xfId="0" applyFont="1" applyBorder="1" applyAlignment="1" applyProtection="1">
      <alignment horizontal="left"/>
      <protection hidden="1"/>
    </xf>
    <xf numFmtId="0" fontId="9" fillId="0" borderId="2" xfId="0" applyFont="1" applyBorder="1" applyAlignment="1" applyProtection="1">
      <alignment horizontal="left"/>
      <protection hidden="1"/>
    </xf>
    <xf numFmtId="39" fontId="9" fillId="0" borderId="0" xfId="0" applyNumberFormat="1" applyFont="1" applyProtection="1">
      <protection hidden="1"/>
    </xf>
    <xf numFmtId="0" fontId="16" fillId="0" borderId="0" xfId="0" applyFont="1" applyAlignment="1" applyProtection="1">
      <alignment horizontal="center"/>
      <protection hidden="1"/>
    </xf>
    <xf numFmtId="0" fontId="9" fillId="4" borderId="0" xfId="0" applyFont="1" applyFill="1" applyAlignment="1" applyProtection="1">
      <alignment horizontal="left" vertical="center" indent="1"/>
      <protection hidden="1"/>
    </xf>
    <xf numFmtId="0" fontId="9" fillId="0" borderId="0" xfId="0" applyFont="1" applyAlignment="1" applyProtection="1">
      <alignment horizontal="left" indent="1"/>
      <protection hidden="1"/>
    </xf>
    <xf numFmtId="39" fontId="9" fillId="0" borderId="0" xfId="0" applyNumberFormat="1" applyFont="1" applyBorder="1" applyProtection="1">
      <protection hidden="1"/>
    </xf>
    <xf numFmtId="39" fontId="9" fillId="4" borderId="33" xfId="0" applyNumberFormat="1" applyFont="1" applyFill="1" applyBorder="1" applyProtection="1">
      <protection hidden="1"/>
    </xf>
    <xf numFmtId="172" fontId="9" fillId="0" borderId="0" xfId="20" applyNumberFormat="1" applyFont="1" applyAlignment="1" applyProtection="1">
      <alignment horizontal="center"/>
      <protection hidden="1"/>
    </xf>
    <xf numFmtId="43" fontId="9" fillId="0" borderId="2" xfId="1" applyFont="1" applyBorder="1" applyProtection="1">
      <protection hidden="1"/>
    </xf>
    <xf numFmtId="0" fontId="14" fillId="4" borderId="0" xfId="0" applyFont="1" applyFill="1" applyAlignment="1" applyProtection="1">
      <alignment horizontal="left"/>
      <protection hidden="1"/>
    </xf>
    <xf numFmtId="43" fontId="14" fillId="4" borderId="33" xfId="1" applyFont="1" applyFill="1" applyBorder="1" applyProtection="1">
      <protection hidden="1"/>
    </xf>
    <xf numFmtId="0" fontId="14" fillId="4" borderId="0" xfId="0" applyFont="1" applyFill="1" applyAlignment="1" applyProtection="1">
      <alignment horizontal="left" indent="1"/>
      <protection hidden="1"/>
    </xf>
    <xf numFmtId="39" fontId="14" fillId="4" borderId="0" xfId="0" applyNumberFormat="1" applyFont="1" applyFill="1" applyProtection="1">
      <protection hidden="1"/>
    </xf>
    <xf numFmtId="39" fontId="14" fillId="4" borderId="11" xfId="0" applyNumberFormat="1" applyFont="1" applyFill="1" applyBorder="1" applyProtection="1">
      <protection hidden="1"/>
    </xf>
    <xf numFmtId="0" fontId="9" fillId="9" borderId="1" xfId="0" applyFont="1" applyFill="1" applyBorder="1" applyAlignment="1" applyProtection="1">
      <alignment horizontal="center" vertical="center"/>
      <protection hidden="1"/>
    </xf>
    <xf numFmtId="43" fontId="9" fillId="9" borderId="1" xfId="1" applyFont="1" applyFill="1" applyBorder="1" applyAlignment="1" applyProtection="1">
      <alignment horizontal="center" vertical="center"/>
      <protection hidden="1"/>
    </xf>
    <xf numFmtId="0" fontId="14" fillId="9" borderId="1" xfId="0" applyFont="1" applyFill="1" applyBorder="1" applyAlignment="1" applyProtection="1">
      <alignment horizontal="center" vertical="center"/>
      <protection hidden="1"/>
    </xf>
    <xf numFmtId="43" fontId="14" fillId="4" borderId="1" xfId="0" applyNumberFormat="1" applyFont="1" applyFill="1" applyBorder="1" applyAlignment="1" applyProtection="1">
      <alignment vertical="center"/>
      <protection hidden="1"/>
    </xf>
    <xf numFmtId="0" fontId="9" fillId="0" borderId="1" xfId="0" applyFont="1" applyBorder="1" applyAlignment="1" applyProtection="1">
      <alignment horizontal="center"/>
      <protection hidden="1"/>
    </xf>
    <xf numFmtId="170" fontId="9" fillId="0" borderId="1" xfId="0" applyNumberFormat="1" applyFont="1" applyBorder="1" applyAlignment="1" applyProtection="1">
      <alignment horizontal="center"/>
      <protection hidden="1"/>
    </xf>
    <xf numFmtId="43" fontId="9" fillId="0" borderId="1" xfId="1" applyFont="1" applyBorder="1" applyProtection="1">
      <protection hidden="1"/>
    </xf>
    <xf numFmtId="43" fontId="14" fillId="0" borderId="1" xfId="1" applyFont="1" applyBorder="1" applyProtection="1">
      <protection hidden="1"/>
    </xf>
    <xf numFmtId="43" fontId="9" fillId="0" borderId="1" xfId="0" applyNumberFormat="1" applyFont="1" applyBorder="1" applyProtection="1">
      <protection hidden="1"/>
    </xf>
    <xf numFmtId="9" fontId="9" fillId="0" borderId="1" xfId="0" applyNumberFormat="1" applyFont="1" applyBorder="1" applyAlignment="1" applyProtection="1">
      <alignment horizontal="center"/>
      <protection hidden="1"/>
    </xf>
    <xf numFmtId="43" fontId="14" fillId="9" borderId="1" xfId="1" applyFont="1" applyFill="1" applyBorder="1" applyProtection="1">
      <protection hidden="1"/>
    </xf>
    <xf numFmtId="0" fontId="9" fillId="9" borderId="1" xfId="0" applyFont="1" applyFill="1" applyBorder="1" applyProtection="1">
      <protection hidden="1"/>
    </xf>
    <xf numFmtId="0" fontId="17" fillId="0" borderId="0" xfId="13" applyFont="1" applyProtection="1">
      <protection locked="0" hidden="1"/>
    </xf>
    <xf numFmtId="0" fontId="0" fillId="0" borderId="0" xfId="0" applyProtection="1">
      <protection hidden="1"/>
    </xf>
    <xf numFmtId="0" fontId="9" fillId="9" borderId="19" xfId="0" applyFont="1" applyFill="1" applyBorder="1" applyAlignment="1" applyProtection="1">
      <alignment horizontal="center"/>
      <protection hidden="1"/>
    </xf>
    <xf numFmtId="0" fontId="9" fillId="4" borderId="0" xfId="0" applyFont="1" applyFill="1" applyBorder="1" applyAlignment="1" applyProtection="1">
      <alignment horizontal="left"/>
      <protection hidden="1"/>
    </xf>
    <xf numFmtId="0" fontId="14" fillId="4" borderId="0" xfId="0" applyFont="1" applyFill="1" applyBorder="1" applyAlignment="1" applyProtection="1">
      <alignment horizontal="left"/>
      <protection hidden="1"/>
    </xf>
    <xf numFmtId="0" fontId="9" fillId="0" borderId="16" xfId="0" applyFont="1" applyBorder="1" applyProtection="1">
      <protection hidden="1"/>
    </xf>
    <xf numFmtId="4" fontId="9" fillId="0" borderId="0" xfId="0" applyNumberFormat="1" applyFont="1" applyBorder="1" applyAlignment="1" applyProtection="1">
      <alignment horizontal="left"/>
      <protection hidden="1"/>
    </xf>
    <xf numFmtId="4" fontId="14" fillId="0" borderId="0" xfId="0" applyNumberFormat="1" applyFont="1" applyBorder="1" applyAlignment="1" applyProtection="1">
      <alignment horizontal="left"/>
      <protection hidden="1"/>
    </xf>
    <xf numFmtId="4" fontId="9" fillId="4" borderId="0" xfId="0" applyNumberFormat="1" applyFont="1" applyFill="1" applyBorder="1" applyAlignment="1" applyProtection="1">
      <alignment horizontal="left"/>
      <protection hidden="1"/>
    </xf>
    <xf numFmtId="172" fontId="9" fillId="4" borderId="0" xfId="0" applyNumberFormat="1" applyFont="1" applyFill="1" applyBorder="1" applyAlignment="1" applyProtection="1">
      <alignment horizontal="left"/>
      <protection hidden="1"/>
    </xf>
    <xf numFmtId="172" fontId="9" fillId="0" borderId="0" xfId="0" applyNumberFormat="1" applyFont="1" applyBorder="1" applyAlignment="1" applyProtection="1">
      <alignment horizontal="left"/>
      <protection hidden="1"/>
    </xf>
    <xf numFmtId="172" fontId="14" fillId="0" borderId="0" xfId="0" applyNumberFormat="1" applyFont="1" applyBorder="1" applyAlignment="1" applyProtection="1">
      <alignment horizontal="left"/>
      <protection hidden="1"/>
    </xf>
    <xf numFmtId="172" fontId="9" fillId="0" borderId="16" xfId="0" applyNumberFormat="1" applyFont="1" applyBorder="1" applyProtection="1">
      <protection hidden="1"/>
    </xf>
    <xf numFmtId="172" fontId="9" fillId="0" borderId="0" xfId="20" applyNumberFormat="1" applyFont="1" applyProtection="1">
      <protection hidden="1"/>
    </xf>
    <xf numFmtId="39" fontId="9" fillId="0" borderId="0" xfId="0" applyNumberFormat="1" applyFont="1" applyBorder="1" applyAlignment="1" applyProtection="1">
      <alignment horizontal="left"/>
      <protection hidden="1"/>
    </xf>
    <xf numFmtId="39" fontId="14" fillId="0" borderId="0" xfId="0" applyNumberFormat="1" applyFont="1" applyBorder="1" applyAlignment="1" applyProtection="1">
      <alignment horizontal="left"/>
      <protection hidden="1"/>
    </xf>
    <xf numFmtId="4" fontId="9" fillId="0" borderId="1" xfId="1" applyNumberFormat="1" applyFont="1" applyBorder="1" applyAlignment="1" applyProtection="1">
      <alignment horizontal="right"/>
      <protection hidden="1"/>
    </xf>
    <xf numFmtId="4" fontId="14" fillId="0" borderId="1" xfId="1" applyNumberFormat="1" applyFont="1" applyBorder="1" applyAlignment="1" applyProtection="1">
      <alignment horizontal="right"/>
      <protection hidden="1"/>
    </xf>
    <xf numFmtId="4" fontId="9" fillId="0" borderId="1" xfId="8" applyNumberFormat="1" applyFont="1" applyBorder="1" applyAlignment="1" applyProtection="1">
      <alignment horizontal="right"/>
      <protection hidden="1"/>
    </xf>
    <xf numFmtId="43" fontId="9" fillId="0" borderId="1" xfId="8" applyNumberFormat="1" applyFont="1" applyBorder="1" applyAlignment="1" applyProtection="1">
      <alignment horizontal="right"/>
      <protection hidden="1"/>
    </xf>
    <xf numFmtId="43" fontId="9" fillId="0" borderId="0" xfId="1" applyFont="1" applyProtection="1">
      <protection hidden="1"/>
    </xf>
    <xf numFmtId="0" fontId="14" fillId="0" borderId="0" xfId="0" applyFont="1" applyAlignment="1" applyProtection="1">
      <alignment horizontal="center"/>
      <protection hidden="1"/>
    </xf>
    <xf numFmtId="0" fontId="9" fillId="4" borderId="0" xfId="0" applyFont="1" applyFill="1" applyBorder="1" applyAlignment="1" applyProtection="1">
      <alignment vertical="center"/>
      <protection hidden="1"/>
    </xf>
    <xf numFmtId="4" fontId="9" fillId="0" borderId="1" xfId="1" applyNumberFormat="1" applyFont="1" applyBorder="1" applyAlignment="1" applyProtection="1">
      <protection hidden="1"/>
    </xf>
    <xf numFmtId="0" fontId="0" fillId="0" borderId="3" xfId="0" applyBorder="1" applyAlignment="1" applyProtection="1">
      <alignment vertical="center"/>
      <protection hidden="1"/>
    </xf>
    <xf numFmtId="0" fontId="11" fillId="0" borderId="4" xfId="0" applyFont="1" applyBorder="1" applyAlignment="1" applyProtection="1">
      <alignment vertical="center"/>
      <protection hidden="1"/>
    </xf>
    <xf numFmtId="0" fontId="15" fillId="0" borderId="13" xfId="0" applyFont="1" applyBorder="1" applyAlignment="1" applyProtection="1">
      <alignment vertical="center"/>
      <protection hidden="1"/>
    </xf>
    <xf numFmtId="0" fontId="0" fillId="0" borderId="5" xfId="0" applyBorder="1" applyAlignment="1" applyProtection="1">
      <alignment vertical="center"/>
      <protection hidden="1"/>
    </xf>
    <xf numFmtId="0" fontId="12" fillId="0" borderId="0" xfId="0" applyFont="1" applyAlignment="1" applyProtection="1">
      <alignment vertical="center"/>
      <protection hidden="1"/>
    </xf>
    <xf numFmtId="0" fontId="12" fillId="0" borderId="0" xfId="13" applyFont="1" applyFill="1" applyBorder="1" applyAlignment="1" applyProtection="1">
      <alignment horizontal="center" vertical="center"/>
      <protection hidden="1"/>
    </xf>
    <xf numFmtId="0" fontId="7" fillId="4" borderId="0" xfId="13"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171" fontId="9" fillId="4" borderId="0" xfId="20" applyNumberFormat="1" applyFont="1" applyFill="1" applyBorder="1" applyAlignment="1" applyProtection="1">
      <alignment horizontal="center"/>
      <protection locked="0" hidden="1"/>
    </xf>
    <xf numFmtId="0" fontId="14" fillId="9" borderId="33" xfId="0" applyFont="1" applyFill="1" applyBorder="1" applyAlignment="1" applyProtection="1">
      <alignment horizontal="left"/>
      <protection hidden="1"/>
    </xf>
    <xf numFmtId="0" fontId="26" fillId="0" borderId="0" xfId="0" applyFont="1"/>
    <xf numFmtId="0" fontId="27" fillId="0" borderId="0" xfId="0" applyFont="1" applyAlignment="1">
      <alignment horizontal="left"/>
    </xf>
    <xf numFmtId="0" fontId="26" fillId="0" borderId="0" xfId="0" applyFont="1" applyAlignment="1">
      <alignment horizontal="center"/>
    </xf>
    <xf numFmtId="0" fontId="28" fillId="0" borderId="0" xfId="0" applyFont="1"/>
    <xf numFmtId="0" fontId="26" fillId="0" borderId="0" xfId="0" applyFont="1" applyAlignment="1">
      <alignment horizontal="left"/>
    </xf>
    <xf numFmtId="0" fontId="26" fillId="0" borderId="0" xfId="0" applyFont="1" applyAlignment="1">
      <alignment horizontal="right"/>
    </xf>
    <xf numFmtId="0" fontId="29" fillId="0" borderId="23" xfId="0" applyFont="1" applyBorder="1" applyAlignment="1">
      <alignment horizontal="left" vertical="center" wrapText="1"/>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30" fillId="0" borderId="27" xfId="0" applyFont="1" applyBorder="1" applyAlignment="1">
      <alignment horizontal="left" vertical="center" wrapText="1"/>
    </xf>
    <xf numFmtId="0" fontId="26" fillId="0" borderId="28" xfId="0" applyFont="1" applyBorder="1" applyAlignment="1">
      <alignment vertical="center"/>
    </xf>
    <xf numFmtId="0" fontId="26" fillId="0" borderId="4" xfId="0" applyFont="1" applyBorder="1" applyAlignment="1">
      <alignment vertical="center"/>
    </xf>
    <xf numFmtId="0" fontId="26" fillId="0" borderId="29" xfId="0" applyFont="1" applyBorder="1" applyAlignment="1">
      <alignment vertical="center"/>
    </xf>
    <xf numFmtId="0" fontId="28" fillId="0" borderId="30" xfId="0" applyFont="1" applyBorder="1"/>
    <xf numFmtId="0" fontId="30" fillId="0" borderId="12" xfId="0" applyFont="1" applyBorder="1"/>
    <xf numFmtId="0" fontId="30" fillId="0" borderId="12" xfId="0" applyFont="1" applyBorder="1" applyAlignment="1">
      <alignment horizontal="center"/>
    </xf>
    <xf numFmtId="2" fontId="30" fillId="0" borderId="12" xfId="0" applyNumberFormat="1" applyFont="1" applyBorder="1" applyAlignment="1">
      <alignment horizontal="center"/>
    </xf>
    <xf numFmtId="164" fontId="30" fillId="0" borderId="12" xfId="0" applyNumberFormat="1" applyFont="1" applyBorder="1"/>
    <xf numFmtId="164" fontId="26" fillId="0" borderId="0" xfId="0" applyNumberFormat="1" applyFont="1"/>
    <xf numFmtId="166" fontId="28" fillId="0" borderId="0" xfId="1" applyNumberFormat="1" applyFont="1"/>
    <xf numFmtId="164" fontId="28" fillId="0" borderId="0" xfId="0" applyNumberFormat="1" applyFont="1"/>
    <xf numFmtId="0" fontId="28" fillId="0" borderId="31" xfId="0" applyFont="1" applyBorder="1"/>
    <xf numFmtId="0" fontId="30" fillId="0" borderId="21" xfId="0" applyFont="1" applyBorder="1"/>
    <xf numFmtId="0" fontId="30" fillId="0" borderId="21" xfId="0" applyFont="1" applyBorder="1" applyAlignment="1">
      <alignment horizontal="center"/>
    </xf>
    <xf numFmtId="2" fontId="30" fillId="0" borderId="21" xfId="0" applyNumberFormat="1" applyFont="1" applyBorder="1" applyAlignment="1">
      <alignment horizontal="center"/>
    </xf>
    <xf numFmtId="164" fontId="30" fillId="0" borderId="21" xfId="0" applyNumberFormat="1" applyFont="1" applyBorder="1"/>
    <xf numFmtId="0" fontId="28" fillId="0" borderId="32" xfId="0" applyFont="1" applyBorder="1"/>
    <xf numFmtId="0" fontId="30" fillId="0" borderId="22" xfId="0" applyFont="1" applyBorder="1"/>
    <xf numFmtId="0" fontId="30" fillId="0" borderId="22" xfId="0" applyFont="1" applyBorder="1" applyAlignment="1">
      <alignment horizontal="center"/>
    </xf>
    <xf numFmtId="2" fontId="30" fillId="0" borderId="22" xfId="0" applyNumberFormat="1" applyFont="1" applyBorder="1" applyAlignment="1">
      <alignment horizontal="center"/>
    </xf>
    <xf numFmtId="164" fontId="30" fillId="0" borderId="22" xfId="0" applyNumberFormat="1" applyFont="1" applyBorder="1"/>
    <xf numFmtId="0" fontId="30" fillId="0" borderId="0" xfId="0" applyFont="1"/>
    <xf numFmtId="0" fontId="30" fillId="0" borderId="0" xfId="0" applyFont="1" applyAlignment="1">
      <alignment horizontal="center"/>
    </xf>
    <xf numFmtId="0" fontId="32" fillId="0" borderId="0" xfId="0" applyFont="1" applyAlignment="1">
      <alignment horizontal="left"/>
    </xf>
    <xf numFmtId="43" fontId="26" fillId="0" borderId="0" xfId="1" applyFont="1"/>
    <xf numFmtId="0" fontId="27" fillId="0" borderId="0" xfId="0" applyFont="1" applyAlignment="1">
      <alignment horizontal="center"/>
    </xf>
    <xf numFmtId="43" fontId="9" fillId="0" borderId="1" xfId="1" applyFont="1" applyBorder="1" applyAlignment="1" applyProtection="1">
      <alignment horizontal="right"/>
      <protection hidden="1"/>
    </xf>
    <xf numFmtId="0" fontId="8" fillId="7" borderId="47" xfId="13" applyFill="1" applyBorder="1" applyAlignment="1" applyProtection="1">
      <alignment horizontal="center" vertical="center" wrapText="1"/>
      <protection locked="0" hidden="1"/>
    </xf>
    <xf numFmtId="39" fontId="9" fillId="0" borderId="0" xfId="0" applyNumberFormat="1" applyFont="1" applyBorder="1" applyProtection="1">
      <protection locked="0" hidden="1"/>
    </xf>
    <xf numFmtId="0" fontId="8" fillId="8" borderId="44" xfId="13" applyFill="1" applyBorder="1" applyAlignment="1" applyProtection="1">
      <alignment horizontal="center" vertical="center" wrapText="1"/>
      <protection locked="0" hidden="1"/>
    </xf>
    <xf numFmtId="0" fontId="8" fillId="8" borderId="45" xfId="13" applyFill="1" applyBorder="1" applyAlignment="1" applyProtection="1">
      <alignment horizontal="center" vertical="center" wrapText="1"/>
      <protection locked="0" hidden="1"/>
    </xf>
    <xf numFmtId="0" fontId="25" fillId="8" borderId="42" xfId="13" applyFont="1" applyFill="1" applyBorder="1" applyAlignment="1" applyProtection="1">
      <alignment horizontal="center" vertical="center" wrapText="1"/>
      <protection locked="0" hidden="1"/>
    </xf>
    <xf numFmtId="0" fontId="25" fillId="8" borderId="43" xfId="13" applyFont="1" applyFill="1" applyBorder="1" applyAlignment="1" applyProtection="1">
      <alignment horizontal="center" vertical="center" wrapText="1"/>
      <protection locked="0" hidden="1"/>
    </xf>
    <xf numFmtId="0" fontId="25" fillId="8" borderId="44" xfId="13" applyFont="1" applyFill="1" applyBorder="1" applyAlignment="1" applyProtection="1">
      <alignment horizontal="center" vertical="center" wrapText="1"/>
      <protection locked="0" hidden="1"/>
    </xf>
    <xf numFmtId="0" fontId="25" fillId="8" borderId="45" xfId="13" applyFont="1" applyFill="1" applyBorder="1" applyAlignment="1" applyProtection="1">
      <alignment horizontal="center" vertical="center" wrapText="1"/>
      <protection locked="0" hidden="1"/>
    </xf>
    <xf numFmtId="0" fontId="25" fillId="8" borderId="37" xfId="13" applyFont="1" applyFill="1" applyBorder="1" applyAlignment="1" applyProtection="1">
      <alignment horizontal="center" vertical="center" wrapText="1"/>
      <protection locked="0" hidden="1"/>
    </xf>
    <xf numFmtId="0" fontId="25" fillId="8" borderId="48" xfId="13" applyFont="1" applyFill="1" applyBorder="1" applyAlignment="1" applyProtection="1">
      <alignment horizontal="center" vertical="center" wrapText="1"/>
      <protection locked="0" hidden="1"/>
    </xf>
    <xf numFmtId="0" fontId="20" fillId="4" borderId="0" xfId="0" applyFont="1" applyFill="1" applyAlignment="1" applyProtection="1">
      <alignment vertical="center" wrapText="1"/>
      <protection hidden="1"/>
    </xf>
    <xf numFmtId="0" fontId="24" fillId="6" borderId="34" xfId="0" applyFont="1" applyFill="1" applyBorder="1" applyAlignment="1" applyProtection="1">
      <alignment horizontal="center" vertical="center" wrapText="1"/>
      <protection hidden="1"/>
    </xf>
    <xf numFmtId="0" fontId="24" fillId="6" borderId="35" xfId="0" applyFont="1" applyFill="1" applyBorder="1" applyAlignment="1" applyProtection="1">
      <alignment horizontal="center" vertical="center" wrapText="1"/>
      <protection hidden="1"/>
    </xf>
    <xf numFmtId="0" fontId="22" fillId="8" borderId="36" xfId="0" applyFont="1" applyFill="1" applyBorder="1" applyAlignment="1" applyProtection="1">
      <alignment horizontal="center" vertical="center"/>
      <protection hidden="1"/>
    </xf>
    <xf numFmtId="0" fontId="22" fillId="8" borderId="38" xfId="0" applyFont="1" applyFill="1" applyBorder="1" applyAlignment="1" applyProtection="1">
      <alignment horizontal="center" vertical="center"/>
      <protection hidden="1"/>
    </xf>
    <xf numFmtId="0" fontId="25" fillId="8" borderId="39" xfId="13" applyFont="1" applyFill="1" applyBorder="1" applyAlignment="1" applyProtection="1">
      <alignment horizontal="center" vertical="center" wrapText="1"/>
      <protection locked="0" hidden="1"/>
    </xf>
    <xf numFmtId="0" fontId="25" fillId="8" borderId="40" xfId="13" applyFont="1" applyFill="1" applyBorder="1" applyAlignment="1" applyProtection="1">
      <alignment horizontal="center" vertical="center" wrapText="1"/>
      <protection locked="0" hidden="1"/>
    </xf>
    <xf numFmtId="0" fontId="29" fillId="0" borderId="17" xfId="0" applyFont="1" applyBorder="1" applyAlignment="1">
      <alignment horizontal="center"/>
    </xf>
    <xf numFmtId="0" fontId="29" fillId="0" borderId="18" xfId="0" applyFont="1" applyBorder="1" applyAlignment="1">
      <alignment horizontal="center"/>
    </xf>
    <xf numFmtId="0" fontId="31" fillId="0" borderId="0" xfId="0" applyFont="1" applyAlignment="1">
      <alignment horizontal="left" wrapText="1"/>
    </xf>
    <xf numFmtId="0" fontId="9" fillId="4" borderId="0" xfId="0" applyFont="1" applyFill="1" applyAlignment="1" applyProtection="1">
      <alignment wrapText="1"/>
      <protection hidden="1"/>
    </xf>
    <xf numFmtId="0" fontId="18" fillId="0" borderId="0" xfId="0" applyFont="1" applyAlignment="1" applyProtection="1">
      <alignment horizontal="center" vertical="center"/>
      <protection hidden="1"/>
    </xf>
    <xf numFmtId="0" fontId="9" fillId="4" borderId="0" xfId="0" applyFont="1" applyFill="1" applyAlignment="1" applyProtection="1">
      <alignment horizontal="left" wrapText="1"/>
      <protection hidden="1"/>
    </xf>
    <xf numFmtId="0" fontId="14" fillId="0" borderId="1" xfId="0" applyFont="1" applyFill="1" applyBorder="1" applyAlignment="1" applyProtection="1">
      <alignment vertical="center"/>
      <protection hidden="1"/>
    </xf>
    <xf numFmtId="0" fontId="14" fillId="9" borderId="1" xfId="0" applyFont="1" applyFill="1" applyBorder="1" applyAlignment="1" applyProtection="1">
      <alignment horizontal="right" indent="2"/>
      <protection hidden="1"/>
    </xf>
    <xf numFmtId="0" fontId="14" fillId="9" borderId="33" xfId="0" applyFont="1" applyFill="1" applyBorder="1" applyAlignment="1" applyProtection="1">
      <alignment horizontal="left"/>
      <protection hidden="1"/>
    </xf>
    <xf numFmtId="0" fontId="14" fillId="9" borderId="19" xfId="0" applyFont="1" applyFill="1" applyBorder="1" applyAlignment="1" applyProtection="1">
      <alignment horizontal="left"/>
      <protection hidden="1"/>
    </xf>
    <xf numFmtId="0" fontId="9" fillId="4" borderId="0" xfId="0" applyFont="1" applyFill="1" applyBorder="1" applyAlignment="1" applyProtection="1">
      <alignment horizontal="left"/>
      <protection hidden="1"/>
    </xf>
    <xf numFmtId="0" fontId="9" fillId="4" borderId="16" xfId="0" applyFont="1" applyFill="1" applyBorder="1" applyAlignment="1" applyProtection="1">
      <alignment horizontal="left"/>
      <protection hidden="1"/>
    </xf>
    <xf numFmtId="4" fontId="9" fillId="0" borderId="0" xfId="0" applyNumberFormat="1" applyFont="1" applyBorder="1" applyAlignment="1" applyProtection="1">
      <alignment horizontal="left"/>
      <protection hidden="1"/>
    </xf>
    <xf numFmtId="4" fontId="9" fillId="0" borderId="16" xfId="0" applyNumberFormat="1" applyFont="1" applyBorder="1" applyAlignment="1" applyProtection="1">
      <alignment horizontal="left"/>
      <protection hidden="1"/>
    </xf>
    <xf numFmtId="4" fontId="9" fillId="4" borderId="0" xfId="0" applyNumberFormat="1" applyFont="1" applyFill="1" applyBorder="1" applyAlignment="1" applyProtection="1">
      <alignment horizontal="left"/>
      <protection hidden="1"/>
    </xf>
    <xf numFmtId="4" fontId="9" fillId="4" borderId="16" xfId="0" applyNumberFormat="1" applyFont="1" applyFill="1" applyBorder="1" applyAlignment="1" applyProtection="1">
      <alignment horizontal="left"/>
      <protection hidden="1"/>
    </xf>
    <xf numFmtId="39" fontId="9" fillId="0" borderId="0" xfId="0" applyNumberFormat="1" applyFont="1" applyBorder="1" applyAlignment="1" applyProtection="1">
      <alignment horizontal="left"/>
      <protection hidden="1"/>
    </xf>
    <xf numFmtId="39" fontId="9" fillId="0" borderId="16" xfId="0" applyNumberFormat="1" applyFont="1" applyBorder="1" applyAlignment="1" applyProtection="1">
      <alignment horizontal="left"/>
      <protection hidden="1"/>
    </xf>
    <xf numFmtId="39" fontId="9" fillId="0" borderId="2" xfId="0" applyNumberFormat="1" applyFont="1" applyBorder="1" applyAlignment="1" applyProtection="1">
      <protection hidden="1"/>
    </xf>
    <xf numFmtId="39" fontId="9" fillId="0" borderId="20" xfId="0" applyNumberFormat="1" applyFont="1" applyBorder="1" applyAlignment="1" applyProtection="1">
      <protection hidden="1"/>
    </xf>
    <xf numFmtId="0" fontId="9" fillId="4" borderId="33" xfId="0" applyFont="1" applyFill="1" applyBorder="1" applyAlignment="1" applyProtection="1">
      <alignment horizontal="center"/>
      <protection hidden="1"/>
    </xf>
    <xf numFmtId="39" fontId="9" fillId="0" borderId="2" xfId="0" applyNumberFormat="1" applyFont="1" applyBorder="1" applyAlignment="1" applyProtection="1">
      <alignment horizontal="left"/>
      <protection hidden="1"/>
    </xf>
    <xf numFmtId="39" fontId="9" fillId="0" borderId="20" xfId="0" applyNumberFormat="1" applyFont="1" applyBorder="1" applyAlignment="1" applyProtection="1">
      <alignment horizontal="left"/>
      <protection hidden="1"/>
    </xf>
  </cellXfs>
  <cellStyles count="26">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omma 4" xfId="6" xr:uid="{00000000-0005-0000-0000-000005000000}"/>
    <cellStyle name="Comma 5" xfId="7" xr:uid="{00000000-0005-0000-0000-000006000000}"/>
    <cellStyle name="Currency" xfId="8" builtinId="4"/>
    <cellStyle name="Excel Built-in Comma" xfId="9" xr:uid="{00000000-0005-0000-0000-000008000000}"/>
    <cellStyle name="Excel Built-in Normal" xfId="10" xr:uid="{00000000-0005-0000-0000-000009000000}"/>
    <cellStyle name="Excel Built-in Percent" xfId="11" xr:uid="{00000000-0005-0000-0000-00000A000000}"/>
    <cellStyle name="Grey" xfId="12" xr:uid="{00000000-0005-0000-0000-00000B000000}"/>
    <cellStyle name="Hyperlink" xfId="13" builtinId="8"/>
    <cellStyle name="Input [yellow]" xfId="14" xr:uid="{00000000-0005-0000-0000-00000D000000}"/>
    <cellStyle name="Normal" xfId="0" builtinId="0"/>
    <cellStyle name="Normal - Style1" xfId="15" xr:uid="{00000000-0005-0000-0000-00000F000000}"/>
    <cellStyle name="Normal 2" xfId="16" xr:uid="{00000000-0005-0000-0000-000010000000}"/>
    <cellStyle name="Normal 2 2" xfId="17" xr:uid="{00000000-0005-0000-0000-000011000000}"/>
    <cellStyle name="Normal 3" xfId="18" xr:uid="{00000000-0005-0000-0000-000012000000}"/>
    <cellStyle name="Normal 4" xfId="19" xr:uid="{00000000-0005-0000-0000-000013000000}"/>
    <cellStyle name="Percent" xfId="20" builtinId="5"/>
    <cellStyle name="Percent [2]" xfId="21" xr:uid="{00000000-0005-0000-0000-000015000000}"/>
    <cellStyle name="Percent 2" xfId="22" xr:uid="{00000000-0005-0000-0000-000016000000}"/>
    <cellStyle name="Percent 2 2" xfId="23" xr:uid="{00000000-0005-0000-0000-000017000000}"/>
    <cellStyle name="Percent 3" xfId="24" xr:uid="{00000000-0005-0000-0000-000018000000}"/>
    <cellStyle name="Percent 4" xfId="25" xr:uid="{00000000-0005-0000-0000-000019000000}"/>
  </cellStyles>
  <dxfs count="0"/>
  <tableStyles count="0" defaultTableStyle="TableStyleMedium2" defaultPivotStyle="PivotStyleLight16"/>
  <colors>
    <mruColors>
      <color rgb="FF389E8F"/>
      <color rgb="FFF794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619125</xdr:colOff>
      <xdr:row>3</xdr:row>
      <xdr:rowOff>0</xdr:rowOff>
    </xdr:from>
    <xdr:to>
      <xdr:col>1</xdr:col>
      <xdr:colOff>619125</xdr:colOff>
      <xdr:row>5</xdr:row>
      <xdr:rowOff>123825</xdr:rowOff>
    </xdr:to>
    <xdr:pic>
      <xdr:nvPicPr>
        <xdr:cNvPr id="474567" name="Picture 1">
          <a:extLst>
            <a:ext uri="{FF2B5EF4-FFF2-40B4-BE49-F238E27FC236}">
              <a16:creationId xmlns:a16="http://schemas.microsoft.com/office/drawing/2014/main" id="{00000000-0008-0000-0000-0000C7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847725"/>
          <a:ext cx="0" cy="485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3</xdr:row>
      <xdr:rowOff>0</xdr:rowOff>
    </xdr:from>
    <xdr:to>
      <xdr:col>1</xdr:col>
      <xdr:colOff>1047750</xdr:colOff>
      <xdr:row>5</xdr:row>
      <xdr:rowOff>171450</xdr:rowOff>
    </xdr:to>
    <xdr:pic>
      <xdr:nvPicPr>
        <xdr:cNvPr id="474568" name="Picture 1">
          <a:extLst>
            <a:ext uri="{FF2B5EF4-FFF2-40B4-BE49-F238E27FC236}">
              <a16:creationId xmlns:a16="http://schemas.microsoft.com/office/drawing/2014/main" id="{00000000-0008-0000-0000-0000C8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847725"/>
          <a:ext cx="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3</xdr:row>
      <xdr:rowOff>0</xdr:rowOff>
    </xdr:from>
    <xdr:to>
      <xdr:col>1</xdr:col>
      <xdr:colOff>619125</xdr:colOff>
      <xdr:row>5</xdr:row>
      <xdr:rowOff>123825</xdr:rowOff>
    </xdr:to>
    <xdr:pic>
      <xdr:nvPicPr>
        <xdr:cNvPr id="474569" name="Picture 1">
          <a:extLst>
            <a:ext uri="{FF2B5EF4-FFF2-40B4-BE49-F238E27FC236}">
              <a16:creationId xmlns:a16="http://schemas.microsoft.com/office/drawing/2014/main" id="{00000000-0008-0000-0000-0000C9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847725"/>
          <a:ext cx="0" cy="485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3</xdr:row>
      <xdr:rowOff>0</xdr:rowOff>
    </xdr:from>
    <xdr:to>
      <xdr:col>1</xdr:col>
      <xdr:colOff>1047750</xdr:colOff>
      <xdr:row>5</xdr:row>
      <xdr:rowOff>171450</xdr:rowOff>
    </xdr:to>
    <xdr:pic>
      <xdr:nvPicPr>
        <xdr:cNvPr id="474570" name="Picture 1">
          <a:extLst>
            <a:ext uri="{FF2B5EF4-FFF2-40B4-BE49-F238E27FC236}">
              <a16:creationId xmlns:a16="http://schemas.microsoft.com/office/drawing/2014/main" id="{00000000-0008-0000-0000-0000CA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847725"/>
          <a:ext cx="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3</xdr:row>
      <xdr:rowOff>142875</xdr:rowOff>
    </xdr:from>
    <xdr:to>
      <xdr:col>1</xdr:col>
      <xdr:colOff>619125</xdr:colOff>
      <xdr:row>5</xdr:row>
      <xdr:rowOff>247650</xdr:rowOff>
    </xdr:to>
    <xdr:pic>
      <xdr:nvPicPr>
        <xdr:cNvPr id="474571" name="Picture 1">
          <a:extLst>
            <a:ext uri="{FF2B5EF4-FFF2-40B4-BE49-F238E27FC236}">
              <a16:creationId xmlns:a16="http://schemas.microsoft.com/office/drawing/2014/main" id="{00000000-0008-0000-0000-0000CB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971550"/>
          <a:ext cx="0" cy="485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3</xdr:row>
      <xdr:rowOff>47625</xdr:rowOff>
    </xdr:from>
    <xdr:to>
      <xdr:col>1</xdr:col>
      <xdr:colOff>1047750</xdr:colOff>
      <xdr:row>5</xdr:row>
      <xdr:rowOff>219075</xdr:rowOff>
    </xdr:to>
    <xdr:pic>
      <xdr:nvPicPr>
        <xdr:cNvPr id="474572" name="Picture 1">
          <a:extLst>
            <a:ext uri="{FF2B5EF4-FFF2-40B4-BE49-F238E27FC236}">
              <a16:creationId xmlns:a16="http://schemas.microsoft.com/office/drawing/2014/main" id="{00000000-0008-0000-0000-0000CC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895350"/>
          <a:ext cx="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73" name="Picture 1">
          <a:extLst>
            <a:ext uri="{FF2B5EF4-FFF2-40B4-BE49-F238E27FC236}">
              <a16:creationId xmlns:a16="http://schemas.microsoft.com/office/drawing/2014/main" id="{00000000-0008-0000-0000-0000CD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74" name="Picture 1">
          <a:extLst>
            <a:ext uri="{FF2B5EF4-FFF2-40B4-BE49-F238E27FC236}">
              <a16:creationId xmlns:a16="http://schemas.microsoft.com/office/drawing/2014/main" id="{00000000-0008-0000-0000-0000CE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75" name="Picture 1">
          <a:extLst>
            <a:ext uri="{FF2B5EF4-FFF2-40B4-BE49-F238E27FC236}">
              <a16:creationId xmlns:a16="http://schemas.microsoft.com/office/drawing/2014/main" id="{00000000-0008-0000-0000-0000CF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76" name="Picture 1">
          <a:extLst>
            <a:ext uri="{FF2B5EF4-FFF2-40B4-BE49-F238E27FC236}">
              <a16:creationId xmlns:a16="http://schemas.microsoft.com/office/drawing/2014/main" id="{00000000-0008-0000-0000-0000D0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77" name="Picture 1">
          <a:extLst>
            <a:ext uri="{FF2B5EF4-FFF2-40B4-BE49-F238E27FC236}">
              <a16:creationId xmlns:a16="http://schemas.microsoft.com/office/drawing/2014/main" id="{00000000-0008-0000-0000-0000D1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78" name="Picture 1">
          <a:extLst>
            <a:ext uri="{FF2B5EF4-FFF2-40B4-BE49-F238E27FC236}">
              <a16:creationId xmlns:a16="http://schemas.microsoft.com/office/drawing/2014/main" id="{00000000-0008-0000-0000-0000D2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79" name="Picture 1">
          <a:extLst>
            <a:ext uri="{FF2B5EF4-FFF2-40B4-BE49-F238E27FC236}">
              <a16:creationId xmlns:a16="http://schemas.microsoft.com/office/drawing/2014/main" id="{00000000-0008-0000-0000-0000D3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80" name="Picture 1">
          <a:extLst>
            <a:ext uri="{FF2B5EF4-FFF2-40B4-BE49-F238E27FC236}">
              <a16:creationId xmlns:a16="http://schemas.microsoft.com/office/drawing/2014/main" id="{00000000-0008-0000-0000-0000D4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81" name="Picture 1">
          <a:extLst>
            <a:ext uri="{FF2B5EF4-FFF2-40B4-BE49-F238E27FC236}">
              <a16:creationId xmlns:a16="http://schemas.microsoft.com/office/drawing/2014/main" id="{00000000-0008-0000-0000-0000D5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82" name="Picture 1">
          <a:extLst>
            <a:ext uri="{FF2B5EF4-FFF2-40B4-BE49-F238E27FC236}">
              <a16:creationId xmlns:a16="http://schemas.microsoft.com/office/drawing/2014/main" id="{00000000-0008-0000-0000-0000D6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83" name="Picture 1">
          <a:extLst>
            <a:ext uri="{FF2B5EF4-FFF2-40B4-BE49-F238E27FC236}">
              <a16:creationId xmlns:a16="http://schemas.microsoft.com/office/drawing/2014/main" id="{00000000-0008-0000-0000-0000D7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84" name="Picture 1">
          <a:extLst>
            <a:ext uri="{FF2B5EF4-FFF2-40B4-BE49-F238E27FC236}">
              <a16:creationId xmlns:a16="http://schemas.microsoft.com/office/drawing/2014/main" id="{00000000-0008-0000-0000-0000D8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85" name="Picture 1">
          <a:extLst>
            <a:ext uri="{FF2B5EF4-FFF2-40B4-BE49-F238E27FC236}">
              <a16:creationId xmlns:a16="http://schemas.microsoft.com/office/drawing/2014/main" id="{00000000-0008-0000-0000-0000D9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86" name="Picture 1">
          <a:extLst>
            <a:ext uri="{FF2B5EF4-FFF2-40B4-BE49-F238E27FC236}">
              <a16:creationId xmlns:a16="http://schemas.microsoft.com/office/drawing/2014/main" id="{00000000-0008-0000-0000-0000DA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87" name="Picture 1">
          <a:extLst>
            <a:ext uri="{FF2B5EF4-FFF2-40B4-BE49-F238E27FC236}">
              <a16:creationId xmlns:a16="http://schemas.microsoft.com/office/drawing/2014/main" id="{00000000-0008-0000-0000-0000DB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88" name="Picture 1">
          <a:extLst>
            <a:ext uri="{FF2B5EF4-FFF2-40B4-BE49-F238E27FC236}">
              <a16:creationId xmlns:a16="http://schemas.microsoft.com/office/drawing/2014/main" id="{00000000-0008-0000-0000-0000DC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89" name="Picture 1">
          <a:extLst>
            <a:ext uri="{FF2B5EF4-FFF2-40B4-BE49-F238E27FC236}">
              <a16:creationId xmlns:a16="http://schemas.microsoft.com/office/drawing/2014/main" id="{00000000-0008-0000-0000-0000DD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90" name="Picture 1">
          <a:extLst>
            <a:ext uri="{FF2B5EF4-FFF2-40B4-BE49-F238E27FC236}">
              <a16:creationId xmlns:a16="http://schemas.microsoft.com/office/drawing/2014/main" id="{00000000-0008-0000-0000-0000DE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91" name="Picture 1">
          <a:extLst>
            <a:ext uri="{FF2B5EF4-FFF2-40B4-BE49-F238E27FC236}">
              <a16:creationId xmlns:a16="http://schemas.microsoft.com/office/drawing/2014/main" id="{00000000-0008-0000-0000-0000DF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92" name="Picture 1">
          <a:extLst>
            <a:ext uri="{FF2B5EF4-FFF2-40B4-BE49-F238E27FC236}">
              <a16:creationId xmlns:a16="http://schemas.microsoft.com/office/drawing/2014/main" id="{00000000-0008-0000-0000-0000E0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93" name="Picture 1">
          <a:extLst>
            <a:ext uri="{FF2B5EF4-FFF2-40B4-BE49-F238E27FC236}">
              <a16:creationId xmlns:a16="http://schemas.microsoft.com/office/drawing/2014/main" id="{00000000-0008-0000-0000-0000E1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1047750</xdr:colOff>
      <xdr:row>15</xdr:row>
      <xdr:rowOff>0</xdr:rowOff>
    </xdr:from>
    <xdr:to>
      <xdr:col>1</xdr:col>
      <xdr:colOff>1047750</xdr:colOff>
      <xdr:row>16</xdr:row>
      <xdr:rowOff>75639</xdr:rowOff>
    </xdr:to>
    <xdr:pic>
      <xdr:nvPicPr>
        <xdr:cNvPr id="474594" name="Picture 1">
          <a:extLst>
            <a:ext uri="{FF2B5EF4-FFF2-40B4-BE49-F238E27FC236}">
              <a16:creationId xmlns:a16="http://schemas.microsoft.com/office/drawing/2014/main" id="{00000000-0008-0000-0000-0000E2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94335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619125</xdr:colOff>
      <xdr:row>15</xdr:row>
      <xdr:rowOff>0</xdr:rowOff>
    </xdr:from>
    <xdr:to>
      <xdr:col>1</xdr:col>
      <xdr:colOff>619125</xdr:colOff>
      <xdr:row>16</xdr:row>
      <xdr:rowOff>28014</xdr:rowOff>
    </xdr:to>
    <xdr:pic>
      <xdr:nvPicPr>
        <xdr:cNvPr id="474595" name="Picture 1">
          <a:extLst>
            <a:ext uri="{FF2B5EF4-FFF2-40B4-BE49-F238E27FC236}">
              <a16:creationId xmlns:a16="http://schemas.microsoft.com/office/drawing/2014/main" id="{00000000-0008-0000-0000-0000E3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943350"/>
          <a:ext cx="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946897</xdr:colOff>
      <xdr:row>18</xdr:row>
      <xdr:rowOff>179293</xdr:rowOff>
    </xdr:from>
    <xdr:to>
      <xdr:col>1</xdr:col>
      <xdr:colOff>946897</xdr:colOff>
      <xdr:row>19</xdr:row>
      <xdr:rowOff>254932</xdr:rowOff>
    </xdr:to>
    <xdr:pic>
      <xdr:nvPicPr>
        <xdr:cNvPr id="474596" name="Picture 1">
          <a:extLst>
            <a:ext uri="{FF2B5EF4-FFF2-40B4-BE49-F238E27FC236}">
              <a16:creationId xmlns:a16="http://schemas.microsoft.com/office/drawing/2014/main" id="{00000000-0008-0000-0000-0000E43D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137397" y="5031440"/>
          <a:ext cx="0"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449614</xdr:colOff>
      <xdr:row>4</xdr:row>
      <xdr:rowOff>190499</xdr:rowOff>
    </xdr:from>
    <xdr:to>
      <xdr:col>1</xdr:col>
      <xdr:colOff>3186948</xdr:colOff>
      <xdr:row>6</xdr:row>
      <xdr:rowOff>324972</xdr:rowOff>
    </xdr:to>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10007" t="27290" r="10356" b="26900"/>
        <a:stretch/>
      </xdr:blipFill>
      <xdr:spPr bwMode="auto">
        <a:xfrm>
          <a:off x="640114" y="1165411"/>
          <a:ext cx="2737334" cy="88526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1</xdr:col>
      <xdr:colOff>89648</xdr:colOff>
      <xdr:row>6</xdr:row>
      <xdr:rowOff>257739</xdr:rowOff>
    </xdr:from>
    <xdr:ext cx="3644524" cy="362984"/>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280148" y="1983445"/>
          <a:ext cx="3644524" cy="362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solidFill>
                <a:srgbClr val="0E6EB6"/>
              </a:solidFill>
              <a:latin typeface="Cambria" panose="02040503050406030204" pitchFamily="18" charset="0"/>
            </a:rPr>
            <a:t>WESTCHASE</a:t>
          </a:r>
          <a:r>
            <a:rPr lang="en-US" sz="1800" b="1" baseline="0">
              <a:solidFill>
                <a:srgbClr val="0E6EB6"/>
              </a:solidFill>
              <a:latin typeface="Cambria" panose="02040503050406030204" pitchFamily="18" charset="0"/>
            </a:rPr>
            <a:t> </a:t>
          </a:r>
          <a:r>
            <a:rPr lang="en-US" sz="1800" b="1">
              <a:solidFill>
                <a:srgbClr val="0E6EB6"/>
              </a:solidFill>
              <a:latin typeface="Cambria" panose="02040503050406030204" pitchFamily="18" charset="0"/>
            </a:rPr>
            <a:t>(GARDEN SUITES 3)</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1</xdr:col>
      <xdr:colOff>723900</xdr:colOff>
      <xdr:row>3</xdr:row>
      <xdr:rowOff>14735</xdr:rowOff>
    </xdr:to>
    <xdr:pic>
      <xdr:nvPicPr>
        <xdr:cNvPr id="3" name="Picture 1">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14300" y="28575"/>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1</xdr:col>
      <xdr:colOff>657225</xdr:colOff>
      <xdr:row>3</xdr:row>
      <xdr:rowOff>5210</xdr:rowOff>
    </xdr:to>
    <xdr:pic>
      <xdr:nvPicPr>
        <xdr:cNvPr id="4" name="Picture 1">
          <a:extLst>
            <a:ext uri="{FF2B5EF4-FFF2-40B4-BE49-F238E27FC236}">
              <a16:creationId xmlns:a16="http://schemas.microsoft.com/office/drawing/2014/main" id="{00000000-0008-0000-0B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38100" y="104775"/>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2</xdr:col>
      <xdr:colOff>0</xdr:colOff>
      <xdr:row>2</xdr:row>
      <xdr:rowOff>186185</xdr:rowOff>
    </xdr:to>
    <xdr:pic>
      <xdr:nvPicPr>
        <xdr:cNvPr id="3" name="Picture 1">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66675" y="95250"/>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695325</xdr:colOff>
      <xdr:row>3</xdr:row>
      <xdr:rowOff>14735</xdr:rowOff>
    </xdr:to>
    <xdr:pic>
      <xdr:nvPicPr>
        <xdr:cNvPr id="4" name="Picture 1">
          <a:extLst>
            <a:ext uri="{FF2B5EF4-FFF2-40B4-BE49-F238E27FC236}">
              <a16:creationId xmlns:a16="http://schemas.microsoft.com/office/drawing/2014/main" id="{00000000-0008-0000-0D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57150" y="28575"/>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666750</xdr:colOff>
      <xdr:row>3</xdr:row>
      <xdr:rowOff>5210</xdr:rowOff>
    </xdr:to>
    <xdr:pic>
      <xdr:nvPicPr>
        <xdr:cNvPr id="4" name="Picture 1">
          <a:extLst>
            <a:ext uri="{FF2B5EF4-FFF2-40B4-BE49-F238E27FC236}">
              <a16:creationId xmlns:a16="http://schemas.microsoft.com/office/drawing/2014/main" id="{00000000-0008-0000-0E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38100" y="19050"/>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666750</xdr:colOff>
      <xdr:row>3</xdr:row>
      <xdr:rowOff>5210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38100" y="19050"/>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1</xdr:col>
      <xdr:colOff>695325</xdr:colOff>
      <xdr:row>3</xdr:row>
      <xdr:rowOff>5210</xdr:rowOff>
    </xdr:to>
    <xdr:pic>
      <xdr:nvPicPr>
        <xdr:cNvPr id="3" name="Picture 1">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14300" y="19050"/>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9525</xdr:rowOff>
    </xdr:from>
    <xdr:to>
      <xdr:col>1</xdr:col>
      <xdr:colOff>733425</xdr:colOff>
      <xdr:row>2</xdr:row>
      <xdr:rowOff>157610</xdr:rowOff>
    </xdr:to>
    <xdr:pic>
      <xdr:nvPicPr>
        <xdr:cNvPr id="3" name="Picture 1">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23825" y="9525"/>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1</xdr:col>
      <xdr:colOff>752475</xdr:colOff>
      <xdr:row>2</xdr:row>
      <xdr:rowOff>176660</xdr:rowOff>
    </xdr:to>
    <xdr:pic>
      <xdr:nvPicPr>
        <xdr:cNvPr id="3" name="Picture 1">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61925" y="85725"/>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0</xdr:colOff>
      <xdr:row>3</xdr:row>
      <xdr:rowOff>24260</xdr:rowOff>
    </xdr:to>
    <xdr:pic>
      <xdr:nvPicPr>
        <xdr:cNvPr id="4" name="Picture 1">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38100"/>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1</xdr:col>
      <xdr:colOff>714375</xdr:colOff>
      <xdr:row>3</xdr:row>
      <xdr:rowOff>24260</xdr:rowOff>
    </xdr:to>
    <xdr:pic>
      <xdr:nvPicPr>
        <xdr:cNvPr id="4" name="Picture 1">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85725" y="38100"/>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1</xdr:col>
      <xdr:colOff>714375</xdr:colOff>
      <xdr:row>3</xdr:row>
      <xdr:rowOff>5210</xdr:rowOff>
    </xdr:to>
    <xdr:pic>
      <xdr:nvPicPr>
        <xdr:cNvPr id="3" name="Picture 1">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04775" y="19050"/>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1</xdr:col>
      <xdr:colOff>714375</xdr:colOff>
      <xdr:row>3</xdr:row>
      <xdr:rowOff>5210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04775" y="19050"/>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2</xdr:col>
      <xdr:colOff>19050</xdr:colOff>
      <xdr:row>2</xdr:row>
      <xdr:rowOff>157610</xdr:rowOff>
    </xdr:to>
    <xdr:pic>
      <xdr:nvPicPr>
        <xdr:cNvPr id="3" name="Picture 1">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57150" y="9525"/>
          <a:ext cx="1438275" cy="471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eranti/2SER09071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Data/4%20NUVALI%20VESTA/VP/Concept%20Approval%20FS/Vesta%2020090706%20Con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7.4.32/Shared%20Folder/Users/Elizabeth%20Carascoso/Desktop/KT%20Bartolome/fr%20Project%20Director/fr%20DEM/Woodridge%20Place%20Ph2_Initial%20runs%20(Linden%20&amp;%20Mahogany)%20adjusted%20201009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Data/Serendra/Sales/Invento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Data/Sime%20Darby/Financials/2007.08.08/SZ%20Conso%208.8.07%20JD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eraclene.Frio/AppData/Local/Microsoft/Windows/INetCache/Content.Outlook/FI35SMZB/FINAL%20APPROVED%20Tippi%20ver2_HT%20Condo%203%20pricing%20stud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eraclene.Frio/Desktop/Kaye%20HPI%20files/Documents/HPI%20Tagaytay%20Highlands/Midlands/HORIZON%20Phase%202/Horizon%20Phase%202/Sales/Pricelist/HT%20Historical%20Pricelist%20as%20%20of%202020%20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PR"/>
      <sheetName val="GL"/>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Up"/>
      <sheetName val="data"/>
      <sheetName val="GAE8'97"/>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ace pricing"/>
      <sheetName val="per floor"/>
      <sheetName val="per floor (terrace pricing)"/>
      <sheetName val="suites 3 vs 2"/>
      <sheetName val="bldg 3 per floor"/>
      <sheetName val="Condo 3"/>
      <sheetName val="fact sheet"/>
      <sheetName val="availability"/>
      <sheetName val="Sheet1"/>
      <sheetName val="pricelist comp"/>
      <sheetName val="PRICE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
          <cell r="E4" t="str">
            <v>GA</v>
          </cell>
          <cell r="F4" t="str">
            <v>Garden</v>
          </cell>
          <cell r="G4" t="str">
            <v>1BR T</v>
          </cell>
          <cell r="H4">
            <v>68.900000000000006</v>
          </cell>
          <cell r="AC4">
            <v>9868600</v>
          </cell>
        </row>
        <row r="5">
          <cell r="E5" t="str">
            <v>GB</v>
          </cell>
          <cell r="F5" t="str">
            <v>Garden</v>
          </cell>
          <cell r="G5" t="str">
            <v>1BR T</v>
          </cell>
          <cell r="H5">
            <v>67.900000000000006</v>
          </cell>
          <cell r="AC5">
            <v>9331700</v>
          </cell>
        </row>
        <row r="6">
          <cell r="E6" t="str">
            <v>GC</v>
          </cell>
          <cell r="F6" t="str">
            <v>Garden</v>
          </cell>
          <cell r="G6" t="str">
            <v>1BR T</v>
          </cell>
          <cell r="H6">
            <v>67.900000000000006</v>
          </cell>
          <cell r="AC6">
            <v>9331700</v>
          </cell>
        </row>
        <row r="7">
          <cell r="E7" t="str">
            <v>GD</v>
          </cell>
          <cell r="F7" t="str">
            <v>Garden</v>
          </cell>
          <cell r="G7" t="str">
            <v>1BR T</v>
          </cell>
          <cell r="H7">
            <v>67.900000000000006</v>
          </cell>
          <cell r="AC7">
            <v>9331700</v>
          </cell>
        </row>
        <row r="8">
          <cell r="E8" t="str">
            <v>GE</v>
          </cell>
          <cell r="F8" t="str">
            <v>Garden</v>
          </cell>
          <cell r="G8" t="str">
            <v>2BR T</v>
          </cell>
          <cell r="H8">
            <v>102.86</v>
          </cell>
          <cell r="AC8">
            <v>14813000</v>
          </cell>
        </row>
        <row r="9">
          <cell r="E9" t="str">
            <v>GF</v>
          </cell>
          <cell r="F9" t="str">
            <v>Mountain</v>
          </cell>
          <cell r="G9" t="str">
            <v>1BR</v>
          </cell>
          <cell r="H9">
            <v>36</v>
          </cell>
        </row>
        <row r="10">
          <cell r="E10" t="str">
            <v>GG</v>
          </cell>
          <cell r="F10" t="str">
            <v>Mountain</v>
          </cell>
          <cell r="G10" t="str">
            <v>1BR</v>
          </cell>
          <cell r="H10">
            <v>35</v>
          </cell>
        </row>
        <row r="11">
          <cell r="E11" t="str">
            <v>GH</v>
          </cell>
          <cell r="F11" t="str">
            <v>Mountain</v>
          </cell>
          <cell r="G11" t="str">
            <v>1BR</v>
          </cell>
          <cell r="H11">
            <v>35</v>
          </cell>
        </row>
        <row r="12">
          <cell r="E12" t="str">
            <v>GJ</v>
          </cell>
          <cell r="F12" t="str">
            <v>Mountain</v>
          </cell>
          <cell r="G12" t="str">
            <v>1BR</v>
          </cell>
          <cell r="H12">
            <v>36</v>
          </cell>
          <cell r="AC12">
            <v>5385600</v>
          </cell>
        </row>
        <row r="13">
          <cell r="E13" t="str">
            <v>2A</v>
          </cell>
          <cell r="F13" t="str">
            <v>Garden</v>
          </cell>
          <cell r="G13" t="str">
            <v>1BR</v>
          </cell>
          <cell r="H13">
            <v>49.15</v>
          </cell>
          <cell r="AC13">
            <v>8473400</v>
          </cell>
        </row>
        <row r="14">
          <cell r="E14" t="str">
            <v>2B</v>
          </cell>
          <cell r="F14" t="str">
            <v>Garden</v>
          </cell>
          <cell r="G14" t="str">
            <v>1BR</v>
          </cell>
          <cell r="H14">
            <v>48.15</v>
          </cell>
          <cell r="AC14">
            <v>7976800</v>
          </cell>
        </row>
        <row r="15">
          <cell r="E15" t="str">
            <v>2C</v>
          </cell>
          <cell r="F15" t="str">
            <v>Garden</v>
          </cell>
          <cell r="G15" t="str">
            <v>1BR</v>
          </cell>
          <cell r="H15">
            <v>48.15</v>
          </cell>
        </row>
        <row r="16">
          <cell r="E16" t="str">
            <v>2D</v>
          </cell>
          <cell r="F16" t="str">
            <v>Garden</v>
          </cell>
          <cell r="G16" t="str">
            <v>1BR</v>
          </cell>
          <cell r="H16">
            <v>48.15</v>
          </cell>
          <cell r="AC16">
            <v>7976800</v>
          </cell>
        </row>
        <row r="17">
          <cell r="E17" t="str">
            <v>2E</v>
          </cell>
          <cell r="F17" t="str">
            <v>Garden</v>
          </cell>
          <cell r="G17" t="str">
            <v>2BR</v>
          </cell>
          <cell r="H17">
            <v>69.37</v>
          </cell>
          <cell r="AC17">
            <v>12572000</v>
          </cell>
        </row>
        <row r="18">
          <cell r="E18" t="str">
            <v>2F</v>
          </cell>
          <cell r="F18" t="str">
            <v>Mountain</v>
          </cell>
          <cell r="G18" t="str">
            <v>1BR</v>
          </cell>
          <cell r="H18">
            <v>36</v>
          </cell>
        </row>
        <row r="19">
          <cell r="E19" t="str">
            <v>2G</v>
          </cell>
          <cell r="F19" t="str">
            <v>Mountain</v>
          </cell>
          <cell r="G19" t="str">
            <v>1BR</v>
          </cell>
          <cell r="H19">
            <v>35</v>
          </cell>
        </row>
        <row r="20">
          <cell r="E20" t="str">
            <v>2H</v>
          </cell>
          <cell r="F20" t="str">
            <v>Mountain</v>
          </cell>
          <cell r="G20" t="str">
            <v>1BR</v>
          </cell>
          <cell r="H20">
            <v>35</v>
          </cell>
        </row>
        <row r="21">
          <cell r="E21" t="str">
            <v>2J</v>
          </cell>
          <cell r="F21" t="str">
            <v>Mountain</v>
          </cell>
          <cell r="G21" t="str">
            <v>1BR</v>
          </cell>
          <cell r="H21">
            <v>36</v>
          </cell>
          <cell r="AC21">
            <v>5510300</v>
          </cell>
        </row>
        <row r="22">
          <cell r="E22" t="str">
            <v>3A</v>
          </cell>
          <cell r="F22" t="str">
            <v>Garden</v>
          </cell>
          <cell r="G22" t="str">
            <v>1BR</v>
          </cell>
          <cell r="H22">
            <v>49.15</v>
          </cell>
          <cell r="AC22">
            <v>8700400</v>
          </cell>
        </row>
        <row r="23">
          <cell r="E23" t="str">
            <v>3B</v>
          </cell>
          <cell r="F23" t="str">
            <v>Garden</v>
          </cell>
          <cell r="G23" t="str">
            <v>1BR</v>
          </cell>
          <cell r="H23">
            <v>48.15</v>
          </cell>
        </row>
        <row r="24">
          <cell r="E24" t="str">
            <v>3C</v>
          </cell>
          <cell r="F24" t="str">
            <v>Garden</v>
          </cell>
          <cell r="G24" t="str">
            <v>1BR</v>
          </cell>
          <cell r="H24">
            <v>48.15</v>
          </cell>
        </row>
        <row r="25">
          <cell r="E25" t="str">
            <v>3D</v>
          </cell>
          <cell r="F25" t="str">
            <v>Garden</v>
          </cell>
          <cell r="G25" t="str">
            <v>1BR</v>
          </cell>
          <cell r="H25">
            <v>48.15</v>
          </cell>
          <cell r="AC25">
            <v>8115800</v>
          </cell>
        </row>
        <row r="26">
          <cell r="E26" t="str">
            <v>3E</v>
          </cell>
          <cell r="F26" t="str">
            <v>Garden</v>
          </cell>
          <cell r="G26" t="str">
            <v>2BR</v>
          </cell>
          <cell r="H26">
            <v>69.37</v>
          </cell>
          <cell r="AC26">
            <v>13212800</v>
          </cell>
        </row>
        <row r="27">
          <cell r="E27" t="str">
            <v>3F</v>
          </cell>
          <cell r="F27" t="str">
            <v>Mountain</v>
          </cell>
          <cell r="G27" t="str">
            <v>1BR</v>
          </cell>
          <cell r="H27">
            <v>36</v>
          </cell>
        </row>
        <row r="28">
          <cell r="E28" t="str">
            <v>3G</v>
          </cell>
          <cell r="F28" t="str">
            <v>Mountain</v>
          </cell>
          <cell r="G28" t="str">
            <v>1BR</v>
          </cell>
          <cell r="H28">
            <v>35</v>
          </cell>
        </row>
        <row r="29">
          <cell r="E29" t="str">
            <v>3H</v>
          </cell>
          <cell r="F29" t="str">
            <v>Mountain</v>
          </cell>
          <cell r="G29" t="str">
            <v>1BR</v>
          </cell>
          <cell r="H29">
            <v>35</v>
          </cell>
        </row>
        <row r="30">
          <cell r="E30" t="str">
            <v>3J</v>
          </cell>
          <cell r="F30" t="str">
            <v>Mountain</v>
          </cell>
          <cell r="G30" t="str">
            <v>1BR</v>
          </cell>
          <cell r="H30">
            <v>36</v>
          </cell>
          <cell r="AC30">
            <v>5635000</v>
          </cell>
        </row>
        <row r="31">
          <cell r="E31" t="str">
            <v>5A</v>
          </cell>
          <cell r="F31" t="str">
            <v>Garden</v>
          </cell>
          <cell r="G31" t="str">
            <v>1BR</v>
          </cell>
          <cell r="H31">
            <v>49.15</v>
          </cell>
          <cell r="AC31">
            <v>8927400</v>
          </cell>
        </row>
        <row r="32">
          <cell r="E32" t="str">
            <v>5B</v>
          </cell>
          <cell r="F32" t="str">
            <v>Garden</v>
          </cell>
          <cell r="G32" t="str">
            <v>1BR</v>
          </cell>
          <cell r="H32">
            <v>48.15</v>
          </cell>
        </row>
        <row r="33">
          <cell r="E33" t="str">
            <v>5C</v>
          </cell>
          <cell r="F33" t="str">
            <v>Garden</v>
          </cell>
          <cell r="G33" t="str">
            <v>1BR</v>
          </cell>
          <cell r="H33">
            <v>48.15</v>
          </cell>
        </row>
        <row r="34">
          <cell r="E34" t="str">
            <v>5D</v>
          </cell>
          <cell r="F34" t="str">
            <v>Garden</v>
          </cell>
          <cell r="G34" t="str">
            <v>1BR</v>
          </cell>
          <cell r="H34">
            <v>48.15</v>
          </cell>
        </row>
        <row r="35">
          <cell r="E35" t="str">
            <v>5E</v>
          </cell>
          <cell r="F35" t="str">
            <v>Garden</v>
          </cell>
          <cell r="G35" t="str">
            <v>2BR</v>
          </cell>
          <cell r="H35">
            <v>69.37</v>
          </cell>
        </row>
        <row r="36">
          <cell r="E36" t="str">
            <v>5F</v>
          </cell>
          <cell r="F36" t="str">
            <v>Mountain</v>
          </cell>
          <cell r="G36" t="str">
            <v>1BR</v>
          </cell>
          <cell r="H36">
            <v>36</v>
          </cell>
        </row>
        <row r="37">
          <cell r="E37" t="str">
            <v>5G</v>
          </cell>
          <cell r="F37" t="str">
            <v>Mountain</v>
          </cell>
          <cell r="G37" t="str">
            <v>1BR</v>
          </cell>
          <cell r="H37">
            <v>35</v>
          </cell>
        </row>
        <row r="38">
          <cell r="E38" t="str">
            <v>5H</v>
          </cell>
          <cell r="F38" t="str">
            <v>Mountain</v>
          </cell>
          <cell r="G38" t="str">
            <v>1BR</v>
          </cell>
          <cell r="H38">
            <v>35</v>
          </cell>
        </row>
        <row r="39">
          <cell r="E39" t="str">
            <v>5J</v>
          </cell>
          <cell r="F39" t="str">
            <v>Mountain</v>
          </cell>
          <cell r="G39" t="str">
            <v>1BR</v>
          </cell>
          <cell r="H39">
            <v>36</v>
          </cell>
          <cell r="AC39">
            <v>5759700</v>
          </cell>
        </row>
        <row r="40">
          <cell r="E40" t="str">
            <v>PA</v>
          </cell>
          <cell r="F40" t="str">
            <v>Garden</v>
          </cell>
          <cell r="G40" t="str">
            <v>1BR</v>
          </cell>
          <cell r="H40">
            <v>49.15</v>
          </cell>
          <cell r="AC40">
            <v>11256900</v>
          </cell>
        </row>
        <row r="41">
          <cell r="E41" t="str">
            <v>PB</v>
          </cell>
          <cell r="F41" t="str">
            <v>Garden</v>
          </cell>
          <cell r="G41" t="str">
            <v>1BR</v>
          </cell>
          <cell r="H41">
            <v>48.15</v>
          </cell>
          <cell r="AC41">
            <v>10910100</v>
          </cell>
        </row>
        <row r="42">
          <cell r="E42" t="str">
            <v>PC</v>
          </cell>
          <cell r="F42" t="str">
            <v>Garden</v>
          </cell>
          <cell r="G42" t="str">
            <v>1BR</v>
          </cell>
          <cell r="H42">
            <v>48.15</v>
          </cell>
          <cell r="AC42">
            <v>10910100</v>
          </cell>
        </row>
        <row r="43">
          <cell r="E43" t="str">
            <v>PD</v>
          </cell>
          <cell r="F43" t="str">
            <v>Garden</v>
          </cell>
          <cell r="G43" t="str">
            <v>1BR</v>
          </cell>
          <cell r="H43">
            <v>48.15</v>
          </cell>
          <cell r="AC43">
            <v>10910100</v>
          </cell>
        </row>
        <row r="44">
          <cell r="E44" t="str">
            <v>PE</v>
          </cell>
          <cell r="F44" t="str">
            <v>Garden</v>
          </cell>
          <cell r="G44" t="str">
            <v>2BR</v>
          </cell>
          <cell r="H44">
            <v>69.37</v>
          </cell>
          <cell r="AC44">
            <v>15659600</v>
          </cell>
        </row>
        <row r="45">
          <cell r="E45" t="str">
            <v>PF</v>
          </cell>
          <cell r="F45" t="str">
            <v>Mountain</v>
          </cell>
          <cell r="G45" t="str">
            <v>1BR</v>
          </cell>
          <cell r="H45">
            <v>36</v>
          </cell>
        </row>
        <row r="46">
          <cell r="E46" t="str">
            <v>PG</v>
          </cell>
          <cell r="F46" t="str">
            <v>Mountain</v>
          </cell>
          <cell r="G46" t="str">
            <v>1BR</v>
          </cell>
          <cell r="H46">
            <v>35</v>
          </cell>
        </row>
        <row r="47">
          <cell r="E47" t="str">
            <v>PH</v>
          </cell>
          <cell r="F47" t="str">
            <v>Mountain</v>
          </cell>
          <cell r="G47" t="str">
            <v>1BR</v>
          </cell>
          <cell r="H47">
            <v>35</v>
          </cell>
        </row>
        <row r="48">
          <cell r="E48" t="str">
            <v>PJ</v>
          </cell>
          <cell r="F48" t="str">
            <v>Mountain</v>
          </cell>
          <cell r="G48" t="str">
            <v>1BR</v>
          </cell>
          <cell r="H48">
            <v>36</v>
          </cell>
        </row>
        <row r="50">
          <cell r="G50">
            <v>47.496444444444457</v>
          </cell>
          <cell r="H50">
            <v>2137.3400000000006</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ANDREWS (Suites 1)"/>
      <sheetName val="GLENDALE (Villas 2)"/>
      <sheetName val="GLENVIEW Suites 2"/>
      <sheetName val="Glenview availability"/>
      <sheetName val="WESTCHASE (Suites 3)"/>
      <sheetName val="SUNNYVALE (Villas 3)"/>
      <sheetName val="Availability chart"/>
    </sheetNames>
    <sheetDataSet>
      <sheetData sheetId="0"/>
      <sheetData sheetId="1"/>
      <sheetData sheetId="2">
        <row r="10">
          <cell r="G10">
            <v>9291920</v>
          </cell>
        </row>
      </sheetData>
      <sheetData sheetId="3"/>
      <sheetData sheetId="4">
        <row r="10">
          <cell r="G10">
            <v>9868600</v>
          </cell>
        </row>
        <row r="11">
          <cell r="G11">
            <v>9331700</v>
          </cell>
        </row>
        <row r="12">
          <cell r="G12">
            <v>9331700</v>
          </cell>
        </row>
        <row r="13">
          <cell r="G13">
            <v>9331700</v>
          </cell>
        </row>
        <row r="14">
          <cell r="G14">
            <v>14813000</v>
          </cell>
        </row>
        <row r="17">
          <cell r="F17">
            <v>35</v>
          </cell>
          <cell r="M17">
            <v>5495645</v>
          </cell>
        </row>
        <row r="19">
          <cell r="G19">
            <v>8473400</v>
          </cell>
        </row>
        <row r="20">
          <cell r="G20">
            <v>7976800</v>
          </cell>
        </row>
        <row r="22">
          <cell r="G22">
            <v>7976800</v>
          </cell>
        </row>
        <row r="23">
          <cell r="G23">
            <v>12572000</v>
          </cell>
        </row>
        <row r="28">
          <cell r="G28">
            <v>8700400</v>
          </cell>
        </row>
        <row r="31">
          <cell r="G31">
            <v>8115800</v>
          </cell>
        </row>
        <row r="32">
          <cell r="G32">
            <v>13212800</v>
          </cell>
        </row>
        <row r="40">
          <cell r="F40">
            <v>48.15</v>
          </cell>
          <cell r="M40">
            <v>8635040</v>
          </cell>
        </row>
        <row r="46">
          <cell r="G46">
            <v>11256900</v>
          </cell>
        </row>
        <row r="47">
          <cell r="G47">
            <v>10910100</v>
          </cell>
        </row>
        <row r="48">
          <cell r="G48">
            <v>10910100</v>
          </cell>
        </row>
        <row r="49">
          <cell r="G49">
            <v>10910100</v>
          </cell>
        </row>
        <row r="50">
          <cell r="G50">
            <v>15659600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XFD28"/>
  <sheetViews>
    <sheetView showGridLines="0" tabSelected="1" topLeftCell="A4" zoomScale="85" zoomScaleNormal="85" zoomScalePageLayoutView="85" workbookViewId="0">
      <selection activeCell="C17" sqref="C17:D17"/>
    </sheetView>
  </sheetViews>
  <sheetFormatPr baseColWidth="10" defaultColWidth="0" defaultRowHeight="19" zeroHeight="1"/>
  <cols>
    <col min="1" max="1" width="6.5" style="2" customWidth="1"/>
    <col min="2" max="2" width="59.33203125" style="2" customWidth="1"/>
    <col min="3" max="3" width="53.6640625" style="3" customWidth="1"/>
    <col min="4" max="4" width="5.5" style="8" customWidth="1"/>
    <col min="5" max="5" width="6.1640625" style="8" customWidth="1"/>
    <col min="6" max="7" width="30.6640625" style="8" hidden="1" customWidth="1"/>
    <col min="8" max="8" width="30.1640625" style="8" hidden="1" customWidth="1"/>
    <col min="9" max="11" width="0" style="8" hidden="1" customWidth="1"/>
    <col min="12" max="16384" width="9.1640625" style="2" hidden="1"/>
  </cols>
  <sheetData>
    <row r="1" spans="2:8" ht="48.75" customHeight="1">
      <c r="B1" s="1" t="s">
        <v>51</v>
      </c>
    </row>
    <row r="2" spans="2:8" ht="18.75" customHeight="1">
      <c r="B2" s="11" t="s">
        <v>147</v>
      </c>
      <c r="C2" s="11"/>
      <c r="D2" s="3"/>
    </row>
    <row r="3" spans="2:8" ht="18.75" customHeight="1">
      <c r="B3" s="152" t="s">
        <v>148</v>
      </c>
      <c r="C3" s="152"/>
      <c r="D3" s="152"/>
      <c r="E3" s="12"/>
      <c r="F3" s="12"/>
    </row>
    <row r="4" spans="2:8" ht="9.75" customHeight="1" thickBot="1"/>
    <row r="5" spans="2:8">
      <c r="B5" s="93"/>
      <c r="C5" s="94"/>
      <c r="D5" s="95"/>
      <c r="E5" s="10"/>
    </row>
    <row r="6" spans="2:8" ht="40.5" customHeight="1">
      <c r="B6" s="96"/>
      <c r="C6" s="153" t="s">
        <v>190</v>
      </c>
      <c r="D6" s="18"/>
      <c r="E6" s="10"/>
    </row>
    <row r="7" spans="2:8" ht="45" customHeight="1">
      <c r="B7" s="96"/>
      <c r="C7" s="154"/>
      <c r="D7" s="18"/>
      <c r="E7" s="10"/>
      <c r="H7" s="97"/>
    </row>
    <row r="8" spans="2:8" ht="18.75" customHeight="1">
      <c r="B8" s="17" t="s">
        <v>1</v>
      </c>
      <c r="C8" s="23">
        <f ca="1">TODAY()</f>
        <v>43973</v>
      </c>
      <c r="D8" s="18"/>
      <c r="E8" s="10"/>
      <c r="H8" s="97"/>
    </row>
    <row r="9" spans="2:8" ht="18.75" customHeight="1">
      <c r="B9" s="17" t="s">
        <v>0</v>
      </c>
      <c r="C9" s="24" t="s">
        <v>89</v>
      </c>
      <c r="D9" s="18"/>
      <c r="E9" s="10"/>
    </row>
    <row r="10" spans="2:8" ht="18.75" customHeight="1">
      <c r="B10" s="17" t="s">
        <v>30</v>
      </c>
      <c r="C10" s="24" t="s">
        <v>90</v>
      </c>
      <c r="D10" s="18"/>
      <c r="E10" s="10"/>
    </row>
    <row r="11" spans="2:8" ht="18.75" customHeight="1">
      <c r="B11" s="17" t="s">
        <v>145</v>
      </c>
      <c r="C11" s="19" t="str">
        <f>VLOOKUP(C10,'WESTCHASE PL'!D11:G33,2,FALSE)</f>
        <v>1-Bedroom</v>
      </c>
      <c r="D11" s="18"/>
      <c r="E11" s="10"/>
    </row>
    <row r="12" spans="2:8" ht="18.75" customHeight="1">
      <c r="B12" s="17" t="s">
        <v>146</v>
      </c>
      <c r="C12" s="19">
        <f>VLOOKUP(C10,'WESTCHASE PL'!D11:G33,3,0)</f>
        <v>49.15</v>
      </c>
      <c r="D12" s="18"/>
      <c r="E12" s="10"/>
    </row>
    <row r="13" spans="2:8" ht="18.75" customHeight="1">
      <c r="B13" s="17" t="s">
        <v>169</v>
      </c>
      <c r="C13" s="20">
        <f>VLOOKUP(C10,'WESTCHASE PL'!D11:G33,4,0)</f>
        <v>8473400</v>
      </c>
      <c r="D13" s="18"/>
      <c r="E13" s="10"/>
    </row>
    <row r="14" spans="2:8" ht="20" thickBot="1">
      <c r="B14" s="5"/>
      <c r="C14" s="6"/>
      <c r="D14" s="9"/>
      <c r="E14" s="10"/>
    </row>
    <row r="15" spans="2:8" ht="20" thickBot="1">
      <c r="B15" s="4"/>
      <c r="C15" s="7"/>
      <c r="D15" s="10"/>
      <c r="E15" s="10"/>
      <c r="H15" s="10"/>
    </row>
    <row r="16" spans="2:8" ht="35.25" customHeight="1" thickBot="1">
      <c r="B16" s="21" t="s">
        <v>48</v>
      </c>
      <c r="C16" s="155" t="s">
        <v>49</v>
      </c>
      <c r="D16" s="156"/>
      <c r="E16" s="22"/>
      <c r="F16" s="22"/>
      <c r="H16" s="98"/>
    </row>
    <row r="17" spans="2:8 16384:16384" ht="35.25" customHeight="1">
      <c r="B17" s="25" t="s">
        <v>149</v>
      </c>
      <c r="C17" s="157" t="s">
        <v>149</v>
      </c>
      <c r="D17" s="158"/>
      <c r="E17" s="22"/>
      <c r="F17" s="22"/>
    </row>
    <row r="18" spans="2:8 16384:16384" ht="35.25" customHeight="1">
      <c r="B18" s="25" t="s">
        <v>168</v>
      </c>
      <c r="C18" s="150" t="s">
        <v>168</v>
      </c>
      <c r="D18" s="151"/>
      <c r="E18" s="22"/>
      <c r="F18" s="22"/>
    </row>
    <row r="19" spans="2:8 16384:16384" ht="35.25" customHeight="1">
      <c r="B19" s="26" t="s">
        <v>110</v>
      </c>
      <c r="C19" s="146" t="s">
        <v>110</v>
      </c>
      <c r="D19" s="147"/>
      <c r="E19" s="22"/>
      <c r="F19" s="22"/>
    </row>
    <row r="20" spans="2:8 16384:16384" ht="35.25" customHeight="1">
      <c r="B20" s="26" t="s">
        <v>150</v>
      </c>
      <c r="C20" s="146" t="s">
        <v>153</v>
      </c>
      <c r="D20" s="147"/>
      <c r="E20" s="22"/>
      <c r="F20" s="22"/>
    </row>
    <row r="21" spans="2:8 16384:16384" ht="35.25" customHeight="1">
      <c r="B21" s="26" t="s">
        <v>151</v>
      </c>
      <c r="C21" s="146" t="s">
        <v>151</v>
      </c>
      <c r="D21" s="147"/>
      <c r="E21" s="22"/>
      <c r="F21" s="22"/>
      <c r="H21" s="98"/>
    </row>
    <row r="22" spans="2:8 16384:16384" ht="35.25" customHeight="1" thickBot="1">
      <c r="B22" s="27" t="s">
        <v>152</v>
      </c>
      <c r="C22" s="148" t="s">
        <v>152</v>
      </c>
      <c r="D22" s="149"/>
      <c r="E22" s="22"/>
      <c r="F22" s="22"/>
      <c r="H22" s="98"/>
    </row>
    <row r="23" spans="2:8 16384:16384" ht="35.25" customHeight="1" thickBot="1">
      <c r="B23" s="142" t="s">
        <v>188</v>
      </c>
      <c r="C23" s="144" t="s">
        <v>188</v>
      </c>
      <c r="D23" s="145"/>
      <c r="E23" s="22"/>
      <c r="F23" s="22"/>
      <c r="H23" s="98"/>
    </row>
    <row r="24" spans="2:8 16384:16384" ht="15">
      <c r="B24" s="99"/>
      <c r="C24" s="99"/>
      <c r="H24" s="100"/>
      <c r="XFD24" s="8"/>
    </row>
    <row r="25" spans="2:8 16384:16384" ht="15" hidden="1">
      <c r="B25" s="99"/>
      <c r="C25" s="99"/>
      <c r="H25" s="10"/>
    </row>
    <row r="26" spans="2:8 16384:16384" ht="15" hidden="1">
      <c r="B26" s="99"/>
      <c r="C26" s="99"/>
    </row>
    <row r="27" spans="2:8 16384:16384" ht="15" hidden="1">
      <c r="B27" s="99"/>
      <c r="C27" s="99"/>
    </row>
    <row r="28" spans="2:8 16384:16384" ht="15" hidden="1">
      <c r="B28" s="8"/>
      <c r="C28" s="8"/>
    </row>
  </sheetData>
  <sheetProtection password="CAF1" sheet="1" selectLockedCells="1"/>
  <mergeCells count="10">
    <mergeCell ref="C23:D23"/>
    <mergeCell ref="C21:D21"/>
    <mergeCell ref="C22:D22"/>
    <mergeCell ref="C18:D18"/>
    <mergeCell ref="B3:D3"/>
    <mergeCell ref="C6:C7"/>
    <mergeCell ref="C16:D16"/>
    <mergeCell ref="C17:D17"/>
    <mergeCell ref="C19:D19"/>
    <mergeCell ref="C20:D20"/>
  </mergeCells>
  <hyperlinks>
    <hyperlink ref="C22" location="INST4_Member!A1" display="5% in 6 mos., 30% in 48 mos., 65% LS" xr:uid="{00000000-0004-0000-0000-000000000000}"/>
    <hyperlink ref="B22" location="'No DP Term4_Non-mem'!A1" display="5% over 6 months, 30% over 48 months, 65% Lumpsum" xr:uid="{00000000-0004-0000-0000-000001000000}"/>
    <hyperlink ref="C21" location="INST3_Member!A1" display="10% in 6 mos., 20% in 48 mos., 70% LS" xr:uid="{00000000-0004-0000-0000-000002000000}"/>
    <hyperlink ref="B21" location="'No DP Term3_Non-mem'!A1" display="10% over 6 months, 20% over 48 months, 70% Lumpsum" xr:uid="{00000000-0004-0000-0000-000003000000}"/>
    <hyperlink ref="C20" location="INST2_Member!A1" display="30% in 48 mos., 70% LS" xr:uid="{00000000-0004-0000-0000-000004000000}"/>
    <hyperlink ref="B20" location="'No DP Term2_Non-mem'!A1" display="30% over 48 mos., 70% Lumpsum" xr:uid="{00000000-0004-0000-0000-000005000000}"/>
    <hyperlink ref="C19" location="INST1_Member!A1" display="100% over 60 months" xr:uid="{00000000-0004-0000-0000-000006000000}"/>
    <hyperlink ref="C17" location="CASH_Member!A1" display="Cash: 80% DP, 20% after 60 mos. or upon turnover" xr:uid="{00000000-0004-0000-0000-000007000000}"/>
    <hyperlink ref="B19" location="'No DP Term1_Non-mem'!A1" display="100% over 60 months" xr:uid="{00000000-0004-0000-0000-000008000000}"/>
    <hyperlink ref="B17" location="'CASH_Non-mem'!A1" display="Cash: 80% DP, 20% after 60 mos. or upon turnover" xr:uid="{00000000-0004-0000-0000-000009000000}"/>
    <hyperlink ref="B18" location="'DP Term1_Non-mem'!A1" display="5% DP, 25% over 48 months, 70% Lumpsum" xr:uid="{00000000-0004-0000-0000-00000A000000}"/>
    <hyperlink ref="C18:D18" location="'DP Term1_Member'!A1" display="5% DP, 25% over 48 months, 70% Lumpsum" xr:uid="{00000000-0004-0000-0000-00000B000000}"/>
    <hyperlink ref="C19:D19" location="'No DP Term1_Member'!A1" display="100% over 60 months" xr:uid="{00000000-0004-0000-0000-00000C000000}"/>
    <hyperlink ref="C20:D20" location="'No DP Term2_Member'!A1" display="30% over 48 months, 70% Lumpsum" xr:uid="{00000000-0004-0000-0000-00000D000000}"/>
    <hyperlink ref="C21:D21" location="'No DP Term3_Member'!A1" display="10% over 6 months, 20% over 48 months, 70% Lumpsum" xr:uid="{00000000-0004-0000-0000-00000E000000}"/>
    <hyperlink ref="C22:D22" location="'No DP Term4_Member'!A1" display="5% over 6 months, 30% over 48 months, 65% Lumpsum" xr:uid="{00000000-0004-0000-0000-00000F000000}"/>
    <hyperlink ref="B23" location="'No DP Term5_Non-mem'!A1" display="5% in 12 mos, 6% in 12 mos, 7% in 12 mos, 8% in 12 mos, 9% in 12 mos, Lumpsum - 60th month" xr:uid="{00000000-0004-0000-0000-000010000000}"/>
    <hyperlink ref="C23:D23" location="'No DP Term5_Member'!A1" display="5% in 12 mos, 6% in 12 mos, 7% in 12 mos, 8% in 12 mos, 9% in 12 mos, Lumpsum - 60th month" xr:uid="{00000000-0004-0000-0000-000011000000}"/>
  </hyperlinks>
  <pageMargins left="0.7" right="0.7" top="0.75" bottom="0.75" header="0.3" footer="0.3"/>
  <pageSetup orientation="portrait"/>
  <ignoredErrors>
    <ignoredError sqref="C8" unlockedFormula="1"/>
  </ignoredError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4">
    <tabColor rgb="FF389E8F"/>
    <pageSetUpPr fitToPage="1"/>
  </sheetPr>
  <dimension ref="A1:L41"/>
  <sheetViews>
    <sheetView showGridLines="0" showWhiteSpace="0" topLeftCell="A13" workbookViewId="0">
      <selection activeCell="D16" sqref="D16"/>
    </sheetView>
  </sheetViews>
  <sheetFormatPr baseColWidth="10" defaultColWidth="0" defaultRowHeight="14" zeroHeight="1"/>
  <cols>
    <col min="1" max="1" width="11.33203125" style="13" customWidth="1"/>
    <col min="2" max="2" width="10.83203125" style="13" customWidth="1"/>
    <col min="3" max="3" width="13" style="13" customWidth="1"/>
    <col min="4" max="4" width="12.5" style="35" bestFit="1" customWidth="1"/>
    <col min="5" max="5" width="12.5" style="13" bestFit="1" customWidth="1"/>
    <col min="6" max="6" width="13.6640625" style="13" bestFit="1" customWidth="1"/>
    <col min="7" max="7" width="13.5" style="36" bestFit="1" customWidth="1"/>
    <col min="8" max="8" width="16.5" style="13" bestFit="1" customWidth="1"/>
    <col min="9" max="12" width="9.1640625" style="13" customWidth="1"/>
    <col min="13" max="16384" width="9.1640625" style="13" hidden="1"/>
  </cols>
  <sheetData>
    <row r="1" spans="1:10" ht="12.75" customHeight="1">
      <c r="C1" s="34" t="s">
        <v>33</v>
      </c>
      <c r="H1" s="163" t="s">
        <v>50</v>
      </c>
    </row>
    <row r="2" spans="1:10">
      <c r="C2" s="36" t="s">
        <v>182</v>
      </c>
      <c r="H2" s="163"/>
    </row>
    <row r="3" spans="1:10">
      <c r="C3" s="36" t="s">
        <v>34</v>
      </c>
      <c r="J3" s="69" t="s">
        <v>111</v>
      </c>
    </row>
    <row r="4" spans="1:10"/>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row>
    <row r="9" spans="1:10">
      <c r="A9" s="41" t="s">
        <v>167</v>
      </c>
      <c r="B9" s="40"/>
      <c r="C9" s="175">
        <f>'DATA SHEET'!C13</f>
        <v>8473400</v>
      </c>
      <c r="D9" s="175"/>
      <c r="E9" s="175"/>
      <c r="F9" s="175"/>
      <c r="G9" s="175"/>
      <c r="H9" s="176"/>
    </row>
    <row r="10" spans="1:10">
      <c r="A10" s="42" t="s">
        <v>31</v>
      </c>
      <c r="B10" s="43"/>
      <c r="C10" s="180" t="str">
        <f>'DATA SHEET'!C17</f>
        <v>Cash: 80% DP, 20% after 60 months or upon turnover</v>
      </c>
      <c r="D10" s="180"/>
      <c r="E10" s="180"/>
      <c r="F10" s="180"/>
      <c r="G10" s="180"/>
      <c r="H10" s="181"/>
    </row>
    <row r="11" spans="1:10"/>
    <row r="12" spans="1:10">
      <c r="A12" s="36" t="s">
        <v>46</v>
      </c>
      <c r="B12" s="36"/>
    </row>
    <row r="13" spans="1:10">
      <c r="A13" s="14" t="s">
        <v>170</v>
      </c>
      <c r="D13" s="44">
        <f>(C9-650000)</f>
        <v>7823400</v>
      </c>
      <c r="E13" s="45" t="str">
        <f>LEFT(C8,9)</f>
        <v>1-Bedroom</v>
      </c>
      <c r="F13" s="89"/>
    </row>
    <row r="14" spans="1:10">
      <c r="A14" s="46" t="s">
        <v>52</v>
      </c>
      <c r="B14" s="47"/>
      <c r="C14" s="101">
        <v>0.15</v>
      </c>
      <c r="D14" s="48">
        <f>IF(C14&lt;=15%,D13*C14,"BEYOND MAX")</f>
        <v>1173510</v>
      </c>
      <c r="E14" s="45"/>
      <c r="F14" s="89"/>
    </row>
    <row r="15" spans="1:10">
      <c r="A15" s="46" t="s">
        <v>191</v>
      </c>
      <c r="B15" s="47"/>
      <c r="C15" s="101">
        <v>0.02</v>
      </c>
      <c r="D15" s="48">
        <f>IF(C15&lt;=2%,((D13-D14)*C15),"BEYOND MAX")</f>
        <v>132997.79999999999</v>
      </c>
      <c r="E15" s="50"/>
      <c r="F15" s="89"/>
    </row>
    <row r="16" spans="1:10">
      <c r="A16" s="46" t="s">
        <v>192</v>
      </c>
      <c r="B16" s="47"/>
      <c r="C16" s="101"/>
      <c r="D16" s="143">
        <f>VLOOKUP('DATA SHEET'!C10,'WESTCHASE PL'!$D$11:$H$33,5,0)</f>
        <v>230000</v>
      </c>
      <c r="E16" s="50"/>
      <c r="F16" s="89"/>
    </row>
    <row r="17" spans="1:8">
      <c r="A17" s="52" t="s">
        <v>174</v>
      </c>
      <c r="B17" s="15"/>
      <c r="C17" s="15"/>
      <c r="D17" s="53">
        <f>+D13-SUM(D14:D16)</f>
        <v>6286892.2000000002</v>
      </c>
      <c r="E17" s="50"/>
      <c r="F17" s="89"/>
    </row>
    <row r="18" spans="1:8">
      <c r="A18" s="54" t="s">
        <v>154</v>
      </c>
      <c r="B18" s="54"/>
      <c r="C18" s="16">
        <v>0.05</v>
      </c>
      <c r="D18" s="55">
        <f>(D17/1.12)*C18</f>
        <v>280664.83035714284</v>
      </c>
      <c r="E18" s="50"/>
      <c r="F18" s="89"/>
    </row>
    <row r="19" spans="1:8" ht="15" thickBot="1">
      <c r="A19" s="15" t="s">
        <v>47</v>
      </c>
      <c r="B19" s="15"/>
      <c r="C19" s="15"/>
      <c r="D19" s="56">
        <f>+SUM(D17:D18)</f>
        <v>6567557.0303571429</v>
      </c>
      <c r="E19" s="50"/>
      <c r="F19" s="89"/>
    </row>
    <row r="20" spans="1:8" ht="15" thickTop="1">
      <c r="D20" s="44"/>
      <c r="E20" s="35"/>
      <c r="F20" s="35"/>
      <c r="G20" s="90"/>
    </row>
    <row r="21" spans="1:8">
      <c r="A21" s="57" t="s">
        <v>32</v>
      </c>
      <c r="B21" s="57" t="s">
        <v>155</v>
      </c>
      <c r="C21" s="57" t="s">
        <v>2</v>
      </c>
      <c r="D21" s="57" t="s">
        <v>156</v>
      </c>
      <c r="E21" s="57" t="s">
        <v>173</v>
      </c>
      <c r="F21" s="57" t="s">
        <v>158</v>
      </c>
      <c r="G21" s="59" t="s">
        <v>159</v>
      </c>
      <c r="H21" s="57" t="s">
        <v>160</v>
      </c>
    </row>
    <row r="22" spans="1:8">
      <c r="A22" s="165" t="s">
        <v>162</v>
      </c>
      <c r="B22" s="165"/>
      <c r="C22" s="165"/>
      <c r="D22" s="165"/>
      <c r="E22" s="165"/>
      <c r="F22" s="165"/>
      <c r="G22" s="165"/>
      <c r="H22" s="60">
        <f>+D19</f>
        <v>6567557.0303571429</v>
      </c>
    </row>
    <row r="23" spans="1:8">
      <c r="A23" s="61">
        <v>0</v>
      </c>
      <c r="B23" s="61"/>
      <c r="C23" s="61" t="s">
        <v>36</v>
      </c>
      <c r="D23" s="62">
        <f ca="1">'DATA SHEET'!C8</f>
        <v>43973</v>
      </c>
      <c r="E23" s="63">
        <f>IF(E13="1-Bedroom",50000,100000)</f>
        <v>50000</v>
      </c>
      <c r="F23" s="63"/>
      <c r="G23" s="64">
        <f>+SUM(E23:F23)</f>
        <v>50000</v>
      </c>
      <c r="H23" s="65">
        <f>D19-G23</f>
        <v>6517557.0303571429</v>
      </c>
    </row>
    <row r="24" spans="1:8">
      <c r="A24" s="61">
        <v>1</v>
      </c>
      <c r="B24" s="66">
        <v>0.8</v>
      </c>
      <c r="C24" s="61" t="s">
        <v>161</v>
      </c>
      <c r="D24" s="62">
        <f ca="1">EDATE(D23,1)</f>
        <v>44004</v>
      </c>
      <c r="E24" s="63">
        <f>(D17*80%)-E23</f>
        <v>4979513.7600000007</v>
      </c>
      <c r="F24" s="63">
        <f>(D18*80%)</f>
        <v>224531.86428571428</v>
      </c>
      <c r="G24" s="64">
        <f t="shared" ref="G24:G25" si="0">+SUM(E24:F24)</f>
        <v>5204045.6242857147</v>
      </c>
      <c r="H24" s="65">
        <f>H23-G24</f>
        <v>1313511.4060714282</v>
      </c>
    </row>
    <row r="25" spans="1:8">
      <c r="A25" s="61">
        <v>60</v>
      </c>
      <c r="B25" s="66">
        <v>0.2</v>
      </c>
      <c r="C25" s="61" t="s">
        <v>105</v>
      </c>
      <c r="D25" s="62">
        <f ca="1">D24+(60*30)</f>
        <v>45804</v>
      </c>
      <c r="E25" s="63">
        <f>D17*20%</f>
        <v>1257378.4400000002</v>
      </c>
      <c r="F25" s="63">
        <f>D18*20%</f>
        <v>56132.966071428571</v>
      </c>
      <c r="G25" s="64">
        <f t="shared" si="0"/>
        <v>1313511.4060714287</v>
      </c>
      <c r="H25" s="65">
        <f>H24-G25</f>
        <v>0</v>
      </c>
    </row>
    <row r="26" spans="1:8">
      <c r="A26" s="166" t="s">
        <v>15</v>
      </c>
      <c r="B26" s="166"/>
      <c r="C26" s="166"/>
      <c r="D26" s="166"/>
      <c r="E26" s="67">
        <f>SUM(E23:E25)</f>
        <v>6286892.2000000011</v>
      </c>
      <c r="F26" s="67">
        <f t="shared" ref="F26:G26" si="1">SUM(F23:F25)</f>
        <v>280664.83035714284</v>
      </c>
      <c r="G26" s="67">
        <f t="shared" si="1"/>
        <v>6567557.0303571429</v>
      </c>
      <c r="H26" s="68"/>
    </row>
    <row r="27" spans="1:8" s="14" customFormat="1">
      <c r="C27" s="28"/>
      <c r="D27" s="29"/>
      <c r="E27" s="30"/>
      <c r="F27" s="30"/>
      <c r="G27" s="30"/>
    </row>
    <row r="28" spans="1:8" s="14" customFormat="1">
      <c r="A28" s="162" t="s">
        <v>136</v>
      </c>
      <c r="B28" s="162"/>
      <c r="C28" s="162"/>
      <c r="D28" s="162"/>
      <c r="E28" s="162"/>
      <c r="F28" s="162"/>
      <c r="G28" s="162"/>
      <c r="H28" s="162"/>
    </row>
    <row r="29" spans="1:8" s="14" customFormat="1" ht="29.25" customHeight="1">
      <c r="A29" s="164" t="s">
        <v>175</v>
      </c>
      <c r="B29" s="164"/>
      <c r="C29" s="164"/>
      <c r="D29" s="164"/>
      <c r="E29" s="164"/>
      <c r="F29" s="164"/>
      <c r="G29" s="164"/>
      <c r="H29" s="164"/>
    </row>
    <row r="30" spans="1:8" s="14" customFormat="1" ht="16.5" customHeight="1">
      <c r="A30" s="162" t="s">
        <v>176</v>
      </c>
      <c r="B30" s="162"/>
      <c r="C30" s="162"/>
      <c r="D30" s="162"/>
      <c r="E30" s="162"/>
      <c r="F30" s="162"/>
      <c r="G30" s="162"/>
      <c r="H30" s="162"/>
    </row>
    <row r="31" spans="1:8" s="14" customFormat="1" ht="16.5" customHeight="1">
      <c r="A31" s="162" t="s">
        <v>177</v>
      </c>
      <c r="B31" s="162"/>
      <c r="C31" s="162"/>
      <c r="D31" s="162"/>
      <c r="E31" s="162"/>
      <c r="F31" s="162"/>
      <c r="G31" s="162"/>
      <c r="H31" s="162"/>
    </row>
    <row r="32" spans="1:8" s="14" customFormat="1" ht="16.5" customHeight="1">
      <c r="A32" s="162" t="s">
        <v>178</v>
      </c>
      <c r="B32" s="162"/>
      <c r="C32" s="162"/>
      <c r="D32" s="162"/>
      <c r="E32" s="162"/>
      <c r="F32" s="162"/>
      <c r="G32" s="162"/>
      <c r="H32" s="162"/>
    </row>
    <row r="33" spans="1:8" s="14" customFormat="1" ht="122.25" customHeight="1">
      <c r="A33" s="162" t="s">
        <v>179</v>
      </c>
      <c r="B33" s="162"/>
      <c r="C33" s="162"/>
      <c r="D33" s="162"/>
      <c r="E33" s="162"/>
      <c r="F33" s="162"/>
      <c r="G33" s="162"/>
      <c r="H33" s="162"/>
    </row>
    <row r="34" spans="1:8" s="14" customFormat="1" ht="56.25" customHeight="1">
      <c r="A34" s="162" t="s">
        <v>180</v>
      </c>
      <c r="B34" s="162"/>
      <c r="C34" s="162"/>
      <c r="D34" s="162"/>
      <c r="E34" s="162"/>
      <c r="F34" s="162"/>
      <c r="G34" s="162"/>
      <c r="H34" s="162"/>
    </row>
    <row r="35" spans="1:8" s="14" customFormat="1" ht="30" customHeight="1">
      <c r="A35" s="162" t="s">
        <v>181</v>
      </c>
      <c r="B35" s="162"/>
      <c r="C35" s="162"/>
      <c r="D35" s="162"/>
      <c r="E35" s="162"/>
      <c r="F35" s="162"/>
      <c r="G35" s="162"/>
      <c r="H35" s="162"/>
    </row>
    <row r="36" spans="1:8" s="14" customFormat="1">
      <c r="A36" s="162"/>
      <c r="B36" s="162"/>
      <c r="C36" s="162"/>
      <c r="D36" s="162"/>
      <c r="E36" s="162"/>
      <c r="F36" s="162"/>
      <c r="G36" s="162"/>
      <c r="H36" s="162"/>
    </row>
    <row r="37" spans="1:8" s="14" customFormat="1">
      <c r="A37" s="14" t="s">
        <v>16</v>
      </c>
      <c r="D37" s="31"/>
      <c r="G37" s="15"/>
    </row>
    <row r="38" spans="1:8" s="14" customFormat="1">
      <c r="D38" s="31"/>
      <c r="G38" s="15"/>
    </row>
    <row r="39" spans="1:8" s="14" customFormat="1" ht="15" customHeight="1">
      <c r="A39" s="32"/>
      <c r="B39" s="32"/>
      <c r="C39" s="32"/>
      <c r="D39" s="31"/>
      <c r="E39" s="32"/>
      <c r="F39" s="32"/>
      <c r="G39" s="33"/>
    </row>
    <row r="40" spans="1:8" s="14" customFormat="1">
      <c r="A40" s="179" t="s">
        <v>163</v>
      </c>
      <c r="B40" s="179"/>
      <c r="C40" s="179"/>
      <c r="D40" s="31"/>
      <c r="E40" s="179" t="s">
        <v>17</v>
      </c>
      <c r="F40" s="179"/>
      <c r="G40" s="179"/>
    </row>
    <row r="41" spans="1:8"/>
  </sheetData>
  <sheetProtection password="CAF1" sheet="1" objects="1" scenarios="1" selectLockedCells="1"/>
  <mergeCells count="20">
    <mergeCell ref="A34:H34"/>
    <mergeCell ref="A35:H35"/>
    <mergeCell ref="A36:H36"/>
    <mergeCell ref="A40:C40"/>
    <mergeCell ref="E40:G40"/>
    <mergeCell ref="H1:H2"/>
    <mergeCell ref="C5:H5"/>
    <mergeCell ref="C7:H7"/>
    <mergeCell ref="C9:H9"/>
    <mergeCell ref="C10:H10"/>
    <mergeCell ref="A26:D26"/>
    <mergeCell ref="C6:H6"/>
    <mergeCell ref="C8:H8"/>
    <mergeCell ref="A22:G22"/>
    <mergeCell ref="A28:H28"/>
    <mergeCell ref="A29:H29"/>
    <mergeCell ref="A30:H30"/>
    <mergeCell ref="A31:H31"/>
    <mergeCell ref="A32:H32"/>
    <mergeCell ref="A33:H33"/>
  </mergeCells>
  <hyperlinks>
    <hyperlink ref="C1" location="'DATA SHEET'!A1" display="HIGHLANDS PRIME, INC." xr:uid="{00000000-0004-0000-0900-000000000000}"/>
    <hyperlink ref="J3" location="'DATA SHEET'!A1" display="Return to Data Sheet" xr:uid="{00000000-0004-0000-0900-000001000000}"/>
  </hyperlinks>
  <printOptions horizontalCentered="1"/>
  <pageMargins left="0.7" right="0.7" top="0.75" bottom="0.5" header="0.3" footer="0.3"/>
  <pageSetup scale="74" orientation="portrait"/>
  <headerFooter>
    <oddFooter>&amp;L&amp;8A project of HIGHLANDS PRIME, INC. Horizon Terraces HLURB License To Sell No. 032272&amp;R&amp;8Page &amp;P of &amp;N</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389E8F"/>
    <pageSetUpPr fitToPage="1"/>
  </sheetPr>
  <dimension ref="A1:L90"/>
  <sheetViews>
    <sheetView showGridLines="0" workbookViewId="0">
      <selection activeCell="D16" sqref="D16"/>
    </sheetView>
  </sheetViews>
  <sheetFormatPr baseColWidth="10" defaultColWidth="0" defaultRowHeight="14" zeroHeight="1"/>
  <cols>
    <col min="1" max="1" width="12.5" style="13" customWidth="1"/>
    <col min="2" max="2" width="11.33203125" style="13" customWidth="1"/>
    <col min="3" max="3" width="24.1640625" style="13" customWidth="1"/>
    <col min="4" max="4" width="13.5" style="35" bestFit="1" customWidth="1"/>
    <col min="5" max="5" width="13.5" style="13" bestFit="1" customWidth="1"/>
    <col min="6" max="6" width="13.6640625" style="13" bestFit="1" customWidth="1"/>
    <col min="7" max="7" width="13.5" style="36" bestFit="1" customWidth="1"/>
    <col min="8" max="8" width="16.5" style="13" bestFit="1" customWidth="1"/>
    <col min="9" max="12" width="9.1640625" style="13" customWidth="1"/>
    <col min="13" max="16384" width="9.1640625" style="13" hidden="1"/>
  </cols>
  <sheetData>
    <row r="1" spans="1:10" ht="12.75" customHeight="1">
      <c r="C1" s="34" t="s">
        <v>33</v>
      </c>
      <c r="H1" s="163" t="s">
        <v>50</v>
      </c>
    </row>
    <row r="2" spans="1:10" ht="12.75" customHeight="1">
      <c r="C2" s="36" t="s">
        <v>182</v>
      </c>
      <c r="H2" s="163"/>
    </row>
    <row r="3" spans="1:10">
      <c r="C3" s="36" t="s">
        <v>34</v>
      </c>
      <c r="J3" s="69" t="s">
        <v>111</v>
      </c>
    </row>
    <row r="4" spans="1:10"/>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row>
    <row r="9" spans="1:10">
      <c r="A9" s="41" t="s">
        <v>167</v>
      </c>
      <c r="B9" s="40"/>
      <c r="C9" s="175">
        <f>'DATA SHEET'!C13</f>
        <v>8473400</v>
      </c>
      <c r="D9" s="175"/>
      <c r="E9" s="175"/>
      <c r="F9" s="175"/>
      <c r="G9" s="175"/>
      <c r="H9" s="176"/>
    </row>
    <row r="10" spans="1:10">
      <c r="A10" s="42" t="s">
        <v>31</v>
      </c>
      <c r="B10" s="43"/>
      <c r="C10" s="177" t="str">
        <f>+'DATA SHEET'!C18</f>
        <v>5% DP, 25% over 48 months, 70% Lumpsum</v>
      </c>
      <c r="D10" s="177"/>
      <c r="E10" s="177"/>
      <c r="F10" s="177"/>
      <c r="G10" s="177"/>
      <c r="H10" s="178"/>
    </row>
    <row r="11" spans="1:10"/>
    <row r="12" spans="1:10">
      <c r="A12" s="36" t="s">
        <v>46</v>
      </c>
      <c r="B12" s="36"/>
    </row>
    <row r="13" spans="1:10">
      <c r="A13" s="14" t="s">
        <v>170</v>
      </c>
      <c r="D13" s="44">
        <f>(C9-650000)</f>
        <v>7823400</v>
      </c>
      <c r="E13" s="45" t="str">
        <f>LEFT(C8,9)</f>
        <v>1-Bedroom</v>
      </c>
    </row>
    <row r="14" spans="1:10">
      <c r="A14" s="46" t="s">
        <v>52</v>
      </c>
      <c r="B14" s="47"/>
      <c r="C14" s="101">
        <v>5.0000000000000001E-3</v>
      </c>
      <c r="D14" s="48">
        <f>IF(C14&lt;=0.5%,D13*C14,"BEYOND MAX")</f>
        <v>39117</v>
      </c>
      <c r="E14" s="45"/>
    </row>
    <row r="15" spans="1:10">
      <c r="A15" s="46" t="s">
        <v>191</v>
      </c>
      <c r="B15" s="47"/>
      <c r="C15" s="101">
        <v>0.01</v>
      </c>
      <c r="D15" s="48">
        <f>IF(C15&lt;=1%,((D13-D14)*C15),"BEYOND MAX DISC.")</f>
        <v>77842.83</v>
      </c>
      <c r="E15" s="35"/>
    </row>
    <row r="16" spans="1:10">
      <c r="A16" s="46" t="s">
        <v>192</v>
      </c>
      <c r="B16" s="47"/>
      <c r="C16" s="101"/>
      <c r="D16" s="143">
        <f>VLOOKUP('DATA SHEET'!C10,'WESTCHASE PL'!$D$11:$H$33,5,0)</f>
        <v>230000</v>
      </c>
      <c r="E16" s="35"/>
    </row>
    <row r="17" spans="1:8">
      <c r="A17" s="52" t="s">
        <v>174</v>
      </c>
      <c r="B17" s="15"/>
      <c r="C17" s="15"/>
      <c r="D17" s="53">
        <f>+D13-SUM(D14:D16)</f>
        <v>7476440.1699999999</v>
      </c>
      <c r="E17" s="50"/>
    </row>
    <row r="18" spans="1:8">
      <c r="A18" s="54" t="s">
        <v>154</v>
      </c>
      <c r="B18" s="54"/>
      <c r="C18" s="16">
        <v>0.05</v>
      </c>
      <c r="D18" s="55">
        <f>(D17/1.12)*C18</f>
        <v>333769.65044642857</v>
      </c>
      <c r="E18" s="50"/>
    </row>
    <row r="19" spans="1:8" ht="15" thickBot="1">
      <c r="A19" s="15" t="s">
        <v>47</v>
      </c>
      <c r="B19" s="15"/>
      <c r="C19" s="15"/>
      <c r="D19" s="56">
        <f>+SUM(D17:D18)</f>
        <v>7810209.8204464288</v>
      </c>
      <c r="E19" s="35"/>
    </row>
    <row r="20" spans="1:8" ht="15" thickTop="1"/>
    <row r="21" spans="1:8">
      <c r="A21" s="57" t="s">
        <v>32</v>
      </c>
      <c r="B21" s="57" t="s">
        <v>155</v>
      </c>
      <c r="C21" s="57" t="s">
        <v>2</v>
      </c>
      <c r="D21" s="57" t="s">
        <v>156</v>
      </c>
      <c r="E21" s="57" t="s">
        <v>173</v>
      </c>
      <c r="F21" s="57" t="s">
        <v>158</v>
      </c>
      <c r="G21" s="59" t="s">
        <v>159</v>
      </c>
      <c r="H21" s="57" t="s">
        <v>160</v>
      </c>
    </row>
    <row r="22" spans="1:8">
      <c r="A22" s="165" t="s">
        <v>162</v>
      </c>
      <c r="B22" s="165"/>
      <c r="C22" s="165"/>
      <c r="D22" s="165"/>
      <c r="E22" s="165"/>
      <c r="F22" s="165"/>
      <c r="G22" s="165"/>
      <c r="H22" s="60">
        <f>+D19</f>
        <v>7810209.8204464288</v>
      </c>
    </row>
    <row r="23" spans="1:8" ht="13.5" customHeight="1">
      <c r="A23" s="61">
        <v>0</v>
      </c>
      <c r="B23" s="61"/>
      <c r="C23" s="61" t="s">
        <v>36</v>
      </c>
      <c r="D23" s="62">
        <f ca="1">'DATA SHEET'!C8</f>
        <v>43973</v>
      </c>
      <c r="E23" s="63">
        <f>IF(E13="1-Bedroom",50000,100000)</f>
        <v>50000</v>
      </c>
      <c r="F23" s="63"/>
      <c r="G23" s="64">
        <f>+SUM(E23:F23)</f>
        <v>50000</v>
      </c>
      <c r="H23" s="65">
        <f>D19-G23</f>
        <v>7760209.8204464288</v>
      </c>
    </row>
    <row r="24" spans="1:8">
      <c r="A24" s="61">
        <f>+A23+1</f>
        <v>1</v>
      </c>
      <c r="B24" s="66">
        <v>0.05</v>
      </c>
      <c r="C24" s="61" t="s">
        <v>161</v>
      </c>
      <c r="D24" s="62">
        <f ca="1">EDATE(D23,1)</f>
        <v>44004</v>
      </c>
      <c r="E24" s="63">
        <f>(($D$17*5%)-$E$23)</f>
        <v>323822.0085</v>
      </c>
      <c r="F24" s="63">
        <f>(($D$18*5%))</f>
        <v>16688.482522321428</v>
      </c>
      <c r="G24" s="64">
        <f t="shared" ref="G24:G74" si="0">+SUM(E24:F24)</f>
        <v>340510.4910223214</v>
      </c>
      <c r="H24" s="65">
        <f>H23-G24</f>
        <v>7419699.3294241074</v>
      </c>
    </row>
    <row r="25" spans="1:8">
      <c r="A25" s="61"/>
      <c r="B25" s="66">
        <v>0.25</v>
      </c>
      <c r="C25" s="61" t="s">
        <v>165</v>
      </c>
      <c r="D25" s="62"/>
      <c r="E25" s="63"/>
      <c r="F25" s="63"/>
      <c r="G25" s="64"/>
      <c r="H25" s="65"/>
    </row>
    <row r="26" spans="1:8">
      <c r="A26" s="61">
        <f>+A24+1</f>
        <v>2</v>
      </c>
      <c r="B26" s="61"/>
      <c r="C26" s="61" t="s">
        <v>3</v>
      </c>
      <c r="D26" s="62">
        <f ca="1">EDATE(D24,1)</f>
        <v>44034</v>
      </c>
      <c r="E26" s="63">
        <f>($D$17*0.25)/48</f>
        <v>38939.792552083331</v>
      </c>
      <c r="F26" s="63">
        <f>($D$18*0.25/48)</f>
        <v>1738.3835960751487</v>
      </c>
      <c r="G26" s="64">
        <f t="shared" si="0"/>
        <v>40678.176148158476</v>
      </c>
      <c r="H26" s="65">
        <f>H24-G26</f>
        <v>7379021.1532759489</v>
      </c>
    </row>
    <row r="27" spans="1:8">
      <c r="A27" s="61">
        <f t="shared" ref="A27:A74" si="1">+A26+1</f>
        <v>3</v>
      </c>
      <c r="B27" s="61"/>
      <c r="C27" s="61" t="s">
        <v>4</v>
      </c>
      <c r="D27" s="62">
        <f ca="1">EDATE(D26,1)</f>
        <v>44065</v>
      </c>
      <c r="E27" s="63">
        <f t="shared" ref="E27:E73" si="2">($D$17*0.25)/48</f>
        <v>38939.792552083331</v>
      </c>
      <c r="F27" s="63">
        <f t="shared" ref="F27:F73" si="3">($D$18*0.25/48)</f>
        <v>1738.3835960751487</v>
      </c>
      <c r="G27" s="64">
        <f t="shared" si="0"/>
        <v>40678.176148158476</v>
      </c>
      <c r="H27" s="65">
        <f t="shared" ref="H27:H74" si="4">H26-G27</f>
        <v>7338342.9771277905</v>
      </c>
    </row>
    <row r="28" spans="1:8">
      <c r="A28" s="61">
        <f t="shared" si="1"/>
        <v>4</v>
      </c>
      <c r="B28" s="61"/>
      <c r="C28" s="61" t="s">
        <v>5</v>
      </c>
      <c r="D28" s="62">
        <f t="shared" ref="D28:D74" ca="1" si="5">EDATE(D27,1)</f>
        <v>44096</v>
      </c>
      <c r="E28" s="63">
        <f t="shared" si="2"/>
        <v>38939.792552083331</v>
      </c>
      <c r="F28" s="63">
        <f t="shared" si="3"/>
        <v>1738.3835960751487</v>
      </c>
      <c r="G28" s="64">
        <f t="shared" si="0"/>
        <v>40678.176148158476</v>
      </c>
      <c r="H28" s="65">
        <f t="shared" si="4"/>
        <v>7297664.800979632</v>
      </c>
    </row>
    <row r="29" spans="1:8">
      <c r="A29" s="61">
        <f t="shared" si="1"/>
        <v>5</v>
      </c>
      <c r="B29" s="61"/>
      <c r="C29" s="61" t="s">
        <v>6</v>
      </c>
      <c r="D29" s="62">
        <f t="shared" ca="1" si="5"/>
        <v>44126</v>
      </c>
      <c r="E29" s="63">
        <f t="shared" si="2"/>
        <v>38939.792552083331</v>
      </c>
      <c r="F29" s="63">
        <f t="shared" si="3"/>
        <v>1738.3835960751487</v>
      </c>
      <c r="G29" s="64">
        <f t="shared" si="0"/>
        <v>40678.176148158476</v>
      </c>
      <c r="H29" s="65">
        <f t="shared" si="4"/>
        <v>7256986.6248314735</v>
      </c>
    </row>
    <row r="30" spans="1:8">
      <c r="A30" s="61">
        <f t="shared" si="1"/>
        <v>6</v>
      </c>
      <c r="B30" s="61"/>
      <c r="C30" s="61" t="s">
        <v>7</v>
      </c>
      <c r="D30" s="62">
        <f t="shared" ca="1" si="5"/>
        <v>44157</v>
      </c>
      <c r="E30" s="63">
        <f t="shared" si="2"/>
        <v>38939.792552083331</v>
      </c>
      <c r="F30" s="63">
        <f t="shared" si="3"/>
        <v>1738.3835960751487</v>
      </c>
      <c r="G30" s="64">
        <f t="shared" si="0"/>
        <v>40678.176148158476</v>
      </c>
      <c r="H30" s="65">
        <f t="shared" si="4"/>
        <v>7216308.448683315</v>
      </c>
    </row>
    <row r="31" spans="1:8">
      <c r="A31" s="61">
        <f t="shared" si="1"/>
        <v>7</v>
      </c>
      <c r="B31" s="61"/>
      <c r="C31" s="61" t="s">
        <v>8</v>
      </c>
      <c r="D31" s="62">
        <f t="shared" ca="1" si="5"/>
        <v>44187</v>
      </c>
      <c r="E31" s="63">
        <f t="shared" si="2"/>
        <v>38939.792552083331</v>
      </c>
      <c r="F31" s="63">
        <f t="shared" si="3"/>
        <v>1738.3835960751487</v>
      </c>
      <c r="G31" s="64">
        <f t="shared" si="0"/>
        <v>40678.176148158476</v>
      </c>
      <c r="H31" s="65">
        <f t="shared" si="4"/>
        <v>7175630.2725351565</v>
      </c>
    </row>
    <row r="32" spans="1:8">
      <c r="A32" s="61">
        <f t="shared" si="1"/>
        <v>8</v>
      </c>
      <c r="B32" s="61"/>
      <c r="C32" s="61" t="s">
        <v>9</v>
      </c>
      <c r="D32" s="62">
        <f t="shared" ca="1" si="5"/>
        <v>44218</v>
      </c>
      <c r="E32" s="63">
        <f t="shared" si="2"/>
        <v>38939.792552083331</v>
      </c>
      <c r="F32" s="63">
        <f t="shared" si="3"/>
        <v>1738.3835960751487</v>
      </c>
      <c r="G32" s="64">
        <f t="shared" si="0"/>
        <v>40678.176148158476</v>
      </c>
      <c r="H32" s="65">
        <f t="shared" si="4"/>
        <v>7134952.096386998</v>
      </c>
    </row>
    <row r="33" spans="1:8">
      <c r="A33" s="61">
        <f t="shared" si="1"/>
        <v>9</v>
      </c>
      <c r="B33" s="61"/>
      <c r="C33" s="61" t="s">
        <v>10</v>
      </c>
      <c r="D33" s="62">
        <f t="shared" ca="1" si="5"/>
        <v>44249</v>
      </c>
      <c r="E33" s="63">
        <f t="shared" si="2"/>
        <v>38939.792552083331</v>
      </c>
      <c r="F33" s="63">
        <f t="shared" si="3"/>
        <v>1738.3835960751487</v>
      </c>
      <c r="G33" s="64">
        <f t="shared" si="0"/>
        <v>40678.176148158476</v>
      </c>
      <c r="H33" s="65">
        <f t="shared" si="4"/>
        <v>7094273.9202388395</v>
      </c>
    </row>
    <row r="34" spans="1:8">
      <c r="A34" s="61">
        <f t="shared" si="1"/>
        <v>10</v>
      </c>
      <c r="B34" s="61"/>
      <c r="C34" s="61" t="s">
        <v>11</v>
      </c>
      <c r="D34" s="62">
        <f t="shared" ca="1" si="5"/>
        <v>44277</v>
      </c>
      <c r="E34" s="63">
        <f t="shared" si="2"/>
        <v>38939.792552083331</v>
      </c>
      <c r="F34" s="63">
        <f t="shared" si="3"/>
        <v>1738.3835960751487</v>
      </c>
      <c r="G34" s="64">
        <f t="shared" si="0"/>
        <v>40678.176148158476</v>
      </c>
      <c r="H34" s="65">
        <f t="shared" si="4"/>
        <v>7053595.744090681</v>
      </c>
    </row>
    <row r="35" spans="1:8">
      <c r="A35" s="61">
        <f t="shared" si="1"/>
        <v>11</v>
      </c>
      <c r="B35" s="61"/>
      <c r="C35" s="61" t="s">
        <v>12</v>
      </c>
      <c r="D35" s="62">
        <f t="shared" ca="1" si="5"/>
        <v>44308</v>
      </c>
      <c r="E35" s="63">
        <f t="shared" si="2"/>
        <v>38939.792552083331</v>
      </c>
      <c r="F35" s="63">
        <f t="shared" si="3"/>
        <v>1738.3835960751487</v>
      </c>
      <c r="G35" s="64">
        <f t="shared" si="0"/>
        <v>40678.176148158476</v>
      </c>
      <c r="H35" s="65">
        <f t="shared" si="4"/>
        <v>7012917.5679425225</v>
      </c>
    </row>
    <row r="36" spans="1:8">
      <c r="A36" s="61">
        <f t="shared" si="1"/>
        <v>12</v>
      </c>
      <c r="B36" s="61"/>
      <c r="C36" s="61" t="s">
        <v>13</v>
      </c>
      <c r="D36" s="62">
        <f t="shared" ca="1" si="5"/>
        <v>44338</v>
      </c>
      <c r="E36" s="63">
        <f t="shared" si="2"/>
        <v>38939.792552083331</v>
      </c>
      <c r="F36" s="63">
        <f t="shared" si="3"/>
        <v>1738.3835960751487</v>
      </c>
      <c r="G36" s="64">
        <f t="shared" si="0"/>
        <v>40678.176148158476</v>
      </c>
      <c r="H36" s="65">
        <f t="shared" si="4"/>
        <v>6972239.391794364</v>
      </c>
    </row>
    <row r="37" spans="1:8">
      <c r="A37" s="61">
        <f t="shared" si="1"/>
        <v>13</v>
      </c>
      <c r="B37" s="61"/>
      <c r="C37" s="61" t="s">
        <v>14</v>
      </c>
      <c r="D37" s="62">
        <f t="shared" ca="1" si="5"/>
        <v>44369</v>
      </c>
      <c r="E37" s="63">
        <f t="shared" si="2"/>
        <v>38939.792552083331</v>
      </c>
      <c r="F37" s="63">
        <f t="shared" si="3"/>
        <v>1738.3835960751487</v>
      </c>
      <c r="G37" s="64">
        <f t="shared" si="0"/>
        <v>40678.176148158476</v>
      </c>
      <c r="H37" s="65">
        <f t="shared" si="4"/>
        <v>6931561.2156462055</v>
      </c>
    </row>
    <row r="38" spans="1:8">
      <c r="A38" s="61">
        <f t="shared" si="1"/>
        <v>14</v>
      </c>
      <c r="B38" s="61"/>
      <c r="C38" s="61" t="s">
        <v>18</v>
      </c>
      <c r="D38" s="62">
        <f t="shared" ca="1" si="5"/>
        <v>44399</v>
      </c>
      <c r="E38" s="63">
        <f t="shared" si="2"/>
        <v>38939.792552083331</v>
      </c>
      <c r="F38" s="63">
        <f t="shared" si="3"/>
        <v>1738.3835960751487</v>
      </c>
      <c r="G38" s="64">
        <f t="shared" si="0"/>
        <v>40678.176148158476</v>
      </c>
      <c r="H38" s="65">
        <f t="shared" si="4"/>
        <v>6890883.039498047</v>
      </c>
    </row>
    <row r="39" spans="1:8">
      <c r="A39" s="61">
        <f t="shared" si="1"/>
        <v>15</v>
      </c>
      <c r="B39" s="61"/>
      <c r="C39" s="61" t="s">
        <v>19</v>
      </c>
      <c r="D39" s="62">
        <f t="shared" ca="1" si="5"/>
        <v>44430</v>
      </c>
      <c r="E39" s="63">
        <f t="shared" si="2"/>
        <v>38939.792552083331</v>
      </c>
      <c r="F39" s="63">
        <f t="shared" si="3"/>
        <v>1738.3835960751487</v>
      </c>
      <c r="G39" s="64">
        <f t="shared" si="0"/>
        <v>40678.176148158476</v>
      </c>
      <c r="H39" s="65">
        <f t="shared" si="4"/>
        <v>6850204.8633498885</v>
      </c>
    </row>
    <row r="40" spans="1:8">
      <c r="A40" s="61">
        <f t="shared" si="1"/>
        <v>16</v>
      </c>
      <c r="B40" s="61"/>
      <c r="C40" s="61" t="s">
        <v>20</v>
      </c>
      <c r="D40" s="62">
        <f t="shared" ca="1" si="5"/>
        <v>44461</v>
      </c>
      <c r="E40" s="63">
        <f t="shared" si="2"/>
        <v>38939.792552083331</v>
      </c>
      <c r="F40" s="63">
        <f t="shared" si="3"/>
        <v>1738.3835960751487</v>
      </c>
      <c r="G40" s="64">
        <f t="shared" si="0"/>
        <v>40678.176148158476</v>
      </c>
      <c r="H40" s="65">
        <f t="shared" si="4"/>
        <v>6809526.68720173</v>
      </c>
    </row>
    <row r="41" spans="1:8">
      <c r="A41" s="61">
        <f t="shared" si="1"/>
        <v>17</v>
      </c>
      <c r="B41" s="61"/>
      <c r="C41" s="61" t="s">
        <v>21</v>
      </c>
      <c r="D41" s="62">
        <f t="shared" ca="1" si="5"/>
        <v>44491</v>
      </c>
      <c r="E41" s="63">
        <f t="shared" si="2"/>
        <v>38939.792552083331</v>
      </c>
      <c r="F41" s="63">
        <f t="shared" si="3"/>
        <v>1738.3835960751487</v>
      </c>
      <c r="G41" s="64">
        <f t="shared" si="0"/>
        <v>40678.176148158476</v>
      </c>
      <c r="H41" s="65">
        <f t="shared" si="4"/>
        <v>6768848.5110535715</v>
      </c>
    </row>
    <row r="42" spans="1:8">
      <c r="A42" s="61">
        <f t="shared" si="1"/>
        <v>18</v>
      </c>
      <c r="B42" s="61"/>
      <c r="C42" s="61" t="s">
        <v>22</v>
      </c>
      <c r="D42" s="62">
        <f t="shared" ca="1" si="5"/>
        <v>44522</v>
      </c>
      <c r="E42" s="63">
        <f t="shared" si="2"/>
        <v>38939.792552083331</v>
      </c>
      <c r="F42" s="63">
        <f t="shared" si="3"/>
        <v>1738.3835960751487</v>
      </c>
      <c r="G42" s="64">
        <f t="shared" si="0"/>
        <v>40678.176148158476</v>
      </c>
      <c r="H42" s="65">
        <f t="shared" si="4"/>
        <v>6728170.334905413</v>
      </c>
    </row>
    <row r="43" spans="1:8">
      <c r="A43" s="61">
        <f t="shared" si="1"/>
        <v>19</v>
      </c>
      <c r="B43" s="61"/>
      <c r="C43" s="61" t="s">
        <v>23</v>
      </c>
      <c r="D43" s="62">
        <f t="shared" ca="1" si="5"/>
        <v>44552</v>
      </c>
      <c r="E43" s="63">
        <f t="shared" si="2"/>
        <v>38939.792552083331</v>
      </c>
      <c r="F43" s="63">
        <f t="shared" si="3"/>
        <v>1738.3835960751487</v>
      </c>
      <c r="G43" s="64">
        <f t="shared" si="0"/>
        <v>40678.176148158476</v>
      </c>
      <c r="H43" s="65">
        <f t="shared" si="4"/>
        <v>6687492.1587572545</v>
      </c>
    </row>
    <row r="44" spans="1:8">
      <c r="A44" s="61">
        <f t="shared" si="1"/>
        <v>20</v>
      </c>
      <c r="B44" s="61"/>
      <c r="C44" s="61" t="s">
        <v>24</v>
      </c>
      <c r="D44" s="62">
        <f t="shared" ca="1" si="5"/>
        <v>44583</v>
      </c>
      <c r="E44" s="63">
        <f t="shared" si="2"/>
        <v>38939.792552083331</v>
      </c>
      <c r="F44" s="63">
        <f t="shared" si="3"/>
        <v>1738.3835960751487</v>
      </c>
      <c r="G44" s="64">
        <f t="shared" si="0"/>
        <v>40678.176148158476</v>
      </c>
      <c r="H44" s="65">
        <f t="shared" si="4"/>
        <v>6646813.982609096</v>
      </c>
    </row>
    <row r="45" spans="1:8">
      <c r="A45" s="61">
        <f t="shared" si="1"/>
        <v>21</v>
      </c>
      <c r="B45" s="61"/>
      <c r="C45" s="61" t="s">
        <v>25</v>
      </c>
      <c r="D45" s="62">
        <f t="shared" ca="1" si="5"/>
        <v>44614</v>
      </c>
      <c r="E45" s="63">
        <f t="shared" si="2"/>
        <v>38939.792552083331</v>
      </c>
      <c r="F45" s="63">
        <f t="shared" si="3"/>
        <v>1738.3835960751487</v>
      </c>
      <c r="G45" s="64">
        <f t="shared" si="0"/>
        <v>40678.176148158476</v>
      </c>
      <c r="H45" s="65">
        <f t="shared" si="4"/>
        <v>6606135.8064609375</v>
      </c>
    </row>
    <row r="46" spans="1:8">
      <c r="A46" s="61">
        <f t="shared" si="1"/>
        <v>22</v>
      </c>
      <c r="B46" s="61"/>
      <c r="C46" s="61" t="s">
        <v>26</v>
      </c>
      <c r="D46" s="62">
        <f t="shared" ca="1" si="5"/>
        <v>44642</v>
      </c>
      <c r="E46" s="63">
        <f t="shared" si="2"/>
        <v>38939.792552083331</v>
      </c>
      <c r="F46" s="63">
        <f t="shared" si="3"/>
        <v>1738.3835960751487</v>
      </c>
      <c r="G46" s="64">
        <f t="shared" si="0"/>
        <v>40678.176148158476</v>
      </c>
      <c r="H46" s="65">
        <f t="shared" si="4"/>
        <v>6565457.630312779</v>
      </c>
    </row>
    <row r="47" spans="1:8">
      <c r="A47" s="61">
        <f t="shared" si="1"/>
        <v>23</v>
      </c>
      <c r="B47" s="61"/>
      <c r="C47" s="61" t="s">
        <v>27</v>
      </c>
      <c r="D47" s="62">
        <f t="shared" ca="1" si="5"/>
        <v>44673</v>
      </c>
      <c r="E47" s="63">
        <f t="shared" si="2"/>
        <v>38939.792552083331</v>
      </c>
      <c r="F47" s="63">
        <f t="shared" si="3"/>
        <v>1738.3835960751487</v>
      </c>
      <c r="G47" s="64">
        <f t="shared" si="0"/>
        <v>40678.176148158476</v>
      </c>
      <c r="H47" s="65">
        <f t="shared" si="4"/>
        <v>6524779.4541646205</v>
      </c>
    </row>
    <row r="48" spans="1:8">
      <c r="A48" s="61">
        <f t="shared" si="1"/>
        <v>24</v>
      </c>
      <c r="B48" s="61"/>
      <c r="C48" s="61" t="s">
        <v>28</v>
      </c>
      <c r="D48" s="62">
        <f t="shared" ca="1" si="5"/>
        <v>44703</v>
      </c>
      <c r="E48" s="63">
        <f t="shared" si="2"/>
        <v>38939.792552083331</v>
      </c>
      <c r="F48" s="63">
        <f t="shared" si="3"/>
        <v>1738.3835960751487</v>
      </c>
      <c r="G48" s="64">
        <f t="shared" si="0"/>
        <v>40678.176148158476</v>
      </c>
      <c r="H48" s="65">
        <f t="shared" si="4"/>
        <v>6484101.278016462</v>
      </c>
    </row>
    <row r="49" spans="1:8">
      <c r="A49" s="61">
        <f t="shared" si="1"/>
        <v>25</v>
      </c>
      <c r="B49" s="61"/>
      <c r="C49" s="61" t="s">
        <v>29</v>
      </c>
      <c r="D49" s="62">
        <f t="shared" ca="1" si="5"/>
        <v>44734</v>
      </c>
      <c r="E49" s="63">
        <f t="shared" si="2"/>
        <v>38939.792552083331</v>
      </c>
      <c r="F49" s="63">
        <f t="shared" si="3"/>
        <v>1738.3835960751487</v>
      </c>
      <c r="G49" s="64">
        <f t="shared" si="0"/>
        <v>40678.176148158476</v>
      </c>
      <c r="H49" s="65">
        <f t="shared" si="4"/>
        <v>6443423.1018683035</v>
      </c>
    </row>
    <row r="50" spans="1:8">
      <c r="A50" s="61">
        <f t="shared" si="1"/>
        <v>26</v>
      </c>
      <c r="B50" s="61"/>
      <c r="C50" s="61" t="s">
        <v>40</v>
      </c>
      <c r="D50" s="62">
        <f t="shared" ca="1" si="5"/>
        <v>44764</v>
      </c>
      <c r="E50" s="63">
        <f t="shared" si="2"/>
        <v>38939.792552083331</v>
      </c>
      <c r="F50" s="63">
        <f t="shared" si="3"/>
        <v>1738.3835960751487</v>
      </c>
      <c r="G50" s="64">
        <f t="shared" si="0"/>
        <v>40678.176148158476</v>
      </c>
      <c r="H50" s="65">
        <f t="shared" si="4"/>
        <v>6402744.925720145</v>
      </c>
    </row>
    <row r="51" spans="1:8">
      <c r="A51" s="61">
        <f t="shared" si="1"/>
        <v>27</v>
      </c>
      <c r="B51" s="61"/>
      <c r="C51" s="61" t="s">
        <v>41</v>
      </c>
      <c r="D51" s="62">
        <f t="shared" ca="1" si="5"/>
        <v>44795</v>
      </c>
      <c r="E51" s="63">
        <f t="shared" si="2"/>
        <v>38939.792552083331</v>
      </c>
      <c r="F51" s="63">
        <f t="shared" si="3"/>
        <v>1738.3835960751487</v>
      </c>
      <c r="G51" s="64">
        <f t="shared" si="0"/>
        <v>40678.176148158476</v>
      </c>
      <c r="H51" s="65">
        <f t="shared" si="4"/>
        <v>6362066.7495719865</v>
      </c>
    </row>
    <row r="52" spans="1:8">
      <c r="A52" s="61">
        <f t="shared" si="1"/>
        <v>28</v>
      </c>
      <c r="B52" s="61"/>
      <c r="C52" s="61" t="s">
        <v>42</v>
      </c>
      <c r="D52" s="62">
        <f t="shared" ca="1" si="5"/>
        <v>44826</v>
      </c>
      <c r="E52" s="63">
        <f t="shared" si="2"/>
        <v>38939.792552083331</v>
      </c>
      <c r="F52" s="63">
        <f t="shared" si="3"/>
        <v>1738.3835960751487</v>
      </c>
      <c r="G52" s="64">
        <f t="shared" si="0"/>
        <v>40678.176148158476</v>
      </c>
      <c r="H52" s="65">
        <f t="shared" si="4"/>
        <v>6321388.573423828</v>
      </c>
    </row>
    <row r="53" spans="1:8">
      <c r="A53" s="61">
        <f t="shared" si="1"/>
        <v>29</v>
      </c>
      <c r="B53" s="61"/>
      <c r="C53" s="61" t="s">
        <v>43</v>
      </c>
      <c r="D53" s="62">
        <f t="shared" ca="1" si="5"/>
        <v>44856</v>
      </c>
      <c r="E53" s="63">
        <f t="shared" si="2"/>
        <v>38939.792552083331</v>
      </c>
      <c r="F53" s="63">
        <f t="shared" si="3"/>
        <v>1738.3835960751487</v>
      </c>
      <c r="G53" s="64">
        <f t="shared" si="0"/>
        <v>40678.176148158476</v>
      </c>
      <c r="H53" s="65">
        <f t="shared" si="4"/>
        <v>6280710.3972756695</v>
      </c>
    </row>
    <row r="54" spans="1:8">
      <c r="A54" s="61">
        <f t="shared" si="1"/>
        <v>30</v>
      </c>
      <c r="B54" s="61"/>
      <c r="C54" s="61" t="s">
        <v>44</v>
      </c>
      <c r="D54" s="62">
        <f t="shared" ca="1" si="5"/>
        <v>44887</v>
      </c>
      <c r="E54" s="63">
        <f t="shared" si="2"/>
        <v>38939.792552083331</v>
      </c>
      <c r="F54" s="63">
        <f t="shared" si="3"/>
        <v>1738.3835960751487</v>
      </c>
      <c r="G54" s="64">
        <f t="shared" si="0"/>
        <v>40678.176148158476</v>
      </c>
      <c r="H54" s="65">
        <f t="shared" si="4"/>
        <v>6240032.221127511</v>
      </c>
    </row>
    <row r="55" spans="1:8">
      <c r="A55" s="61">
        <f t="shared" si="1"/>
        <v>31</v>
      </c>
      <c r="B55" s="61"/>
      <c r="C55" s="61" t="s">
        <v>45</v>
      </c>
      <c r="D55" s="62">
        <f t="shared" ca="1" si="5"/>
        <v>44917</v>
      </c>
      <c r="E55" s="63">
        <f t="shared" si="2"/>
        <v>38939.792552083331</v>
      </c>
      <c r="F55" s="63">
        <f t="shared" si="3"/>
        <v>1738.3835960751487</v>
      </c>
      <c r="G55" s="64">
        <f t="shared" si="0"/>
        <v>40678.176148158476</v>
      </c>
      <c r="H55" s="65">
        <f t="shared" si="4"/>
        <v>6199354.0449793525</v>
      </c>
    </row>
    <row r="56" spans="1:8">
      <c r="A56" s="61">
        <f t="shared" si="1"/>
        <v>32</v>
      </c>
      <c r="B56" s="61"/>
      <c r="C56" s="61" t="s">
        <v>59</v>
      </c>
      <c r="D56" s="62">
        <f t="shared" ca="1" si="5"/>
        <v>44948</v>
      </c>
      <c r="E56" s="63">
        <f t="shared" si="2"/>
        <v>38939.792552083331</v>
      </c>
      <c r="F56" s="63">
        <f t="shared" si="3"/>
        <v>1738.3835960751487</v>
      </c>
      <c r="G56" s="64">
        <f t="shared" si="0"/>
        <v>40678.176148158476</v>
      </c>
      <c r="H56" s="65">
        <f t="shared" si="4"/>
        <v>6158675.868831194</v>
      </c>
    </row>
    <row r="57" spans="1:8">
      <c r="A57" s="61">
        <f t="shared" si="1"/>
        <v>33</v>
      </c>
      <c r="B57" s="61"/>
      <c r="C57" s="61" t="s">
        <v>60</v>
      </c>
      <c r="D57" s="62">
        <f t="shared" ca="1" si="5"/>
        <v>44979</v>
      </c>
      <c r="E57" s="63">
        <f t="shared" si="2"/>
        <v>38939.792552083331</v>
      </c>
      <c r="F57" s="63">
        <f t="shared" si="3"/>
        <v>1738.3835960751487</v>
      </c>
      <c r="G57" s="64">
        <f t="shared" si="0"/>
        <v>40678.176148158476</v>
      </c>
      <c r="H57" s="65">
        <f t="shared" si="4"/>
        <v>6117997.6926830355</v>
      </c>
    </row>
    <row r="58" spans="1:8">
      <c r="A58" s="61">
        <f t="shared" si="1"/>
        <v>34</v>
      </c>
      <c r="B58" s="61"/>
      <c r="C58" s="61" t="s">
        <v>61</v>
      </c>
      <c r="D58" s="62">
        <f t="shared" ca="1" si="5"/>
        <v>45007</v>
      </c>
      <c r="E58" s="63">
        <f t="shared" si="2"/>
        <v>38939.792552083331</v>
      </c>
      <c r="F58" s="63">
        <f t="shared" si="3"/>
        <v>1738.3835960751487</v>
      </c>
      <c r="G58" s="64">
        <f t="shared" si="0"/>
        <v>40678.176148158476</v>
      </c>
      <c r="H58" s="65">
        <f t="shared" si="4"/>
        <v>6077319.516534877</v>
      </c>
    </row>
    <row r="59" spans="1:8">
      <c r="A59" s="61">
        <f t="shared" si="1"/>
        <v>35</v>
      </c>
      <c r="B59" s="61"/>
      <c r="C59" s="61" t="s">
        <v>62</v>
      </c>
      <c r="D59" s="62">
        <f t="shared" ca="1" si="5"/>
        <v>45038</v>
      </c>
      <c r="E59" s="63">
        <f t="shared" si="2"/>
        <v>38939.792552083331</v>
      </c>
      <c r="F59" s="63">
        <f t="shared" si="3"/>
        <v>1738.3835960751487</v>
      </c>
      <c r="G59" s="64">
        <f t="shared" si="0"/>
        <v>40678.176148158476</v>
      </c>
      <c r="H59" s="65">
        <f t="shared" si="4"/>
        <v>6036641.3403867185</v>
      </c>
    </row>
    <row r="60" spans="1:8">
      <c r="A60" s="61">
        <f t="shared" si="1"/>
        <v>36</v>
      </c>
      <c r="B60" s="61"/>
      <c r="C60" s="61" t="s">
        <v>63</v>
      </c>
      <c r="D60" s="62">
        <f t="shared" ca="1" si="5"/>
        <v>45068</v>
      </c>
      <c r="E60" s="63">
        <f t="shared" si="2"/>
        <v>38939.792552083331</v>
      </c>
      <c r="F60" s="63">
        <f t="shared" si="3"/>
        <v>1738.3835960751487</v>
      </c>
      <c r="G60" s="64">
        <f t="shared" si="0"/>
        <v>40678.176148158476</v>
      </c>
      <c r="H60" s="65">
        <f t="shared" si="4"/>
        <v>5995963.16423856</v>
      </c>
    </row>
    <row r="61" spans="1:8">
      <c r="A61" s="61">
        <f t="shared" si="1"/>
        <v>37</v>
      </c>
      <c r="B61" s="61"/>
      <c r="C61" s="61" t="s">
        <v>64</v>
      </c>
      <c r="D61" s="62">
        <f t="shared" ca="1" si="5"/>
        <v>45099</v>
      </c>
      <c r="E61" s="63">
        <f t="shared" si="2"/>
        <v>38939.792552083331</v>
      </c>
      <c r="F61" s="63">
        <f t="shared" si="3"/>
        <v>1738.3835960751487</v>
      </c>
      <c r="G61" s="64">
        <f t="shared" si="0"/>
        <v>40678.176148158476</v>
      </c>
      <c r="H61" s="65">
        <f t="shared" si="4"/>
        <v>5955284.9880904015</v>
      </c>
    </row>
    <row r="62" spans="1:8">
      <c r="A62" s="61">
        <f t="shared" si="1"/>
        <v>38</v>
      </c>
      <c r="B62" s="61"/>
      <c r="C62" s="61" t="s">
        <v>65</v>
      </c>
      <c r="D62" s="62">
        <f t="shared" ca="1" si="5"/>
        <v>45129</v>
      </c>
      <c r="E62" s="63">
        <f t="shared" si="2"/>
        <v>38939.792552083331</v>
      </c>
      <c r="F62" s="63">
        <f t="shared" si="3"/>
        <v>1738.3835960751487</v>
      </c>
      <c r="G62" s="64">
        <f t="shared" si="0"/>
        <v>40678.176148158476</v>
      </c>
      <c r="H62" s="65">
        <f t="shared" si="4"/>
        <v>5914606.811942243</v>
      </c>
    </row>
    <row r="63" spans="1:8">
      <c r="A63" s="61">
        <f t="shared" si="1"/>
        <v>39</v>
      </c>
      <c r="B63" s="61"/>
      <c r="C63" s="61" t="s">
        <v>66</v>
      </c>
      <c r="D63" s="62">
        <f t="shared" ca="1" si="5"/>
        <v>45160</v>
      </c>
      <c r="E63" s="63">
        <f t="shared" si="2"/>
        <v>38939.792552083331</v>
      </c>
      <c r="F63" s="63">
        <f t="shared" si="3"/>
        <v>1738.3835960751487</v>
      </c>
      <c r="G63" s="64">
        <f t="shared" si="0"/>
        <v>40678.176148158476</v>
      </c>
      <c r="H63" s="65">
        <f t="shared" si="4"/>
        <v>5873928.6357940845</v>
      </c>
    </row>
    <row r="64" spans="1:8">
      <c r="A64" s="61">
        <f t="shared" si="1"/>
        <v>40</v>
      </c>
      <c r="B64" s="61"/>
      <c r="C64" s="61" t="s">
        <v>67</v>
      </c>
      <c r="D64" s="62">
        <f t="shared" ca="1" si="5"/>
        <v>45191</v>
      </c>
      <c r="E64" s="63">
        <f t="shared" si="2"/>
        <v>38939.792552083331</v>
      </c>
      <c r="F64" s="63">
        <f t="shared" si="3"/>
        <v>1738.3835960751487</v>
      </c>
      <c r="G64" s="64">
        <f t="shared" si="0"/>
        <v>40678.176148158476</v>
      </c>
      <c r="H64" s="65">
        <f t="shared" si="4"/>
        <v>5833250.459645926</v>
      </c>
    </row>
    <row r="65" spans="1:8">
      <c r="A65" s="61">
        <f t="shared" si="1"/>
        <v>41</v>
      </c>
      <c r="B65" s="61"/>
      <c r="C65" s="61" t="s">
        <v>68</v>
      </c>
      <c r="D65" s="62">
        <f t="shared" ca="1" si="5"/>
        <v>45221</v>
      </c>
      <c r="E65" s="63">
        <f t="shared" si="2"/>
        <v>38939.792552083331</v>
      </c>
      <c r="F65" s="63">
        <f t="shared" si="3"/>
        <v>1738.3835960751487</v>
      </c>
      <c r="G65" s="64">
        <f t="shared" si="0"/>
        <v>40678.176148158476</v>
      </c>
      <c r="H65" s="65">
        <f t="shared" si="4"/>
        <v>5792572.2834977675</v>
      </c>
    </row>
    <row r="66" spans="1:8">
      <c r="A66" s="61">
        <f t="shared" si="1"/>
        <v>42</v>
      </c>
      <c r="B66" s="61"/>
      <c r="C66" s="61" t="s">
        <v>69</v>
      </c>
      <c r="D66" s="62">
        <f t="shared" ca="1" si="5"/>
        <v>45252</v>
      </c>
      <c r="E66" s="63">
        <f t="shared" si="2"/>
        <v>38939.792552083331</v>
      </c>
      <c r="F66" s="63">
        <f t="shared" si="3"/>
        <v>1738.3835960751487</v>
      </c>
      <c r="G66" s="64">
        <f t="shared" si="0"/>
        <v>40678.176148158476</v>
      </c>
      <c r="H66" s="65">
        <f t="shared" si="4"/>
        <v>5751894.107349609</v>
      </c>
    </row>
    <row r="67" spans="1:8">
      <c r="A67" s="61">
        <f t="shared" si="1"/>
        <v>43</v>
      </c>
      <c r="B67" s="61"/>
      <c r="C67" s="61" t="s">
        <v>70</v>
      </c>
      <c r="D67" s="62">
        <f t="shared" ca="1" si="5"/>
        <v>45282</v>
      </c>
      <c r="E67" s="63">
        <f t="shared" si="2"/>
        <v>38939.792552083331</v>
      </c>
      <c r="F67" s="63">
        <f t="shared" si="3"/>
        <v>1738.3835960751487</v>
      </c>
      <c r="G67" s="64">
        <f t="shared" si="0"/>
        <v>40678.176148158476</v>
      </c>
      <c r="H67" s="65">
        <f t="shared" si="4"/>
        <v>5711215.9312014505</v>
      </c>
    </row>
    <row r="68" spans="1:8">
      <c r="A68" s="61">
        <f t="shared" si="1"/>
        <v>44</v>
      </c>
      <c r="B68" s="61"/>
      <c r="C68" s="61" t="s">
        <v>71</v>
      </c>
      <c r="D68" s="62">
        <f t="shared" ca="1" si="5"/>
        <v>45313</v>
      </c>
      <c r="E68" s="63">
        <f t="shared" si="2"/>
        <v>38939.792552083331</v>
      </c>
      <c r="F68" s="63">
        <f t="shared" si="3"/>
        <v>1738.3835960751487</v>
      </c>
      <c r="G68" s="64">
        <f t="shared" si="0"/>
        <v>40678.176148158476</v>
      </c>
      <c r="H68" s="65">
        <f t="shared" si="4"/>
        <v>5670537.755053292</v>
      </c>
    </row>
    <row r="69" spans="1:8">
      <c r="A69" s="61">
        <f t="shared" si="1"/>
        <v>45</v>
      </c>
      <c r="B69" s="61"/>
      <c r="C69" s="61" t="s">
        <v>72</v>
      </c>
      <c r="D69" s="62">
        <f t="shared" ca="1" si="5"/>
        <v>45344</v>
      </c>
      <c r="E69" s="63">
        <f t="shared" si="2"/>
        <v>38939.792552083331</v>
      </c>
      <c r="F69" s="63">
        <f t="shared" si="3"/>
        <v>1738.3835960751487</v>
      </c>
      <c r="G69" s="64">
        <f t="shared" si="0"/>
        <v>40678.176148158476</v>
      </c>
      <c r="H69" s="65">
        <f t="shared" si="4"/>
        <v>5629859.5789051335</v>
      </c>
    </row>
    <row r="70" spans="1:8">
      <c r="A70" s="61">
        <f t="shared" si="1"/>
        <v>46</v>
      </c>
      <c r="B70" s="61"/>
      <c r="C70" s="61" t="s">
        <v>73</v>
      </c>
      <c r="D70" s="62">
        <f t="shared" ca="1" si="5"/>
        <v>45373</v>
      </c>
      <c r="E70" s="63">
        <f t="shared" si="2"/>
        <v>38939.792552083331</v>
      </c>
      <c r="F70" s="63">
        <f t="shared" si="3"/>
        <v>1738.3835960751487</v>
      </c>
      <c r="G70" s="64">
        <f t="shared" si="0"/>
        <v>40678.176148158476</v>
      </c>
      <c r="H70" s="65">
        <f t="shared" si="4"/>
        <v>5589181.402756975</v>
      </c>
    </row>
    <row r="71" spans="1:8">
      <c r="A71" s="61">
        <f t="shared" si="1"/>
        <v>47</v>
      </c>
      <c r="B71" s="61"/>
      <c r="C71" s="61" t="s">
        <v>74</v>
      </c>
      <c r="D71" s="62">
        <f t="shared" ca="1" si="5"/>
        <v>45404</v>
      </c>
      <c r="E71" s="63">
        <f t="shared" si="2"/>
        <v>38939.792552083331</v>
      </c>
      <c r="F71" s="63">
        <f t="shared" si="3"/>
        <v>1738.3835960751487</v>
      </c>
      <c r="G71" s="64">
        <f t="shared" si="0"/>
        <v>40678.176148158476</v>
      </c>
      <c r="H71" s="65">
        <f t="shared" si="4"/>
        <v>5548503.2266088165</v>
      </c>
    </row>
    <row r="72" spans="1:8">
      <c r="A72" s="61">
        <f t="shared" si="1"/>
        <v>48</v>
      </c>
      <c r="B72" s="61"/>
      <c r="C72" s="61" t="s">
        <v>75</v>
      </c>
      <c r="D72" s="62">
        <f t="shared" ca="1" si="5"/>
        <v>45434</v>
      </c>
      <c r="E72" s="63">
        <f t="shared" si="2"/>
        <v>38939.792552083331</v>
      </c>
      <c r="F72" s="63">
        <f t="shared" si="3"/>
        <v>1738.3835960751487</v>
      </c>
      <c r="G72" s="64">
        <f t="shared" si="0"/>
        <v>40678.176148158476</v>
      </c>
      <c r="H72" s="65">
        <f t="shared" si="4"/>
        <v>5507825.050460658</v>
      </c>
    </row>
    <row r="73" spans="1:8">
      <c r="A73" s="61">
        <f t="shared" si="1"/>
        <v>49</v>
      </c>
      <c r="B73" s="61"/>
      <c r="C73" s="61" t="s">
        <v>76</v>
      </c>
      <c r="D73" s="62">
        <f t="shared" ca="1" si="5"/>
        <v>45465</v>
      </c>
      <c r="E73" s="63">
        <f t="shared" si="2"/>
        <v>38939.792552083331</v>
      </c>
      <c r="F73" s="63">
        <f t="shared" si="3"/>
        <v>1738.3835960751487</v>
      </c>
      <c r="G73" s="64">
        <f t="shared" si="0"/>
        <v>40678.176148158476</v>
      </c>
      <c r="H73" s="65">
        <f t="shared" si="4"/>
        <v>5467146.8743124995</v>
      </c>
    </row>
    <row r="74" spans="1:8">
      <c r="A74" s="61">
        <f t="shared" si="1"/>
        <v>50</v>
      </c>
      <c r="B74" s="66">
        <v>0.7</v>
      </c>
      <c r="C74" s="61" t="s">
        <v>105</v>
      </c>
      <c r="D74" s="62">
        <f t="shared" ca="1" si="5"/>
        <v>45495</v>
      </c>
      <c r="E74" s="63">
        <f>$D$17*70%</f>
        <v>5233508.1189999999</v>
      </c>
      <c r="F74" s="63">
        <f>$D$18*70%</f>
        <v>233638.75531249997</v>
      </c>
      <c r="G74" s="64">
        <f t="shared" si="0"/>
        <v>5467146.8743124995</v>
      </c>
      <c r="H74" s="65">
        <f t="shared" si="4"/>
        <v>0</v>
      </c>
    </row>
    <row r="75" spans="1:8">
      <c r="A75" s="166" t="s">
        <v>15</v>
      </c>
      <c r="B75" s="166"/>
      <c r="C75" s="166"/>
      <c r="D75" s="166"/>
      <c r="E75" s="67">
        <f>SUM(E23:E74)</f>
        <v>7476440.1699999981</v>
      </c>
      <c r="F75" s="67">
        <f t="shared" ref="F75:G75" si="6">SUM(F23:F74)</f>
        <v>333769.65044642845</v>
      </c>
      <c r="G75" s="67">
        <f t="shared" si="6"/>
        <v>7810209.8204464288</v>
      </c>
      <c r="H75" s="68"/>
    </row>
    <row r="76" spans="1:8" s="14" customFormat="1">
      <c r="C76" s="28"/>
      <c r="D76" s="29"/>
      <c r="E76" s="30"/>
      <c r="F76" s="30"/>
      <c r="G76" s="30"/>
    </row>
    <row r="77" spans="1:8" s="14" customFormat="1">
      <c r="A77" s="162" t="s">
        <v>136</v>
      </c>
      <c r="B77" s="162"/>
      <c r="C77" s="162"/>
      <c r="D77" s="162"/>
      <c r="E77" s="162"/>
      <c r="F77" s="162"/>
      <c r="G77" s="162"/>
      <c r="H77" s="162"/>
    </row>
    <row r="78" spans="1:8" s="14" customFormat="1" ht="29.25" customHeight="1">
      <c r="A78" s="164" t="s">
        <v>175</v>
      </c>
      <c r="B78" s="164"/>
      <c r="C78" s="164"/>
      <c r="D78" s="164"/>
      <c r="E78" s="164"/>
      <c r="F78" s="164"/>
      <c r="G78" s="164"/>
      <c r="H78" s="164"/>
    </row>
    <row r="79" spans="1:8" s="14" customFormat="1" ht="16.5" customHeight="1">
      <c r="A79" s="162" t="s">
        <v>176</v>
      </c>
      <c r="B79" s="162"/>
      <c r="C79" s="162"/>
      <c r="D79" s="162"/>
      <c r="E79" s="162"/>
      <c r="F79" s="162"/>
      <c r="G79" s="162"/>
      <c r="H79" s="162"/>
    </row>
    <row r="80" spans="1:8" s="14" customFormat="1" ht="16.5" customHeight="1">
      <c r="A80" s="162" t="s">
        <v>177</v>
      </c>
      <c r="B80" s="162"/>
      <c r="C80" s="162"/>
      <c r="D80" s="162"/>
      <c r="E80" s="162"/>
      <c r="F80" s="162"/>
      <c r="G80" s="162"/>
      <c r="H80" s="162"/>
    </row>
    <row r="81" spans="1:8" s="14" customFormat="1" ht="16.5" customHeight="1">
      <c r="A81" s="162" t="s">
        <v>178</v>
      </c>
      <c r="B81" s="162"/>
      <c r="C81" s="162"/>
      <c r="D81" s="162"/>
      <c r="E81" s="162"/>
      <c r="F81" s="162"/>
      <c r="G81" s="162"/>
      <c r="H81" s="162"/>
    </row>
    <row r="82" spans="1:8" s="14" customFormat="1" ht="107.25" customHeight="1">
      <c r="A82" s="162" t="s">
        <v>179</v>
      </c>
      <c r="B82" s="162"/>
      <c r="C82" s="162"/>
      <c r="D82" s="162"/>
      <c r="E82" s="162"/>
      <c r="F82" s="162"/>
      <c r="G82" s="162"/>
      <c r="H82" s="162"/>
    </row>
    <row r="83" spans="1:8" s="14" customFormat="1" ht="42" customHeight="1">
      <c r="A83" s="162" t="s">
        <v>180</v>
      </c>
      <c r="B83" s="162"/>
      <c r="C83" s="162"/>
      <c r="D83" s="162"/>
      <c r="E83" s="162"/>
      <c r="F83" s="162"/>
      <c r="G83" s="162"/>
      <c r="H83" s="162"/>
    </row>
    <row r="84" spans="1:8" s="14" customFormat="1" ht="17.25" customHeight="1">
      <c r="A84" s="162" t="s">
        <v>181</v>
      </c>
      <c r="B84" s="162"/>
      <c r="C84" s="162"/>
      <c r="D84" s="162"/>
      <c r="E84" s="162"/>
      <c r="F84" s="162"/>
      <c r="G84" s="162"/>
      <c r="H84" s="162"/>
    </row>
    <row r="85" spans="1:8" s="14" customFormat="1">
      <c r="A85" s="162"/>
      <c r="B85" s="162"/>
      <c r="C85" s="162"/>
      <c r="D85" s="162"/>
      <c r="E85" s="162"/>
      <c r="F85" s="162"/>
      <c r="G85" s="162"/>
      <c r="H85" s="162"/>
    </row>
    <row r="86" spans="1:8" s="14" customFormat="1">
      <c r="A86" s="14" t="s">
        <v>16</v>
      </c>
      <c r="D86" s="31"/>
      <c r="G86" s="15"/>
    </row>
    <row r="87" spans="1:8" s="14" customFormat="1">
      <c r="D87" s="31"/>
      <c r="G87" s="15"/>
    </row>
    <row r="88" spans="1:8" s="14" customFormat="1" ht="15" customHeight="1">
      <c r="A88" s="32"/>
      <c r="B88" s="32"/>
      <c r="C88" s="32"/>
      <c r="D88" s="31"/>
      <c r="E88" s="32"/>
      <c r="F88" s="32"/>
      <c r="G88" s="33"/>
    </row>
    <row r="89" spans="1:8" s="14" customFormat="1">
      <c r="A89" s="179" t="s">
        <v>163</v>
      </c>
      <c r="B89" s="179"/>
      <c r="C89" s="179"/>
      <c r="D89" s="31"/>
      <c r="E89" s="179" t="s">
        <v>17</v>
      </c>
      <c r="F89" s="179"/>
      <c r="G89" s="179"/>
    </row>
    <row r="90" spans="1:8"/>
  </sheetData>
  <sheetProtection password="CAF1" sheet="1" objects="1" scenarios="1" selectLockedCells="1"/>
  <mergeCells count="20">
    <mergeCell ref="A83:H83"/>
    <mergeCell ref="A84:H84"/>
    <mergeCell ref="A85:H85"/>
    <mergeCell ref="A89:C89"/>
    <mergeCell ref="E89:G89"/>
    <mergeCell ref="A81:H81"/>
    <mergeCell ref="A82:H82"/>
    <mergeCell ref="H1:H2"/>
    <mergeCell ref="C5:H5"/>
    <mergeCell ref="C6:H6"/>
    <mergeCell ref="C7:H7"/>
    <mergeCell ref="C8:H8"/>
    <mergeCell ref="C9:H9"/>
    <mergeCell ref="A77:H77"/>
    <mergeCell ref="A78:H78"/>
    <mergeCell ref="A79:H79"/>
    <mergeCell ref="A80:H80"/>
    <mergeCell ref="C10:H10"/>
    <mergeCell ref="A22:G22"/>
    <mergeCell ref="A75:D75"/>
  </mergeCells>
  <hyperlinks>
    <hyperlink ref="C1" location="'DATA SHEET'!A1" display="HIGHLANDS PRIME, INC." xr:uid="{00000000-0004-0000-0A00-000000000000}"/>
    <hyperlink ref="J3" location="'DATA SHEET'!A1" display="Return to Data Sheet" xr:uid="{00000000-0004-0000-0A00-000001000000}"/>
  </hyperlinks>
  <printOptions horizontalCentered="1"/>
  <pageMargins left="0.7" right="0.7" top="0.75" bottom="0.5" header="0.3" footer="0.3"/>
  <pageSetup scale="80" orientation="portrait"/>
  <headerFooter>
    <oddFooter>&amp;L&amp;8A project of HIGHLANDS PRIME, INC. Horizon Terraces HLURB License To Sell No. 032272&amp;R&amp;8Page &amp;P of &amp;N</oddFooter>
  </headerFooter>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389E8F"/>
  </sheetPr>
  <dimension ref="A1:L99"/>
  <sheetViews>
    <sheetView showGridLines="0" topLeftCell="A3" workbookViewId="0">
      <selection activeCell="D15" sqref="D15"/>
    </sheetView>
  </sheetViews>
  <sheetFormatPr baseColWidth="10" defaultColWidth="0" defaultRowHeight="15" zeroHeight="1"/>
  <cols>
    <col min="1" max="1" width="12.33203125" style="13" customWidth="1"/>
    <col min="2" max="2" width="10.5" style="13" customWidth="1"/>
    <col min="3" max="3" width="24.1640625" style="13" customWidth="1"/>
    <col min="4" max="4" width="13.5" style="35" bestFit="1" customWidth="1"/>
    <col min="5" max="5" width="13.5" style="13" bestFit="1" customWidth="1"/>
    <col min="6" max="6" width="13.6640625" style="13" bestFit="1" customWidth="1"/>
    <col min="7" max="7" width="13.5" style="13" bestFit="1" customWidth="1"/>
    <col min="8" max="8" width="16.5" style="13" bestFit="1" customWidth="1"/>
    <col min="9" max="12" width="9.1640625" style="70" customWidth="1"/>
    <col min="13" max="16384" width="9.1640625" style="70" hidden="1"/>
  </cols>
  <sheetData>
    <row r="1" spans="1:10" ht="15" customHeight="1">
      <c r="C1" s="34" t="s">
        <v>33</v>
      </c>
      <c r="H1" s="163" t="s">
        <v>50</v>
      </c>
    </row>
    <row r="2" spans="1:10" ht="15" customHeight="1">
      <c r="C2" s="36" t="s">
        <v>182</v>
      </c>
      <c r="H2" s="163"/>
    </row>
    <row r="3" spans="1:10">
      <c r="C3" s="36" t="s">
        <v>34</v>
      </c>
      <c r="J3" s="69" t="s">
        <v>111</v>
      </c>
    </row>
    <row r="4" spans="1:10"/>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row>
    <row r="9" spans="1:10">
      <c r="A9" s="41" t="s">
        <v>167</v>
      </c>
      <c r="B9" s="40"/>
      <c r="C9" s="175">
        <f>'DATA SHEET'!C13</f>
        <v>8473400</v>
      </c>
      <c r="D9" s="175"/>
      <c r="E9" s="175"/>
      <c r="F9" s="175"/>
      <c r="G9" s="175"/>
      <c r="H9" s="176"/>
    </row>
    <row r="10" spans="1:10">
      <c r="A10" s="42" t="s">
        <v>31</v>
      </c>
      <c r="B10" s="43"/>
      <c r="C10" s="177" t="str">
        <f>'DATA SHEET'!C19</f>
        <v>100% over 60 months</v>
      </c>
      <c r="D10" s="177"/>
      <c r="E10" s="177"/>
      <c r="F10" s="177"/>
      <c r="G10" s="177"/>
      <c r="H10" s="178"/>
    </row>
    <row r="11" spans="1:10"/>
    <row r="12" spans="1:10">
      <c r="A12" s="36" t="s">
        <v>46</v>
      </c>
      <c r="B12" s="36"/>
    </row>
    <row r="13" spans="1:10" s="13" customFormat="1" ht="14">
      <c r="A13" s="14" t="s">
        <v>170</v>
      </c>
      <c r="D13" s="44">
        <f>(C9-650000)</f>
        <v>7823400</v>
      </c>
      <c r="E13" s="45" t="str">
        <f>LEFT(C8,9)</f>
        <v>1-Bedroom</v>
      </c>
      <c r="G13" s="36"/>
    </row>
    <row r="14" spans="1:10" s="13" customFormat="1" ht="14">
      <c r="A14" s="46" t="s">
        <v>191</v>
      </c>
      <c r="B14" s="47"/>
      <c r="C14" s="101">
        <v>0.01</v>
      </c>
      <c r="D14" s="48">
        <f>IF(C14&lt;=1%,(D13*C14),"BEYOND MAX DISC.")</f>
        <v>78234</v>
      </c>
      <c r="E14" s="35"/>
      <c r="G14" s="36"/>
    </row>
    <row r="15" spans="1:10" s="13" customFormat="1" ht="14">
      <c r="A15" s="46" t="s">
        <v>192</v>
      </c>
      <c r="B15" s="47"/>
      <c r="C15" s="101"/>
      <c r="D15" s="143">
        <f>VLOOKUP('DATA SHEET'!C10,'WESTCHASE PL'!$D$11:$H$33,5,0)</f>
        <v>230000</v>
      </c>
      <c r="E15" s="35"/>
      <c r="G15" s="36"/>
    </row>
    <row r="16" spans="1:10" s="13" customFormat="1" ht="14">
      <c r="A16" s="52" t="s">
        <v>174</v>
      </c>
      <c r="B16" s="15"/>
      <c r="C16" s="15"/>
      <c r="D16" s="53">
        <f>+D13-SUM(D14:D15)</f>
        <v>7515166</v>
      </c>
      <c r="E16" s="50"/>
      <c r="G16" s="36"/>
    </row>
    <row r="17" spans="1:8" s="13" customFormat="1" ht="14">
      <c r="A17" s="54" t="s">
        <v>154</v>
      </c>
      <c r="B17" s="54"/>
      <c r="C17" s="16">
        <v>0.05</v>
      </c>
      <c r="D17" s="55">
        <f>D16/1.12*C17</f>
        <v>335498.4821428571</v>
      </c>
      <c r="E17" s="50"/>
      <c r="G17" s="36"/>
    </row>
    <row r="18" spans="1:8" s="13" customFormat="1" thickBot="1">
      <c r="A18" s="15" t="s">
        <v>47</v>
      </c>
      <c r="B18" s="15"/>
      <c r="C18" s="15"/>
      <c r="D18" s="56">
        <f>+SUM(D16:D17)</f>
        <v>7850664.4821428573</v>
      </c>
      <c r="E18" s="35"/>
      <c r="G18" s="36"/>
    </row>
    <row r="19" spans="1:8" ht="7.5" customHeight="1" thickTop="1"/>
    <row r="20" spans="1:8">
      <c r="A20" s="57" t="s">
        <v>32</v>
      </c>
      <c r="B20" s="57" t="s">
        <v>155</v>
      </c>
      <c r="C20" s="57" t="s">
        <v>2</v>
      </c>
      <c r="D20" s="57" t="s">
        <v>156</v>
      </c>
      <c r="E20" s="57" t="s">
        <v>173</v>
      </c>
      <c r="F20" s="57" t="s">
        <v>158</v>
      </c>
      <c r="G20" s="59" t="s">
        <v>159</v>
      </c>
      <c r="H20" s="57" t="s">
        <v>160</v>
      </c>
    </row>
    <row r="21" spans="1:8">
      <c r="A21" s="165" t="s">
        <v>162</v>
      </c>
      <c r="B21" s="165"/>
      <c r="C21" s="165"/>
      <c r="D21" s="165"/>
      <c r="E21" s="165"/>
      <c r="F21" s="165"/>
      <c r="G21" s="165"/>
      <c r="H21" s="60">
        <f>+D18</f>
        <v>7850664.4821428573</v>
      </c>
    </row>
    <row r="22" spans="1:8">
      <c r="A22" s="61">
        <v>0</v>
      </c>
      <c r="B22" s="61"/>
      <c r="C22" s="61" t="s">
        <v>36</v>
      </c>
      <c r="D22" s="62">
        <f ca="1">'DATA SHEET'!C8</f>
        <v>43973</v>
      </c>
      <c r="E22" s="63">
        <f>IF(E13="1-Bedroom",50000,100000)</f>
        <v>50000</v>
      </c>
      <c r="F22" s="63"/>
      <c r="G22" s="63">
        <f>+SUM(E22:F22)</f>
        <v>50000</v>
      </c>
      <c r="H22" s="65">
        <f>D18-G22</f>
        <v>7800664.4821428573</v>
      </c>
    </row>
    <row r="23" spans="1:8">
      <c r="A23" s="61"/>
      <c r="B23" s="66">
        <v>1</v>
      </c>
      <c r="C23" s="61" t="s">
        <v>164</v>
      </c>
      <c r="D23" s="62"/>
      <c r="E23" s="63"/>
      <c r="F23" s="63"/>
      <c r="G23" s="63"/>
      <c r="H23" s="65"/>
    </row>
    <row r="24" spans="1:8">
      <c r="A24" s="61">
        <v>1</v>
      </c>
      <c r="B24" s="61"/>
      <c r="C24" s="61" t="s">
        <v>3</v>
      </c>
      <c r="D24" s="62">
        <f ca="1">EDATE(D22,1)</f>
        <v>44004</v>
      </c>
      <c r="E24" s="63">
        <f t="shared" ref="E24:E55" si="0">($D$16-$E$22)/60</f>
        <v>124419.43333333333</v>
      </c>
      <c r="F24" s="63">
        <f>($D$17)/60</f>
        <v>5591.6413690476184</v>
      </c>
      <c r="G24" s="63">
        <f>+SUM(E24:F24)</f>
        <v>130011.07470238095</v>
      </c>
      <c r="H24" s="65">
        <f>H22-G24</f>
        <v>7670653.4074404761</v>
      </c>
    </row>
    <row r="25" spans="1:8">
      <c r="A25" s="61">
        <f>+A24+1</f>
        <v>2</v>
      </c>
      <c r="B25" s="61"/>
      <c r="C25" s="61" t="s">
        <v>4</v>
      </c>
      <c r="D25" s="62">
        <f t="shared" ref="D25:D83" ca="1" si="1">EDATE(D24,1)</f>
        <v>44034</v>
      </c>
      <c r="E25" s="63">
        <f t="shared" si="0"/>
        <v>124419.43333333333</v>
      </c>
      <c r="F25" s="63">
        <f t="shared" ref="F25:F83" si="2">($D$17)/60</f>
        <v>5591.6413690476184</v>
      </c>
      <c r="G25" s="63">
        <f t="shared" ref="G25:G83" si="3">+SUM(E25:F25)</f>
        <v>130011.07470238095</v>
      </c>
      <c r="H25" s="65">
        <f t="shared" ref="H25:H83" si="4">H24-G25</f>
        <v>7540642.332738095</v>
      </c>
    </row>
    <row r="26" spans="1:8">
      <c r="A26" s="61">
        <f t="shared" ref="A26:A83" si="5">+A25+1</f>
        <v>3</v>
      </c>
      <c r="B26" s="61"/>
      <c r="C26" s="61" t="s">
        <v>5</v>
      </c>
      <c r="D26" s="62">
        <f t="shared" ca="1" si="1"/>
        <v>44065</v>
      </c>
      <c r="E26" s="63">
        <f t="shared" si="0"/>
        <v>124419.43333333333</v>
      </c>
      <c r="F26" s="63">
        <f t="shared" si="2"/>
        <v>5591.6413690476184</v>
      </c>
      <c r="G26" s="63">
        <f t="shared" si="3"/>
        <v>130011.07470238095</v>
      </c>
      <c r="H26" s="65">
        <f t="shared" si="4"/>
        <v>7410631.2580357138</v>
      </c>
    </row>
    <row r="27" spans="1:8">
      <c r="A27" s="61">
        <f t="shared" si="5"/>
        <v>4</v>
      </c>
      <c r="B27" s="61"/>
      <c r="C27" s="61" t="s">
        <v>6</v>
      </c>
      <c r="D27" s="62">
        <f t="shared" ca="1" si="1"/>
        <v>44096</v>
      </c>
      <c r="E27" s="63">
        <f t="shared" si="0"/>
        <v>124419.43333333333</v>
      </c>
      <c r="F27" s="63">
        <f t="shared" si="2"/>
        <v>5591.6413690476184</v>
      </c>
      <c r="G27" s="63">
        <f t="shared" si="3"/>
        <v>130011.07470238095</v>
      </c>
      <c r="H27" s="65">
        <f t="shared" si="4"/>
        <v>7280620.1833333327</v>
      </c>
    </row>
    <row r="28" spans="1:8">
      <c r="A28" s="61">
        <f t="shared" si="5"/>
        <v>5</v>
      </c>
      <c r="B28" s="61"/>
      <c r="C28" s="61" t="s">
        <v>7</v>
      </c>
      <c r="D28" s="62">
        <f t="shared" ca="1" si="1"/>
        <v>44126</v>
      </c>
      <c r="E28" s="63">
        <f t="shared" si="0"/>
        <v>124419.43333333333</v>
      </c>
      <c r="F28" s="63">
        <f t="shared" si="2"/>
        <v>5591.6413690476184</v>
      </c>
      <c r="G28" s="63">
        <f t="shared" si="3"/>
        <v>130011.07470238095</v>
      </c>
      <c r="H28" s="65">
        <f t="shared" si="4"/>
        <v>7150609.1086309515</v>
      </c>
    </row>
    <row r="29" spans="1:8">
      <c r="A29" s="61">
        <f t="shared" si="5"/>
        <v>6</v>
      </c>
      <c r="B29" s="61"/>
      <c r="C29" s="61" t="s">
        <v>8</v>
      </c>
      <c r="D29" s="62">
        <f t="shared" ca="1" si="1"/>
        <v>44157</v>
      </c>
      <c r="E29" s="63">
        <f t="shared" si="0"/>
        <v>124419.43333333333</v>
      </c>
      <c r="F29" s="63">
        <f t="shared" si="2"/>
        <v>5591.6413690476184</v>
      </c>
      <c r="G29" s="63">
        <f t="shared" si="3"/>
        <v>130011.07470238095</v>
      </c>
      <c r="H29" s="65">
        <f t="shared" si="4"/>
        <v>7020598.0339285703</v>
      </c>
    </row>
    <row r="30" spans="1:8">
      <c r="A30" s="61">
        <f t="shared" si="5"/>
        <v>7</v>
      </c>
      <c r="B30" s="61"/>
      <c r="C30" s="61" t="s">
        <v>9</v>
      </c>
      <c r="D30" s="62">
        <f t="shared" ca="1" si="1"/>
        <v>44187</v>
      </c>
      <c r="E30" s="63">
        <f t="shared" si="0"/>
        <v>124419.43333333333</v>
      </c>
      <c r="F30" s="63">
        <f t="shared" si="2"/>
        <v>5591.6413690476184</v>
      </c>
      <c r="G30" s="63">
        <f t="shared" si="3"/>
        <v>130011.07470238095</v>
      </c>
      <c r="H30" s="65">
        <f t="shared" si="4"/>
        <v>6890586.9592261892</v>
      </c>
    </row>
    <row r="31" spans="1:8">
      <c r="A31" s="61">
        <f t="shared" si="5"/>
        <v>8</v>
      </c>
      <c r="B31" s="61"/>
      <c r="C31" s="61" t="s">
        <v>10</v>
      </c>
      <c r="D31" s="62">
        <f t="shared" ca="1" si="1"/>
        <v>44218</v>
      </c>
      <c r="E31" s="63">
        <f t="shared" si="0"/>
        <v>124419.43333333333</v>
      </c>
      <c r="F31" s="63">
        <f t="shared" si="2"/>
        <v>5591.6413690476184</v>
      </c>
      <c r="G31" s="63">
        <f t="shared" si="3"/>
        <v>130011.07470238095</v>
      </c>
      <c r="H31" s="65">
        <f t="shared" si="4"/>
        <v>6760575.884523808</v>
      </c>
    </row>
    <row r="32" spans="1:8">
      <c r="A32" s="61">
        <f t="shared" si="5"/>
        <v>9</v>
      </c>
      <c r="B32" s="61"/>
      <c r="C32" s="61" t="s">
        <v>11</v>
      </c>
      <c r="D32" s="62">
        <f t="shared" ca="1" si="1"/>
        <v>44249</v>
      </c>
      <c r="E32" s="63">
        <f t="shared" si="0"/>
        <v>124419.43333333333</v>
      </c>
      <c r="F32" s="63">
        <f t="shared" si="2"/>
        <v>5591.6413690476184</v>
      </c>
      <c r="G32" s="63">
        <f t="shared" si="3"/>
        <v>130011.07470238095</v>
      </c>
      <c r="H32" s="65">
        <f t="shared" si="4"/>
        <v>6630564.8098214269</v>
      </c>
    </row>
    <row r="33" spans="1:8">
      <c r="A33" s="61">
        <f t="shared" si="5"/>
        <v>10</v>
      </c>
      <c r="B33" s="61"/>
      <c r="C33" s="61" t="s">
        <v>12</v>
      </c>
      <c r="D33" s="62">
        <f t="shared" ca="1" si="1"/>
        <v>44277</v>
      </c>
      <c r="E33" s="63">
        <f t="shared" si="0"/>
        <v>124419.43333333333</v>
      </c>
      <c r="F33" s="63">
        <f t="shared" si="2"/>
        <v>5591.6413690476184</v>
      </c>
      <c r="G33" s="63">
        <f t="shared" si="3"/>
        <v>130011.07470238095</v>
      </c>
      <c r="H33" s="65">
        <f t="shared" si="4"/>
        <v>6500553.7351190457</v>
      </c>
    </row>
    <row r="34" spans="1:8">
      <c r="A34" s="61">
        <f t="shared" si="5"/>
        <v>11</v>
      </c>
      <c r="B34" s="61"/>
      <c r="C34" s="61" t="s">
        <v>13</v>
      </c>
      <c r="D34" s="62">
        <f t="shared" ca="1" si="1"/>
        <v>44308</v>
      </c>
      <c r="E34" s="63">
        <f t="shared" si="0"/>
        <v>124419.43333333333</v>
      </c>
      <c r="F34" s="63">
        <f t="shared" si="2"/>
        <v>5591.6413690476184</v>
      </c>
      <c r="G34" s="63">
        <f t="shared" si="3"/>
        <v>130011.07470238095</v>
      </c>
      <c r="H34" s="65">
        <f t="shared" si="4"/>
        <v>6370542.6604166646</v>
      </c>
    </row>
    <row r="35" spans="1:8">
      <c r="A35" s="61">
        <f t="shared" si="5"/>
        <v>12</v>
      </c>
      <c r="B35" s="61"/>
      <c r="C35" s="61" t="s">
        <v>14</v>
      </c>
      <c r="D35" s="62">
        <f t="shared" ca="1" si="1"/>
        <v>44338</v>
      </c>
      <c r="E35" s="63">
        <f t="shared" si="0"/>
        <v>124419.43333333333</v>
      </c>
      <c r="F35" s="63">
        <f t="shared" si="2"/>
        <v>5591.6413690476184</v>
      </c>
      <c r="G35" s="63">
        <f t="shared" si="3"/>
        <v>130011.07470238095</v>
      </c>
      <c r="H35" s="65">
        <f t="shared" si="4"/>
        <v>6240531.5857142834</v>
      </c>
    </row>
    <row r="36" spans="1:8">
      <c r="A36" s="61">
        <f t="shared" si="5"/>
        <v>13</v>
      </c>
      <c r="B36" s="61"/>
      <c r="C36" s="61" t="s">
        <v>18</v>
      </c>
      <c r="D36" s="62">
        <f t="shared" ca="1" si="1"/>
        <v>44369</v>
      </c>
      <c r="E36" s="63">
        <f t="shared" si="0"/>
        <v>124419.43333333333</v>
      </c>
      <c r="F36" s="63">
        <f t="shared" si="2"/>
        <v>5591.6413690476184</v>
      </c>
      <c r="G36" s="63">
        <f t="shared" si="3"/>
        <v>130011.07470238095</v>
      </c>
      <c r="H36" s="65">
        <f t="shared" si="4"/>
        <v>6110520.5110119022</v>
      </c>
    </row>
    <row r="37" spans="1:8">
      <c r="A37" s="61">
        <f t="shared" si="5"/>
        <v>14</v>
      </c>
      <c r="B37" s="61"/>
      <c r="C37" s="61" t="s">
        <v>19</v>
      </c>
      <c r="D37" s="62">
        <f t="shared" ca="1" si="1"/>
        <v>44399</v>
      </c>
      <c r="E37" s="63">
        <f t="shared" si="0"/>
        <v>124419.43333333333</v>
      </c>
      <c r="F37" s="63">
        <f t="shared" si="2"/>
        <v>5591.6413690476184</v>
      </c>
      <c r="G37" s="63">
        <f t="shared" si="3"/>
        <v>130011.07470238095</v>
      </c>
      <c r="H37" s="65">
        <f t="shared" si="4"/>
        <v>5980509.4363095211</v>
      </c>
    </row>
    <row r="38" spans="1:8">
      <c r="A38" s="61">
        <f t="shared" si="5"/>
        <v>15</v>
      </c>
      <c r="B38" s="61"/>
      <c r="C38" s="61" t="s">
        <v>20</v>
      </c>
      <c r="D38" s="62">
        <f t="shared" ca="1" si="1"/>
        <v>44430</v>
      </c>
      <c r="E38" s="63">
        <f t="shared" si="0"/>
        <v>124419.43333333333</v>
      </c>
      <c r="F38" s="63">
        <f t="shared" si="2"/>
        <v>5591.6413690476184</v>
      </c>
      <c r="G38" s="63">
        <f t="shared" si="3"/>
        <v>130011.07470238095</v>
      </c>
      <c r="H38" s="65">
        <f t="shared" si="4"/>
        <v>5850498.3616071399</v>
      </c>
    </row>
    <row r="39" spans="1:8">
      <c r="A39" s="61">
        <f t="shared" si="5"/>
        <v>16</v>
      </c>
      <c r="B39" s="61"/>
      <c r="C39" s="61" t="s">
        <v>21</v>
      </c>
      <c r="D39" s="62">
        <f t="shared" ca="1" si="1"/>
        <v>44461</v>
      </c>
      <c r="E39" s="63">
        <f t="shared" si="0"/>
        <v>124419.43333333333</v>
      </c>
      <c r="F39" s="63">
        <f t="shared" si="2"/>
        <v>5591.6413690476184</v>
      </c>
      <c r="G39" s="63">
        <f t="shared" si="3"/>
        <v>130011.07470238095</v>
      </c>
      <c r="H39" s="65">
        <f t="shared" si="4"/>
        <v>5720487.2869047588</v>
      </c>
    </row>
    <row r="40" spans="1:8">
      <c r="A40" s="61">
        <f t="shared" si="5"/>
        <v>17</v>
      </c>
      <c r="B40" s="61"/>
      <c r="C40" s="61" t="s">
        <v>22</v>
      </c>
      <c r="D40" s="62">
        <f t="shared" ca="1" si="1"/>
        <v>44491</v>
      </c>
      <c r="E40" s="63">
        <f t="shared" si="0"/>
        <v>124419.43333333333</v>
      </c>
      <c r="F40" s="63">
        <f t="shared" si="2"/>
        <v>5591.6413690476184</v>
      </c>
      <c r="G40" s="63">
        <f t="shared" si="3"/>
        <v>130011.07470238095</v>
      </c>
      <c r="H40" s="65">
        <f t="shared" si="4"/>
        <v>5590476.2122023776</v>
      </c>
    </row>
    <row r="41" spans="1:8">
      <c r="A41" s="61">
        <f t="shared" si="5"/>
        <v>18</v>
      </c>
      <c r="B41" s="61"/>
      <c r="C41" s="61" t="s">
        <v>23</v>
      </c>
      <c r="D41" s="62">
        <f t="shared" ca="1" si="1"/>
        <v>44522</v>
      </c>
      <c r="E41" s="63">
        <f t="shared" si="0"/>
        <v>124419.43333333333</v>
      </c>
      <c r="F41" s="63">
        <f t="shared" si="2"/>
        <v>5591.6413690476184</v>
      </c>
      <c r="G41" s="63">
        <f t="shared" si="3"/>
        <v>130011.07470238095</v>
      </c>
      <c r="H41" s="65">
        <f t="shared" si="4"/>
        <v>5460465.1374999965</v>
      </c>
    </row>
    <row r="42" spans="1:8">
      <c r="A42" s="61">
        <f t="shared" si="5"/>
        <v>19</v>
      </c>
      <c r="B42" s="61"/>
      <c r="C42" s="61" t="s">
        <v>24</v>
      </c>
      <c r="D42" s="62">
        <f t="shared" ca="1" si="1"/>
        <v>44552</v>
      </c>
      <c r="E42" s="63">
        <f t="shared" si="0"/>
        <v>124419.43333333333</v>
      </c>
      <c r="F42" s="63">
        <f t="shared" si="2"/>
        <v>5591.6413690476184</v>
      </c>
      <c r="G42" s="63">
        <f t="shared" si="3"/>
        <v>130011.07470238095</v>
      </c>
      <c r="H42" s="65">
        <f t="shared" si="4"/>
        <v>5330454.0627976153</v>
      </c>
    </row>
    <row r="43" spans="1:8">
      <c r="A43" s="61">
        <f t="shared" si="5"/>
        <v>20</v>
      </c>
      <c r="B43" s="61"/>
      <c r="C43" s="61" t="s">
        <v>25</v>
      </c>
      <c r="D43" s="62">
        <f t="shared" ca="1" si="1"/>
        <v>44583</v>
      </c>
      <c r="E43" s="63">
        <f t="shared" si="0"/>
        <v>124419.43333333333</v>
      </c>
      <c r="F43" s="63">
        <f t="shared" si="2"/>
        <v>5591.6413690476184</v>
      </c>
      <c r="G43" s="63">
        <f t="shared" si="3"/>
        <v>130011.07470238095</v>
      </c>
      <c r="H43" s="65">
        <f t="shared" si="4"/>
        <v>5200442.9880952341</v>
      </c>
    </row>
    <row r="44" spans="1:8">
      <c r="A44" s="61">
        <f t="shared" si="5"/>
        <v>21</v>
      </c>
      <c r="B44" s="61"/>
      <c r="C44" s="61" t="s">
        <v>26</v>
      </c>
      <c r="D44" s="62">
        <f t="shared" ca="1" si="1"/>
        <v>44614</v>
      </c>
      <c r="E44" s="63">
        <f t="shared" si="0"/>
        <v>124419.43333333333</v>
      </c>
      <c r="F44" s="63">
        <f t="shared" si="2"/>
        <v>5591.6413690476184</v>
      </c>
      <c r="G44" s="63">
        <f t="shared" si="3"/>
        <v>130011.07470238095</v>
      </c>
      <c r="H44" s="65">
        <f t="shared" si="4"/>
        <v>5070431.913392853</v>
      </c>
    </row>
    <row r="45" spans="1:8">
      <c r="A45" s="61">
        <f t="shared" si="5"/>
        <v>22</v>
      </c>
      <c r="B45" s="61"/>
      <c r="C45" s="61" t="s">
        <v>27</v>
      </c>
      <c r="D45" s="62">
        <f t="shared" ca="1" si="1"/>
        <v>44642</v>
      </c>
      <c r="E45" s="63">
        <f t="shared" si="0"/>
        <v>124419.43333333333</v>
      </c>
      <c r="F45" s="63">
        <f t="shared" si="2"/>
        <v>5591.6413690476184</v>
      </c>
      <c r="G45" s="63">
        <f t="shared" si="3"/>
        <v>130011.07470238095</v>
      </c>
      <c r="H45" s="65">
        <f t="shared" si="4"/>
        <v>4940420.8386904718</v>
      </c>
    </row>
    <row r="46" spans="1:8">
      <c r="A46" s="61">
        <f t="shared" si="5"/>
        <v>23</v>
      </c>
      <c r="B46" s="61"/>
      <c r="C46" s="61" t="s">
        <v>28</v>
      </c>
      <c r="D46" s="62">
        <f t="shared" ca="1" si="1"/>
        <v>44673</v>
      </c>
      <c r="E46" s="63">
        <f t="shared" si="0"/>
        <v>124419.43333333333</v>
      </c>
      <c r="F46" s="63">
        <f t="shared" si="2"/>
        <v>5591.6413690476184</v>
      </c>
      <c r="G46" s="63">
        <f t="shared" si="3"/>
        <v>130011.07470238095</v>
      </c>
      <c r="H46" s="65">
        <f t="shared" si="4"/>
        <v>4810409.7639880907</v>
      </c>
    </row>
    <row r="47" spans="1:8">
      <c r="A47" s="61">
        <f t="shared" si="5"/>
        <v>24</v>
      </c>
      <c r="B47" s="61"/>
      <c r="C47" s="61" t="s">
        <v>29</v>
      </c>
      <c r="D47" s="62">
        <f t="shared" ca="1" si="1"/>
        <v>44703</v>
      </c>
      <c r="E47" s="63">
        <f t="shared" si="0"/>
        <v>124419.43333333333</v>
      </c>
      <c r="F47" s="63">
        <f t="shared" si="2"/>
        <v>5591.6413690476184</v>
      </c>
      <c r="G47" s="63">
        <f t="shared" si="3"/>
        <v>130011.07470238095</v>
      </c>
      <c r="H47" s="65">
        <f t="shared" si="4"/>
        <v>4680398.6892857095</v>
      </c>
    </row>
    <row r="48" spans="1:8">
      <c r="A48" s="61">
        <f t="shared" si="5"/>
        <v>25</v>
      </c>
      <c r="B48" s="61"/>
      <c r="C48" s="61" t="s">
        <v>40</v>
      </c>
      <c r="D48" s="62">
        <f t="shared" ca="1" si="1"/>
        <v>44734</v>
      </c>
      <c r="E48" s="63">
        <f t="shared" si="0"/>
        <v>124419.43333333333</v>
      </c>
      <c r="F48" s="63">
        <f t="shared" si="2"/>
        <v>5591.6413690476184</v>
      </c>
      <c r="G48" s="63">
        <f t="shared" si="3"/>
        <v>130011.07470238095</v>
      </c>
      <c r="H48" s="65">
        <f t="shared" si="4"/>
        <v>4550387.6145833284</v>
      </c>
    </row>
    <row r="49" spans="1:8">
      <c r="A49" s="61">
        <f t="shared" si="5"/>
        <v>26</v>
      </c>
      <c r="B49" s="61"/>
      <c r="C49" s="61" t="s">
        <v>41</v>
      </c>
      <c r="D49" s="62">
        <f t="shared" ca="1" si="1"/>
        <v>44764</v>
      </c>
      <c r="E49" s="63">
        <f t="shared" si="0"/>
        <v>124419.43333333333</v>
      </c>
      <c r="F49" s="63">
        <f t="shared" si="2"/>
        <v>5591.6413690476184</v>
      </c>
      <c r="G49" s="63">
        <f t="shared" si="3"/>
        <v>130011.07470238095</v>
      </c>
      <c r="H49" s="65">
        <f t="shared" si="4"/>
        <v>4420376.5398809472</v>
      </c>
    </row>
    <row r="50" spans="1:8">
      <c r="A50" s="61">
        <f t="shared" si="5"/>
        <v>27</v>
      </c>
      <c r="B50" s="61"/>
      <c r="C50" s="61" t="s">
        <v>42</v>
      </c>
      <c r="D50" s="62">
        <f t="shared" ca="1" si="1"/>
        <v>44795</v>
      </c>
      <c r="E50" s="63">
        <f t="shared" si="0"/>
        <v>124419.43333333333</v>
      </c>
      <c r="F50" s="63">
        <f t="shared" si="2"/>
        <v>5591.6413690476184</v>
      </c>
      <c r="G50" s="63">
        <f t="shared" si="3"/>
        <v>130011.07470238095</v>
      </c>
      <c r="H50" s="65">
        <f t="shared" si="4"/>
        <v>4290365.4651785661</v>
      </c>
    </row>
    <row r="51" spans="1:8">
      <c r="A51" s="61">
        <f t="shared" si="5"/>
        <v>28</v>
      </c>
      <c r="B51" s="61"/>
      <c r="C51" s="61" t="s">
        <v>43</v>
      </c>
      <c r="D51" s="62">
        <f t="shared" ca="1" si="1"/>
        <v>44826</v>
      </c>
      <c r="E51" s="63">
        <f t="shared" si="0"/>
        <v>124419.43333333333</v>
      </c>
      <c r="F51" s="63">
        <f t="shared" si="2"/>
        <v>5591.6413690476184</v>
      </c>
      <c r="G51" s="63">
        <f t="shared" si="3"/>
        <v>130011.07470238095</v>
      </c>
      <c r="H51" s="65">
        <f t="shared" si="4"/>
        <v>4160354.3904761849</v>
      </c>
    </row>
    <row r="52" spans="1:8">
      <c r="A52" s="61">
        <f t="shared" si="5"/>
        <v>29</v>
      </c>
      <c r="B52" s="61"/>
      <c r="C52" s="61" t="s">
        <v>44</v>
      </c>
      <c r="D52" s="62">
        <f t="shared" ca="1" si="1"/>
        <v>44856</v>
      </c>
      <c r="E52" s="63">
        <f t="shared" si="0"/>
        <v>124419.43333333333</v>
      </c>
      <c r="F52" s="63">
        <f t="shared" si="2"/>
        <v>5591.6413690476184</v>
      </c>
      <c r="G52" s="63">
        <f t="shared" si="3"/>
        <v>130011.07470238095</v>
      </c>
      <c r="H52" s="65">
        <f t="shared" si="4"/>
        <v>4030343.3157738037</v>
      </c>
    </row>
    <row r="53" spans="1:8">
      <c r="A53" s="61">
        <f t="shared" si="5"/>
        <v>30</v>
      </c>
      <c r="B53" s="61"/>
      <c r="C53" s="61" t="s">
        <v>45</v>
      </c>
      <c r="D53" s="62">
        <f t="shared" ca="1" si="1"/>
        <v>44887</v>
      </c>
      <c r="E53" s="63">
        <f t="shared" si="0"/>
        <v>124419.43333333333</v>
      </c>
      <c r="F53" s="63">
        <f t="shared" si="2"/>
        <v>5591.6413690476184</v>
      </c>
      <c r="G53" s="63">
        <f t="shared" si="3"/>
        <v>130011.07470238095</v>
      </c>
      <c r="H53" s="65">
        <f t="shared" si="4"/>
        <v>3900332.2410714226</v>
      </c>
    </row>
    <row r="54" spans="1:8">
      <c r="A54" s="61">
        <f t="shared" si="5"/>
        <v>31</v>
      </c>
      <c r="B54" s="61"/>
      <c r="C54" s="61" t="s">
        <v>59</v>
      </c>
      <c r="D54" s="62">
        <f t="shared" ca="1" si="1"/>
        <v>44917</v>
      </c>
      <c r="E54" s="63">
        <f t="shared" si="0"/>
        <v>124419.43333333333</v>
      </c>
      <c r="F54" s="63">
        <f t="shared" si="2"/>
        <v>5591.6413690476184</v>
      </c>
      <c r="G54" s="63">
        <f t="shared" si="3"/>
        <v>130011.07470238095</v>
      </c>
      <c r="H54" s="65">
        <f t="shared" si="4"/>
        <v>3770321.1663690414</v>
      </c>
    </row>
    <row r="55" spans="1:8">
      <c r="A55" s="61">
        <f t="shared" si="5"/>
        <v>32</v>
      </c>
      <c r="B55" s="61"/>
      <c r="C55" s="61" t="s">
        <v>60</v>
      </c>
      <c r="D55" s="62">
        <f t="shared" ca="1" si="1"/>
        <v>44948</v>
      </c>
      <c r="E55" s="63">
        <f t="shared" si="0"/>
        <v>124419.43333333333</v>
      </c>
      <c r="F55" s="63">
        <f t="shared" si="2"/>
        <v>5591.6413690476184</v>
      </c>
      <c r="G55" s="63">
        <f t="shared" si="3"/>
        <v>130011.07470238095</v>
      </c>
      <c r="H55" s="65">
        <f t="shared" si="4"/>
        <v>3640310.0916666603</v>
      </c>
    </row>
    <row r="56" spans="1:8">
      <c r="A56" s="61">
        <f t="shared" si="5"/>
        <v>33</v>
      </c>
      <c r="B56" s="61"/>
      <c r="C56" s="61" t="s">
        <v>61</v>
      </c>
      <c r="D56" s="62">
        <f t="shared" ca="1" si="1"/>
        <v>44979</v>
      </c>
      <c r="E56" s="63">
        <f t="shared" ref="E56:E83" si="6">($D$16-$E$22)/60</f>
        <v>124419.43333333333</v>
      </c>
      <c r="F56" s="63">
        <f t="shared" si="2"/>
        <v>5591.6413690476184</v>
      </c>
      <c r="G56" s="63">
        <f t="shared" si="3"/>
        <v>130011.07470238095</v>
      </c>
      <c r="H56" s="65">
        <f t="shared" si="4"/>
        <v>3510299.0169642791</v>
      </c>
    </row>
    <row r="57" spans="1:8">
      <c r="A57" s="61">
        <f t="shared" si="5"/>
        <v>34</v>
      </c>
      <c r="B57" s="61"/>
      <c r="C57" s="61" t="s">
        <v>62</v>
      </c>
      <c r="D57" s="62">
        <f t="shared" ca="1" si="1"/>
        <v>45007</v>
      </c>
      <c r="E57" s="63">
        <f t="shared" si="6"/>
        <v>124419.43333333333</v>
      </c>
      <c r="F57" s="63">
        <f t="shared" si="2"/>
        <v>5591.6413690476184</v>
      </c>
      <c r="G57" s="63">
        <f t="shared" si="3"/>
        <v>130011.07470238095</v>
      </c>
      <c r="H57" s="65">
        <f t="shared" si="4"/>
        <v>3380287.942261898</v>
      </c>
    </row>
    <row r="58" spans="1:8">
      <c r="A58" s="61">
        <f t="shared" si="5"/>
        <v>35</v>
      </c>
      <c r="B58" s="61"/>
      <c r="C58" s="61" t="s">
        <v>63</v>
      </c>
      <c r="D58" s="62">
        <f t="shared" ca="1" si="1"/>
        <v>45038</v>
      </c>
      <c r="E58" s="63">
        <f t="shared" si="6"/>
        <v>124419.43333333333</v>
      </c>
      <c r="F58" s="63">
        <f t="shared" si="2"/>
        <v>5591.6413690476184</v>
      </c>
      <c r="G58" s="63">
        <f t="shared" si="3"/>
        <v>130011.07470238095</v>
      </c>
      <c r="H58" s="65">
        <f t="shared" si="4"/>
        <v>3250276.8675595168</v>
      </c>
    </row>
    <row r="59" spans="1:8">
      <c r="A59" s="61">
        <f t="shared" si="5"/>
        <v>36</v>
      </c>
      <c r="B59" s="61"/>
      <c r="C59" s="61" t="s">
        <v>64</v>
      </c>
      <c r="D59" s="62">
        <f t="shared" ca="1" si="1"/>
        <v>45068</v>
      </c>
      <c r="E59" s="63">
        <f t="shared" si="6"/>
        <v>124419.43333333333</v>
      </c>
      <c r="F59" s="63">
        <f t="shared" si="2"/>
        <v>5591.6413690476184</v>
      </c>
      <c r="G59" s="63">
        <f t="shared" si="3"/>
        <v>130011.07470238095</v>
      </c>
      <c r="H59" s="65">
        <f t="shared" si="4"/>
        <v>3120265.7928571356</v>
      </c>
    </row>
    <row r="60" spans="1:8">
      <c r="A60" s="61">
        <f t="shared" si="5"/>
        <v>37</v>
      </c>
      <c r="B60" s="61"/>
      <c r="C60" s="61" t="s">
        <v>65</v>
      </c>
      <c r="D60" s="62">
        <f t="shared" ca="1" si="1"/>
        <v>45099</v>
      </c>
      <c r="E60" s="63">
        <f t="shared" si="6"/>
        <v>124419.43333333333</v>
      </c>
      <c r="F60" s="63">
        <f t="shared" si="2"/>
        <v>5591.6413690476184</v>
      </c>
      <c r="G60" s="63">
        <f t="shared" si="3"/>
        <v>130011.07470238095</v>
      </c>
      <c r="H60" s="65">
        <f t="shared" si="4"/>
        <v>2990254.7181547545</v>
      </c>
    </row>
    <row r="61" spans="1:8">
      <c r="A61" s="61">
        <f t="shared" si="5"/>
        <v>38</v>
      </c>
      <c r="B61" s="61"/>
      <c r="C61" s="61" t="s">
        <v>66</v>
      </c>
      <c r="D61" s="62">
        <f t="shared" ca="1" si="1"/>
        <v>45129</v>
      </c>
      <c r="E61" s="63">
        <f t="shared" si="6"/>
        <v>124419.43333333333</v>
      </c>
      <c r="F61" s="63">
        <f t="shared" si="2"/>
        <v>5591.6413690476184</v>
      </c>
      <c r="G61" s="63">
        <f t="shared" si="3"/>
        <v>130011.07470238095</v>
      </c>
      <c r="H61" s="65">
        <f t="shared" si="4"/>
        <v>2860243.6434523733</v>
      </c>
    </row>
    <row r="62" spans="1:8">
      <c r="A62" s="61">
        <f t="shared" si="5"/>
        <v>39</v>
      </c>
      <c r="B62" s="61"/>
      <c r="C62" s="61" t="s">
        <v>67</v>
      </c>
      <c r="D62" s="62">
        <f t="shared" ca="1" si="1"/>
        <v>45160</v>
      </c>
      <c r="E62" s="63">
        <f t="shared" si="6"/>
        <v>124419.43333333333</v>
      </c>
      <c r="F62" s="63">
        <f t="shared" si="2"/>
        <v>5591.6413690476184</v>
      </c>
      <c r="G62" s="63">
        <f t="shared" si="3"/>
        <v>130011.07470238095</v>
      </c>
      <c r="H62" s="65">
        <f t="shared" si="4"/>
        <v>2730232.5687499922</v>
      </c>
    </row>
    <row r="63" spans="1:8">
      <c r="A63" s="61">
        <f t="shared" si="5"/>
        <v>40</v>
      </c>
      <c r="B63" s="61"/>
      <c r="C63" s="61" t="s">
        <v>68</v>
      </c>
      <c r="D63" s="62">
        <f t="shared" ca="1" si="1"/>
        <v>45191</v>
      </c>
      <c r="E63" s="63">
        <f t="shared" si="6"/>
        <v>124419.43333333333</v>
      </c>
      <c r="F63" s="63">
        <f t="shared" si="2"/>
        <v>5591.6413690476184</v>
      </c>
      <c r="G63" s="63">
        <f t="shared" si="3"/>
        <v>130011.07470238095</v>
      </c>
      <c r="H63" s="65">
        <f t="shared" si="4"/>
        <v>2600221.494047611</v>
      </c>
    </row>
    <row r="64" spans="1:8">
      <c r="A64" s="61">
        <f t="shared" si="5"/>
        <v>41</v>
      </c>
      <c r="B64" s="61"/>
      <c r="C64" s="61" t="s">
        <v>69</v>
      </c>
      <c r="D64" s="62">
        <f t="shared" ca="1" si="1"/>
        <v>45221</v>
      </c>
      <c r="E64" s="63">
        <f t="shared" si="6"/>
        <v>124419.43333333333</v>
      </c>
      <c r="F64" s="63">
        <f t="shared" si="2"/>
        <v>5591.6413690476184</v>
      </c>
      <c r="G64" s="63">
        <f t="shared" si="3"/>
        <v>130011.07470238095</v>
      </c>
      <c r="H64" s="65">
        <f t="shared" si="4"/>
        <v>2470210.4193452299</v>
      </c>
    </row>
    <row r="65" spans="1:8">
      <c r="A65" s="61">
        <f t="shared" si="5"/>
        <v>42</v>
      </c>
      <c r="B65" s="61"/>
      <c r="C65" s="61" t="s">
        <v>70</v>
      </c>
      <c r="D65" s="62">
        <f t="shared" ca="1" si="1"/>
        <v>45252</v>
      </c>
      <c r="E65" s="63">
        <f t="shared" si="6"/>
        <v>124419.43333333333</v>
      </c>
      <c r="F65" s="63">
        <f t="shared" si="2"/>
        <v>5591.6413690476184</v>
      </c>
      <c r="G65" s="63">
        <f t="shared" si="3"/>
        <v>130011.07470238095</v>
      </c>
      <c r="H65" s="65">
        <f t="shared" si="4"/>
        <v>2340199.3446428487</v>
      </c>
    </row>
    <row r="66" spans="1:8">
      <c r="A66" s="61">
        <f t="shared" si="5"/>
        <v>43</v>
      </c>
      <c r="B66" s="61"/>
      <c r="C66" s="61" t="s">
        <v>71</v>
      </c>
      <c r="D66" s="62">
        <f t="shared" ca="1" si="1"/>
        <v>45282</v>
      </c>
      <c r="E66" s="63">
        <f t="shared" si="6"/>
        <v>124419.43333333333</v>
      </c>
      <c r="F66" s="63">
        <f t="shared" si="2"/>
        <v>5591.6413690476184</v>
      </c>
      <c r="G66" s="63">
        <f t="shared" si="3"/>
        <v>130011.07470238095</v>
      </c>
      <c r="H66" s="65">
        <f t="shared" si="4"/>
        <v>2210188.2699404676</v>
      </c>
    </row>
    <row r="67" spans="1:8">
      <c r="A67" s="61">
        <f t="shared" si="5"/>
        <v>44</v>
      </c>
      <c r="B67" s="61"/>
      <c r="C67" s="61" t="s">
        <v>72</v>
      </c>
      <c r="D67" s="62">
        <f t="shared" ca="1" si="1"/>
        <v>45313</v>
      </c>
      <c r="E67" s="63">
        <f t="shared" si="6"/>
        <v>124419.43333333333</v>
      </c>
      <c r="F67" s="63">
        <f t="shared" si="2"/>
        <v>5591.6413690476184</v>
      </c>
      <c r="G67" s="63">
        <f t="shared" si="3"/>
        <v>130011.07470238095</v>
      </c>
      <c r="H67" s="65">
        <f t="shared" si="4"/>
        <v>2080177.1952380866</v>
      </c>
    </row>
    <row r="68" spans="1:8">
      <c r="A68" s="61">
        <f t="shared" si="5"/>
        <v>45</v>
      </c>
      <c r="B68" s="61"/>
      <c r="C68" s="61" t="s">
        <v>73</v>
      </c>
      <c r="D68" s="62">
        <f t="shared" ca="1" si="1"/>
        <v>45344</v>
      </c>
      <c r="E68" s="63">
        <f t="shared" si="6"/>
        <v>124419.43333333333</v>
      </c>
      <c r="F68" s="63">
        <f t="shared" si="2"/>
        <v>5591.6413690476184</v>
      </c>
      <c r="G68" s="63">
        <f t="shared" si="3"/>
        <v>130011.07470238095</v>
      </c>
      <c r="H68" s="65">
        <f t="shared" si="4"/>
        <v>1950166.1205357057</v>
      </c>
    </row>
    <row r="69" spans="1:8">
      <c r="A69" s="61">
        <f t="shared" si="5"/>
        <v>46</v>
      </c>
      <c r="B69" s="61"/>
      <c r="C69" s="61" t="s">
        <v>74</v>
      </c>
      <c r="D69" s="62">
        <f t="shared" ca="1" si="1"/>
        <v>45373</v>
      </c>
      <c r="E69" s="63">
        <f t="shared" si="6"/>
        <v>124419.43333333333</v>
      </c>
      <c r="F69" s="63">
        <f t="shared" si="2"/>
        <v>5591.6413690476184</v>
      </c>
      <c r="G69" s="63">
        <f t="shared" si="3"/>
        <v>130011.07470238095</v>
      </c>
      <c r="H69" s="65">
        <f t="shared" si="4"/>
        <v>1820155.0458333248</v>
      </c>
    </row>
    <row r="70" spans="1:8">
      <c r="A70" s="61">
        <f t="shared" si="5"/>
        <v>47</v>
      </c>
      <c r="B70" s="61"/>
      <c r="C70" s="61" t="s">
        <v>75</v>
      </c>
      <c r="D70" s="62">
        <f t="shared" ca="1" si="1"/>
        <v>45404</v>
      </c>
      <c r="E70" s="63">
        <f t="shared" si="6"/>
        <v>124419.43333333333</v>
      </c>
      <c r="F70" s="63">
        <f t="shared" si="2"/>
        <v>5591.6413690476184</v>
      </c>
      <c r="G70" s="63">
        <f t="shared" si="3"/>
        <v>130011.07470238095</v>
      </c>
      <c r="H70" s="65">
        <f t="shared" si="4"/>
        <v>1690143.9711309439</v>
      </c>
    </row>
    <row r="71" spans="1:8">
      <c r="A71" s="61">
        <f t="shared" si="5"/>
        <v>48</v>
      </c>
      <c r="B71" s="61"/>
      <c r="C71" s="61" t="s">
        <v>76</v>
      </c>
      <c r="D71" s="62">
        <f t="shared" ca="1" si="1"/>
        <v>45434</v>
      </c>
      <c r="E71" s="63">
        <f t="shared" si="6"/>
        <v>124419.43333333333</v>
      </c>
      <c r="F71" s="63">
        <f t="shared" si="2"/>
        <v>5591.6413690476184</v>
      </c>
      <c r="G71" s="63">
        <f t="shared" si="3"/>
        <v>130011.07470238095</v>
      </c>
      <c r="H71" s="65">
        <f t="shared" si="4"/>
        <v>1560132.8964285629</v>
      </c>
    </row>
    <row r="72" spans="1:8">
      <c r="A72" s="61">
        <f t="shared" si="5"/>
        <v>49</v>
      </c>
      <c r="B72" s="61"/>
      <c r="C72" s="61" t="s">
        <v>77</v>
      </c>
      <c r="D72" s="62">
        <f t="shared" ca="1" si="1"/>
        <v>45465</v>
      </c>
      <c r="E72" s="63">
        <f t="shared" si="6"/>
        <v>124419.43333333333</v>
      </c>
      <c r="F72" s="63">
        <f t="shared" si="2"/>
        <v>5591.6413690476184</v>
      </c>
      <c r="G72" s="63">
        <f t="shared" si="3"/>
        <v>130011.07470238095</v>
      </c>
      <c r="H72" s="65">
        <f t="shared" si="4"/>
        <v>1430121.821726182</v>
      </c>
    </row>
    <row r="73" spans="1:8">
      <c r="A73" s="61">
        <f t="shared" si="5"/>
        <v>50</v>
      </c>
      <c r="B73" s="61"/>
      <c r="C73" s="61" t="s">
        <v>78</v>
      </c>
      <c r="D73" s="62">
        <f t="shared" ca="1" si="1"/>
        <v>45495</v>
      </c>
      <c r="E73" s="63">
        <f t="shared" si="6"/>
        <v>124419.43333333333</v>
      </c>
      <c r="F73" s="63">
        <f t="shared" si="2"/>
        <v>5591.6413690476184</v>
      </c>
      <c r="G73" s="63">
        <f t="shared" si="3"/>
        <v>130011.07470238095</v>
      </c>
      <c r="H73" s="65">
        <f t="shared" si="4"/>
        <v>1300110.7470238011</v>
      </c>
    </row>
    <row r="74" spans="1:8">
      <c r="A74" s="61">
        <f t="shared" si="5"/>
        <v>51</v>
      </c>
      <c r="B74" s="61"/>
      <c r="C74" s="61" t="s">
        <v>79</v>
      </c>
      <c r="D74" s="62">
        <f t="shared" ca="1" si="1"/>
        <v>45526</v>
      </c>
      <c r="E74" s="63">
        <f t="shared" si="6"/>
        <v>124419.43333333333</v>
      </c>
      <c r="F74" s="63">
        <f t="shared" si="2"/>
        <v>5591.6413690476184</v>
      </c>
      <c r="G74" s="63">
        <f t="shared" si="3"/>
        <v>130011.07470238095</v>
      </c>
      <c r="H74" s="65">
        <f t="shared" si="4"/>
        <v>1170099.6723214202</v>
      </c>
    </row>
    <row r="75" spans="1:8">
      <c r="A75" s="61">
        <f t="shared" si="5"/>
        <v>52</v>
      </c>
      <c r="B75" s="61"/>
      <c r="C75" s="61" t="s">
        <v>80</v>
      </c>
      <c r="D75" s="62">
        <f t="shared" ca="1" si="1"/>
        <v>45557</v>
      </c>
      <c r="E75" s="63">
        <f t="shared" si="6"/>
        <v>124419.43333333333</v>
      </c>
      <c r="F75" s="63">
        <f t="shared" si="2"/>
        <v>5591.6413690476184</v>
      </c>
      <c r="G75" s="63">
        <f t="shared" si="3"/>
        <v>130011.07470238095</v>
      </c>
      <c r="H75" s="65">
        <f t="shared" si="4"/>
        <v>1040088.5976190392</v>
      </c>
    </row>
    <row r="76" spans="1:8">
      <c r="A76" s="61">
        <f t="shared" si="5"/>
        <v>53</v>
      </c>
      <c r="B76" s="61"/>
      <c r="C76" s="61" t="s">
        <v>81</v>
      </c>
      <c r="D76" s="62">
        <f t="shared" ca="1" si="1"/>
        <v>45587</v>
      </c>
      <c r="E76" s="63">
        <f t="shared" si="6"/>
        <v>124419.43333333333</v>
      </c>
      <c r="F76" s="63">
        <f t="shared" si="2"/>
        <v>5591.6413690476184</v>
      </c>
      <c r="G76" s="63">
        <f t="shared" si="3"/>
        <v>130011.07470238095</v>
      </c>
      <c r="H76" s="65">
        <f t="shared" si="4"/>
        <v>910077.52291665832</v>
      </c>
    </row>
    <row r="77" spans="1:8">
      <c r="A77" s="61">
        <f t="shared" si="5"/>
        <v>54</v>
      </c>
      <c r="B77" s="61"/>
      <c r="C77" s="61" t="s">
        <v>82</v>
      </c>
      <c r="D77" s="62">
        <f t="shared" ca="1" si="1"/>
        <v>45618</v>
      </c>
      <c r="E77" s="63">
        <f t="shared" si="6"/>
        <v>124419.43333333333</v>
      </c>
      <c r="F77" s="63">
        <f t="shared" si="2"/>
        <v>5591.6413690476184</v>
      </c>
      <c r="G77" s="63">
        <f t="shared" si="3"/>
        <v>130011.07470238095</v>
      </c>
      <c r="H77" s="65">
        <f t="shared" si="4"/>
        <v>780066.44821427739</v>
      </c>
    </row>
    <row r="78" spans="1:8">
      <c r="A78" s="61">
        <f t="shared" si="5"/>
        <v>55</v>
      </c>
      <c r="B78" s="61"/>
      <c r="C78" s="61" t="s">
        <v>83</v>
      </c>
      <c r="D78" s="62">
        <f t="shared" ca="1" si="1"/>
        <v>45648</v>
      </c>
      <c r="E78" s="63">
        <f t="shared" si="6"/>
        <v>124419.43333333333</v>
      </c>
      <c r="F78" s="63">
        <f t="shared" si="2"/>
        <v>5591.6413690476184</v>
      </c>
      <c r="G78" s="63">
        <f t="shared" si="3"/>
        <v>130011.07470238095</v>
      </c>
      <c r="H78" s="65">
        <f t="shared" si="4"/>
        <v>650055.37351189647</v>
      </c>
    </row>
    <row r="79" spans="1:8">
      <c r="A79" s="61">
        <f t="shared" si="5"/>
        <v>56</v>
      </c>
      <c r="B79" s="61"/>
      <c r="C79" s="61" t="s">
        <v>84</v>
      </c>
      <c r="D79" s="62">
        <f t="shared" ca="1" si="1"/>
        <v>45679</v>
      </c>
      <c r="E79" s="63">
        <f t="shared" si="6"/>
        <v>124419.43333333333</v>
      </c>
      <c r="F79" s="63">
        <f t="shared" si="2"/>
        <v>5591.6413690476184</v>
      </c>
      <c r="G79" s="63">
        <f t="shared" si="3"/>
        <v>130011.07470238095</v>
      </c>
      <c r="H79" s="65">
        <f t="shared" si="4"/>
        <v>520044.29880951555</v>
      </c>
    </row>
    <row r="80" spans="1:8">
      <c r="A80" s="61">
        <f t="shared" si="5"/>
        <v>57</v>
      </c>
      <c r="B80" s="61"/>
      <c r="C80" s="61" t="s">
        <v>85</v>
      </c>
      <c r="D80" s="62">
        <f t="shared" ca="1" si="1"/>
        <v>45710</v>
      </c>
      <c r="E80" s="63">
        <f t="shared" si="6"/>
        <v>124419.43333333333</v>
      </c>
      <c r="F80" s="63">
        <f t="shared" si="2"/>
        <v>5591.6413690476184</v>
      </c>
      <c r="G80" s="63">
        <f t="shared" si="3"/>
        <v>130011.07470238095</v>
      </c>
      <c r="H80" s="65">
        <f t="shared" si="4"/>
        <v>390033.22410713462</v>
      </c>
    </row>
    <row r="81" spans="1:8">
      <c r="A81" s="61">
        <f t="shared" si="5"/>
        <v>58</v>
      </c>
      <c r="B81" s="61"/>
      <c r="C81" s="61" t="s">
        <v>86</v>
      </c>
      <c r="D81" s="62">
        <f t="shared" ca="1" si="1"/>
        <v>45738</v>
      </c>
      <c r="E81" s="63">
        <f t="shared" si="6"/>
        <v>124419.43333333333</v>
      </c>
      <c r="F81" s="63">
        <f t="shared" si="2"/>
        <v>5591.6413690476184</v>
      </c>
      <c r="G81" s="63">
        <f t="shared" si="3"/>
        <v>130011.07470238095</v>
      </c>
      <c r="H81" s="65">
        <f t="shared" si="4"/>
        <v>260022.14940475367</v>
      </c>
    </row>
    <row r="82" spans="1:8">
      <c r="A82" s="61">
        <f t="shared" si="5"/>
        <v>59</v>
      </c>
      <c r="B82" s="61"/>
      <c r="C82" s="61" t="s">
        <v>87</v>
      </c>
      <c r="D82" s="62">
        <f t="shared" ca="1" si="1"/>
        <v>45769</v>
      </c>
      <c r="E82" s="63">
        <f t="shared" si="6"/>
        <v>124419.43333333333</v>
      </c>
      <c r="F82" s="63">
        <f t="shared" si="2"/>
        <v>5591.6413690476184</v>
      </c>
      <c r="G82" s="63">
        <f t="shared" si="3"/>
        <v>130011.07470238095</v>
      </c>
      <c r="H82" s="65">
        <f t="shared" si="4"/>
        <v>130011.07470237272</v>
      </c>
    </row>
    <row r="83" spans="1:8">
      <c r="A83" s="61">
        <f t="shared" si="5"/>
        <v>60</v>
      </c>
      <c r="B83" s="61"/>
      <c r="C83" s="61" t="s">
        <v>88</v>
      </c>
      <c r="D83" s="62">
        <f t="shared" ca="1" si="1"/>
        <v>45799</v>
      </c>
      <c r="E83" s="63">
        <f t="shared" si="6"/>
        <v>124419.43333333333</v>
      </c>
      <c r="F83" s="63">
        <f t="shared" si="2"/>
        <v>5591.6413690476184</v>
      </c>
      <c r="G83" s="63">
        <f t="shared" si="3"/>
        <v>130011.07470238095</v>
      </c>
      <c r="H83" s="65">
        <f t="shared" si="4"/>
        <v>-8.2363840192556381E-9</v>
      </c>
    </row>
    <row r="84" spans="1:8">
      <c r="A84" s="166" t="s">
        <v>15</v>
      </c>
      <c r="B84" s="166"/>
      <c r="C84" s="166"/>
      <c r="D84" s="166"/>
      <c r="E84" s="67">
        <f>SUM(E22:E83)</f>
        <v>7515166.0000000028</v>
      </c>
      <c r="F84" s="67">
        <f t="shared" ref="F84:G84" si="7">SUM(F22:F83)</f>
        <v>335498.48214285763</v>
      </c>
      <c r="G84" s="67">
        <f t="shared" si="7"/>
        <v>7850664.4821428657</v>
      </c>
      <c r="H84" s="68"/>
    </row>
    <row r="85" spans="1:8" s="14" customFormat="1" ht="14">
      <c r="C85" s="28"/>
      <c r="D85" s="29"/>
      <c r="E85" s="30"/>
      <c r="F85" s="30"/>
      <c r="G85" s="30"/>
    </row>
    <row r="86" spans="1:8" s="14" customFormat="1" ht="14">
      <c r="A86" s="162" t="s">
        <v>136</v>
      </c>
      <c r="B86" s="162"/>
      <c r="C86" s="162"/>
      <c r="D86" s="162"/>
      <c r="E86" s="162"/>
      <c r="F86" s="162"/>
      <c r="G86" s="162"/>
      <c r="H86" s="162"/>
    </row>
    <row r="87" spans="1:8" s="14" customFormat="1" ht="29.25" customHeight="1">
      <c r="A87" s="164" t="s">
        <v>175</v>
      </c>
      <c r="B87" s="164"/>
      <c r="C87" s="164"/>
      <c r="D87" s="164"/>
      <c r="E87" s="164"/>
      <c r="F87" s="164"/>
      <c r="G87" s="164"/>
      <c r="H87" s="164"/>
    </row>
    <row r="88" spans="1:8" s="14" customFormat="1" ht="16.5" customHeight="1">
      <c r="A88" s="162" t="s">
        <v>176</v>
      </c>
      <c r="B88" s="162"/>
      <c r="C88" s="162"/>
      <c r="D88" s="162"/>
      <c r="E88" s="162"/>
      <c r="F88" s="162"/>
      <c r="G88" s="162"/>
      <c r="H88" s="162"/>
    </row>
    <row r="89" spans="1:8" s="14" customFormat="1" ht="16.5" customHeight="1">
      <c r="A89" s="162" t="s">
        <v>177</v>
      </c>
      <c r="B89" s="162"/>
      <c r="C89" s="162"/>
      <c r="D89" s="162"/>
      <c r="E89" s="162"/>
      <c r="F89" s="162"/>
      <c r="G89" s="162"/>
      <c r="H89" s="162"/>
    </row>
    <row r="90" spans="1:8" s="14" customFormat="1" ht="16.5" customHeight="1">
      <c r="A90" s="162" t="s">
        <v>178</v>
      </c>
      <c r="B90" s="162"/>
      <c r="C90" s="162"/>
      <c r="D90" s="162"/>
      <c r="E90" s="162"/>
      <c r="F90" s="162"/>
      <c r="G90" s="162"/>
      <c r="H90" s="162"/>
    </row>
    <row r="91" spans="1:8" s="14" customFormat="1" ht="107.25" customHeight="1">
      <c r="A91" s="162" t="s">
        <v>179</v>
      </c>
      <c r="B91" s="162"/>
      <c r="C91" s="162"/>
      <c r="D91" s="162"/>
      <c r="E91" s="162"/>
      <c r="F91" s="162"/>
      <c r="G91" s="162"/>
      <c r="H91" s="162"/>
    </row>
    <row r="92" spans="1:8" s="14" customFormat="1" ht="42" customHeight="1">
      <c r="A92" s="162" t="s">
        <v>180</v>
      </c>
      <c r="B92" s="162"/>
      <c r="C92" s="162"/>
      <c r="D92" s="162"/>
      <c r="E92" s="162"/>
      <c r="F92" s="162"/>
      <c r="G92" s="162"/>
      <c r="H92" s="162"/>
    </row>
    <row r="93" spans="1:8" s="14" customFormat="1" ht="17.25" customHeight="1">
      <c r="A93" s="162" t="s">
        <v>181</v>
      </c>
      <c r="B93" s="162"/>
      <c r="C93" s="162"/>
      <c r="D93" s="162"/>
      <c r="E93" s="162"/>
      <c r="F93" s="162"/>
      <c r="G93" s="162"/>
      <c r="H93" s="162"/>
    </row>
    <row r="94" spans="1:8" s="14" customFormat="1" ht="14">
      <c r="A94" s="162"/>
      <c r="B94" s="162"/>
      <c r="C94" s="162"/>
      <c r="D94" s="162"/>
      <c r="E94" s="162"/>
      <c r="F94" s="162"/>
      <c r="G94" s="162"/>
      <c r="H94" s="162"/>
    </row>
    <row r="95" spans="1:8" s="14" customFormat="1" ht="14">
      <c r="A95" s="14" t="s">
        <v>16</v>
      </c>
      <c r="D95" s="31"/>
      <c r="G95" s="15"/>
    </row>
    <row r="96" spans="1:8" s="14" customFormat="1" ht="14">
      <c r="D96" s="31"/>
      <c r="G96" s="15"/>
    </row>
    <row r="97" spans="1:7" s="14" customFormat="1" ht="15" customHeight="1">
      <c r="A97" s="32"/>
      <c r="B97" s="32"/>
      <c r="C97" s="32"/>
      <c r="D97" s="31"/>
      <c r="E97" s="32"/>
      <c r="F97" s="32"/>
      <c r="G97" s="33"/>
    </row>
    <row r="98" spans="1:7" s="14" customFormat="1" ht="14">
      <c r="A98" s="179" t="s">
        <v>163</v>
      </c>
      <c r="B98" s="179"/>
      <c r="C98" s="179"/>
      <c r="D98" s="31"/>
      <c r="E98" s="179" t="s">
        <v>17</v>
      </c>
      <c r="F98" s="179"/>
      <c r="G98" s="179"/>
    </row>
    <row r="99" spans="1:7"/>
  </sheetData>
  <sheetProtection password="CAF1" sheet="1" objects="1" scenarios="1" selectLockedCells="1"/>
  <mergeCells count="20">
    <mergeCell ref="A92:H92"/>
    <mergeCell ref="A93:H93"/>
    <mergeCell ref="A94:H94"/>
    <mergeCell ref="A98:C98"/>
    <mergeCell ref="E98:G98"/>
    <mergeCell ref="A90:H90"/>
    <mergeCell ref="A91:H91"/>
    <mergeCell ref="H1:H2"/>
    <mergeCell ref="A86:H86"/>
    <mergeCell ref="A87:H87"/>
    <mergeCell ref="A88:H88"/>
    <mergeCell ref="A89:H89"/>
    <mergeCell ref="A21:G21"/>
    <mergeCell ref="A84:D84"/>
    <mergeCell ref="C5:H5"/>
    <mergeCell ref="C6:H6"/>
    <mergeCell ref="C7:H7"/>
    <mergeCell ref="C8:H8"/>
    <mergeCell ref="C9:H9"/>
    <mergeCell ref="C10:H10"/>
  </mergeCells>
  <hyperlinks>
    <hyperlink ref="C1" location="'DATA SHEET'!A1" display="HIGHLANDS PRIME, INC." xr:uid="{00000000-0004-0000-0B00-000000000000}"/>
    <hyperlink ref="J3" location="'DATA SHEET'!A1" display="Return to Data Sheet" xr:uid="{00000000-0004-0000-0B00-000001000000}"/>
  </hyperlinks>
  <printOptions horizontalCentered="1"/>
  <pageMargins left="0.7" right="0.7" top="0.75" bottom="0.75" header="0.3" footer="0.3"/>
  <pageSetup paperSize="5" scale="75"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389E8F"/>
  </sheetPr>
  <dimension ref="A1:L88"/>
  <sheetViews>
    <sheetView showGridLines="0" topLeftCell="A4" workbookViewId="0">
      <selection activeCell="D15" sqref="D15"/>
    </sheetView>
  </sheetViews>
  <sheetFormatPr baseColWidth="10" defaultColWidth="0" defaultRowHeight="15" zeroHeight="1"/>
  <cols>
    <col min="1" max="1" width="11.83203125" style="13" customWidth="1"/>
    <col min="2" max="2" width="10.6640625" style="13" customWidth="1"/>
    <col min="3" max="3" width="24.5" style="13" customWidth="1"/>
    <col min="4" max="4" width="13.5" style="35" bestFit="1" customWidth="1"/>
    <col min="5" max="5" width="13.5" style="13" bestFit="1" customWidth="1"/>
    <col min="6" max="6" width="13.6640625" style="13" bestFit="1" customWidth="1"/>
    <col min="7" max="7" width="13.5" style="13" bestFit="1" customWidth="1"/>
    <col min="8" max="8" width="16.5" style="13" bestFit="1" customWidth="1"/>
    <col min="9" max="12" width="9.1640625" style="70" customWidth="1"/>
    <col min="13" max="16384" width="9.1640625" style="70" hidden="1"/>
  </cols>
  <sheetData>
    <row r="1" spans="1:10">
      <c r="C1" s="34" t="s">
        <v>33</v>
      </c>
      <c r="H1" s="163" t="s">
        <v>50</v>
      </c>
    </row>
    <row r="2" spans="1:10">
      <c r="C2" s="36" t="s">
        <v>182</v>
      </c>
      <c r="H2" s="163"/>
    </row>
    <row r="3" spans="1:10">
      <c r="C3" s="36" t="s">
        <v>34</v>
      </c>
      <c r="J3" s="69" t="s">
        <v>111</v>
      </c>
    </row>
    <row r="4" spans="1:10"/>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row>
    <row r="9" spans="1:10">
      <c r="A9" s="41" t="s">
        <v>167</v>
      </c>
      <c r="B9" s="91"/>
      <c r="C9" s="175">
        <f>'DATA SHEET'!C13</f>
        <v>8473400</v>
      </c>
      <c r="D9" s="175"/>
      <c r="E9" s="175"/>
      <c r="F9" s="175"/>
      <c r="G9" s="175"/>
      <c r="H9" s="176"/>
    </row>
    <row r="10" spans="1:10">
      <c r="A10" s="42" t="s">
        <v>31</v>
      </c>
      <c r="B10" s="43"/>
      <c r="C10" s="177" t="str">
        <f>'DATA SHEET'!C20</f>
        <v>30% over 48 months, 70% Lumpsum</v>
      </c>
      <c r="D10" s="177"/>
      <c r="E10" s="177"/>
      <c r="F10" s="177"/>
      <c r="G10" s="177"/>
      <c r="H10" s="178"/>
    </row>
    <row r="11" spans="1:10"/>
    <row r="12" spans="1:10">
      <c r="A12" s="36" t="s">
        <v>46</v>
      </c>
      <c r="B12" s="36"/>
    </row>
    <row r="13" spans="1:10" s="13" customFormat="1" ht="14">
      <c r="A13" s="14" t="s">
        <v>170</v>
      </c>
      <c r="D13" s="44">
        <f>(C9-650000)</f>
        <v>7823400</v>
      </c>
      <c r="E13" s="45" t="str">
        <f>LEFT(C8,9)</f>
        <v>1-Bedroom</v>
      </c>
      <c r="G13" s="36"/>
    </row>
    <row r="14" spans="1:10" s="13" customFormat="1" ht="14">
      <c r="A14" s="46" t="s">
        <v>191</v>
      </c>
      <c r="B14" s="47"/>
      <c r="C14" s="101">
        <v>0.01</v>
      </c>
      <c r="D14" s="48">
        <f>IF(C14&lt;=1%,(D13*C14),"BEYOND MAX DISC.")</f>
        <v>78234</v>
      </c>
      <c r="E14" s="35"/>
      <c r="G14" s="36"/>
    </row>
    <row r="15" spans="1:10" s="13" customFormat="1" ht="14">
      <c r="A15" s="46" t="s">
        <v>192</v>
      </c>
      <c r="B15" s="47"/>
      <c r="C15" s="101"/>
      <c r="D15" s="143">
        <f>VLOOKUP('DATA SHEET'!C10,'WESTCHASE PL'!$D$11:$H$33,5,0)</f>
        <v>230000</v>
      </c>
      <c r="E15" s="35"/>
      <c r="G15" s="36"/>
    </row>
    <row r="16" spans="1:10" s="13" customFormat="1" ht="14">
      <c r="A16" s="52" t="s">
        <v>174</v>
      </c>
      <c r="B16" s="15"/>
      <c r="C16" s="15"/>
      <c r="D16" s="53">
        <f>+D13-SUM(D14:D15)</f>
        <v>7515166</v>
      </c>
      <c r="E16" s="50"/>
      <c r="G16" s="36"/>
    </row>
    <row r="17" spans="1:8" s="13" customFormat="1" ht="14">
      <c r="A17" s="54" t="s">
        <v>154</v>
      </c>
      <c r="B17" s="54"/>
      <c r="C17" s="16">
        <v>0.05</v>
      </c>
      <c r="D17" s="55">
        <f>+D16/1.12*C17</f>
        <v>335498.4821428571</v>
      </c>
      <c r="E17" s="50"/>
      <c r="G17" s="36"/>
    </row>
    <row r="18" spans="1:8" s="13" customFormat="1" thickBot="1">
      <c r="A18" s="15" t="s">
        <v>47</v>
      </c>
      <c r="B18" s="15"/>
      <c r="C18" s="15"/>
      <c r="D18" s="56">
        <f>+SUM(D16:D17)</f>
        <v>7850664.4821428573</v>
      </c>
      <c r="E18" s="35"/>
      <c r="G18" s="36"/>
    </row>
    <row r="19" spans="1:8" ht="16" thickTop="1"/>
    <row r="20" spans="1:8">
      <c r="A20" s="57" t="s">
        <v>32</v>
      </c>
      <c r="B20" s="57" t="s">
        <v>155</v>
      </c>
      <c r="C20" s="57" t="s">
        <v>2</v>
      </c>
      <c r="D20" s="57" t="s">
        <v>156</v>
      </c>
      <c r="E20" s="57" t="s">
        <v>173</v>
      </c>
      <c r="F20" s="57" t="s">
        <v>158</v>
      </c>
      <c r="G20" s="59" t="s">
        <v>159</v>
      </c>
      <c r="H20" s="57" t="s">
        <v>160</v>
      </c>
    </row>
    <row r="21" spans="1:8">
      <c r="A21" s="165" t="s">
        <v>162</v>
      </c>
      <c r="B21" s="165"/>
      <c r="C21" s="165"/>
      <c r="D21" s="165"/>
      <c r="E21" s="165"/>
      <c r="F21" s="165"/>
      <c r="G21" s="165"/>
      <c r="H21" s="60">
        <f>+D18</f>
        <v>7850664.4821428573</v>
      </c>
    </row>
    <row r="22" spans="1:8">
      <c r="A22" s="61">
        <v>0</v>
      </c>
      <c r="B22" s="61"/>
      <c r="C22" s="61" t="s">
        <v>36</v>
      </c>
      <c r="D22" s="62">
        <f ca="1">'DATA SHEET'!C8</f>
        <v>43973</v>
      </c>
      <c r="E22" s="63">
        <f>IF(E13="1-Bedroom",50000,100000)</f>
        <v>50000</v>
      </c>
      <c r="F22" s="63"/>
      <c r="G22" s="63">
        <f>+SUM(E22:F22)</f>
        <v>50000</v>
      </c>
      <c r="H22" s="65">
        <f>D18-G22</f>
        <v>7800664.4821428573</v>
      </c>
    </row>
    <row r="23" spans="1:8">
      <c r="A23" s="61"/>
      <c r="B23" s="66">
        <v>0.3</v>
      </c>
      <c r="C23" s="61" t="s">
        <v>165</v>
      </c>
      <c r="D23" s="62"/>
      <c r="E23" s="63"/>
      <c r="F23" s="63"/>
      <c r="G23" s="63"/>
      <c r="H23" s="65"/>
    </row>
    <row r="24" spans="1:8">
      <c r="A24" s="61">
        <v>1</v>
      </c>
      <c r="B24" s="61"/>
      <c r="C24" s="61" t="s">
        <v>3</v>
      </c>
      <c r="D24" s="62">
        <f ca="1">EDATE(D22,1)</f>
        <v>44004</v>
      </c>
      <c r="E24" s="63">
        <f t="shared" ref="E24:E71" si="0">(($D$16*30%)-$E$22)/48</f>
        <v>45928.120833333327</v>
      </c>
      <c r="F24" s="63">
        <f>(($D$17*30%))/48</f>
        <v>2096.8655133928569</v>
      </c>
      <c r="G24" s="63">
        <f>+SUM(E24:F24)</f>
        <v>48024.986346726182</v>
      </c>
      <c r="H24" s="65">
        <f>H22-G24</f>
        <v>7752639.495796131</v>
      </c>
    </row>
    <row r="25" spans="1:8">
      <c r="A25" s="61">
        <f>+A24+1</f>
        <v>2</v>
      </c>
      <c r="B25" s="61"/>
      <c r="C25" s="61" t="s">
        <v>4</v>
      </c>
      <c r="D25" s="62">
        <f t="shared" ref="D25:D72" ca="1" si="1">EDATE(D24,1)</f>
        <v>44034</v>
      </c>
      <c r="E25" s="63">
        <f t="shared" si="0"/>
        <v>45928.120833333327</v>
      </c>
      <c r="F25" s="63">
        <f t="shared" ref="F25:F71" si="2">(($D$17*30%))/48</f>
        <v>2096.8655133928569</v>
      </c>
      <c r="G25" s="63">
        <f t="shared" ref="G25:G72" si="3">+SUM(E25:F25)</f>
        <v>48024.986346726182</v>
      </c>
      <c r="H25" s="65">
        <f t="shared" ref="H25:H72" si="4">H24-G25</f>
        <v>7704614.5094494047</v>
      </c>
    </row>
    <row r="26" spans="1:8">
      <c r="A26" s="61">
        <f t="shared" ref="A26:A72" si="5">+A25+1</f>
        <v>3</v>
      </c>
      <c r="B26" s="61"/>
      <c r="C26" s="61" t="s">
        <v>5</v>
      </c>
      <c r="D26" s="62">
        <f t="shared" ca="1" si="1"/>
        <v>44065</v>
      </c>
      <c r="E26" s="63">
        <f t="shared" si="0"/>
        <v>45928.120833333327</v>
      </c>
      <c r="F26" s="63">
        <f t="shared" si="2"/>
        <v>2096.8655133928569</v>
      </c>
      <c r="G26" s="63">
        <f t="shared" si="3"/>
        <v>48024.986346726182</v>
      </c>
      <c r="H26" s="65">
        <f t="shared" si="4"/>
        <v>7656589.5231026784</v>
      </c>
    </row>
    <row r="27" spans="1:8">
      <c r="A27" s="61">
        <f t="shared" si="5"/>
        <v>4</v>
      </c>
      <c r="B27" s="61"/>
      <c r="C27" s="61" t="s">
        <v>6</v>
      </c>
      <c r="D27" s="62">
        <f t="shared" ca="1" si="1"/>
        <v>44096</v>
      </c>
      <c r="E27" s="63">
        <f t="shared" si="0"/>
        <v>45928.120833333327</v>
      </c>
      <c r="F27" s="63">
        <f t="shared" si="2"/>
        <v>2096.8655133928569</v>
      </c>
      <c r="G27" s="63">
        <f t="shared" si="3"/>
        <v>48024.986346726182</v>
      </c>
      <c r="H27" s="65">
        <f t="shared" si="4"/>
        <v>7608564.5367559521</v>
      </c>
    </row>
    <row r="28" spans="1:8">
      <c r="A28" s="61">
        <f t="shared" si="5"/>
        <v>5</v>
      </c>
      <c r="B28" s="61"/>
      <c r="C28" s="61" t="s">
        <v>7</v>
      </c>
      <c r="D28" s="62">
        <f t="shared" ca="1" si="1"/>
        <v>44126</v>
      </c>
      <c r="E28" s="63">
        <f t="shared" si="0"/>
        <v>45928.120833333327</v>
      </c>
      <c r="F28" s="63">
        <f t="shared" si="2"/>
        <v>2096.8655133928569</v>
      </c>
      <c r="G28" s="63">
        <f t="shared" si="3"/>
        <v>48024.986346726182</v>
      </c>
      <c r="H28" s="65">
        <f t="shared" si="4"/>
        <v>7560539.5504092257</v>
      </c>
    </row>
    <row r="29" spans="1:8">
      <c r="A29" s="61">
        <f t="shared" si="5"/>
        <v>6</v>
      </c>
      <c r="B29" s="61"/>
      <c r="C29" s="61" t="s">
        <v>8</v>
      </c>
      <c r="D29" s="62">
        <f t="shared" ca="1" si="1"/>
        <v>44157</v>
      </c>
      <c r="E29" s="63">
        <f t="shared" si="0"/>
        <v>45928.120833333327</v>
      </c>
      <c r="F29" s="63">
        <f t="shared" si="2"/>
        <v>2096.8655133928569</v>
      </c>
      <c r="G29" s="63">
        <f t="shared" si="3"/>
        <v>48024.986346726182</v>
      </c>
      <c r="H29" s="65">
        <f t="shared" si="4"/>
        <v>7512514.5640624994</v>
      </c>
    </row>
    <row r="30" spans="1:8">
      <c r="A30" s="61">
        <f t="shared" si="5"/>
        <v>7</v>
      </c>
      <c r="B30" s="61"/>
      <c r="C30" s="61" t="s">
        <v>9</v>
      </c>
      <c r="D30" s="62">
        <f t="shared" ca="1" si="1"/>
        <v>44187</v>
      </c>
      <c r="E30" s="63">
        <f t="shared" si="0"/>
        <v>45928.120833333327</v>
      </c>
      <c r="F30" s="63">
        <f t="shared" si="2"/>
        <v>2096.8655133928569</v>
      </c>
      <c r="G30" s="63">
        <f t="shared" si="3"/>
        <v>48024.986346726182</v>
      </c>
      <c r="H30" s="65">
        <f t="shared" si="4"/>
        <v>7464489.5777157731</v>
      </c>
    </row>
    <row r="31" spans="1:8">
      <c r="A31" s="61">
        <f t="shared" si="5"/>
        <v>8</v>
      </c>
      <c r="B31" s="61"/>
      <c r="C31" s="61" t="s">
        <v>10</v>
      </c>
      <c r="D31" s="62">
        <f t="shared" ca="1" si="1"/>
        <v>44218</v>
      </c>
      <c r="E31" s="63">
        <f t="shared" si="0"/>
        <v>45928.120833333327</v>
      </c>
      <c r="F31" s="63">
        <f t="shared" si="2"/>
        <v>2096.8655133928569</v>
      </c>
      <c r="G31" s="63">
        <f t="shared" si="3"/>
        <v>48024.986346726182</v>
      </c>
      <c r="H31" s="65">
        <f t="shared" si="4"/>
        <v>7416464.5913690468</v>
      </c>
    </row>
    <row r="32" spans="1:8">
      <c r="A32" s="61">
        <f t="shared" si="5"/>
        <v>9</v>
      </c>
      <c r="B32" s="61"/>
      <c r="C32" s="61" t="s">
        <v>11</v>
      </c>
      <c r="D32" s="62">
        <f t="shared" ca="1" si="1"/>
        <v>44249</v>
      </c>
      <c r="E32" s="63">
        <f t="shared" si="0"/>
        <v>45928.120833333327</v>
      </c>
      <c r="F32" s="63">
        <f t="shared" si="2"/>
        <v>2096.8655133928569</v>
      </c>
      <c r="G32" s="63">
        <f t="shared" si="3"/>
        <v>48024.986346726182</v>
      </c>
      <c r="H32" s="65">
        <f t="shared" si="4"/>
        <v>7368439.6050223205</v>
      </c>
    </row>
    <row r="33" spans="1:8">
      <c r="A33" s="61">
        <f t="shared" si="5"/>
        <v>10</v>
      </c>
      <c r="B33" s="61"/>
      <c r="C33" s="61" t="s">
        <v>12</v>
      </c>
      <c r="D33" s="62">
        <f t="shared" ca="1" si="1"/>
        <v>44277</v>
      </c>
      <c r="E33" s="63">
        <f t="shared" si="0"/>
        <v>45928.120833333327</v>
      </c>
      <c r="F33" s="63">
        <f t="shared" si="2"/>
        <v>2096.8655133928569</v>
      </c>
      <c r="G33" s="63">
        <f t="shared" si="3"/>
        <v>48024.986346726182</v>
      </c>
      <c r="H33" s="65">
        <f t="shared" si="4"/>
        <v>7320414.6186755942</v>
      </c>
    </row>
    <row r="34" spans="1:8">
      <c r="A34" s="61">
        <f t="shared" si="5"/>
        <v>11</v>
      </c>
      <c r="B34" s="61"/>
      <c r="C34" s="61" t="s">
        <v>13</v>
      </c>
      <c r="D34" s="62">
        <f t="shared" ca="1" si="1"/>
        <v>44308</v>
      </c>
      <c r="E34" s="63">
        <f t="shared" si="0"/>
        <v>45928.120833333327</v>
      </c>
      <c r="F34" s="63">
        <f t="shared" si="2"/>
        <v>2096.8655133928569</v>
      </c>
      <c r="G34" s="63">
        <f t="shared" si="3"/>
        <v>48024.986346726182</v>
      </c>
      <c r="H34" s="65">
        <f t="shared" si="4"/>
        <v>7272389.6323288679</v>
      </c>
    </row>
    <row r="35" spans="1:8">
      <c r="A35" s="61">
        <f t="shared" si="5"/>
        <v>12</v>
      </c>
      <c r="B35" s="61"/>
      <c r="C35" s="61" t="s">
        <v>14</v>
      </c>
      <c r="D35" s="62">
        <f t="shared" ca="1" si="1"/>
        <v>44338</v>
      </c>
      <c r="E35" s="63">
        <f t="shared" si="0"/>
        <v>45928.120833333327</v>
      </c>
      <c r="F35" s="63">
        <f t="shared" si="2"/>
        <v>2096.8655133928569</v>
      </c>
      <c r="G35" s="63">
        <f t="shared" si="3"/>
        <v>48024.986346726182</v>
      </c>
      <c r="H35" s="65">
        <f t="shared" si="4"/>
        <v>7224364.6459821416</v>
      </c>
    </row>
    <row r="36" spans="1:8">
      <c r="A36" s="61">
        <f t="shared" si="5"/>
        <v>13</v>
      </c>
      <c r="B36" s="61"/>
      <c r="C36" s="61" t="s">
        <v>18</v>
      </c>
      <c r="D36" s="62">
        <f t="shared" ca="1" si="1"/>
        <v>44369</v>
      </c>
      <c r="E36" s="63">
        <f t="shared" si="0"/>
        <v>45928.120833333327</v>
      </c>
      <c r="F36" s="63">
        <f t="shared" si="2"/>
        <v>2096.8655133928569</v>
      </c>
      <c r="G36" s="63">
        <f t="shared" si="3"/>
        <v>48024.986346726182</v>
      </c>
      <c r="H36" s="65">
        <f t="shared" si="4"/>
        <v>7176339.6596354153</v>
      </c>
    </row>
    <row r="37" spans="1:8">
      <c r="A37" s="61">
        <f t="shared" si="5"/>
        <v>14</v>
      </c>
      <c r="B37" s="61"/>
      <c r="C37" s="61" t="s">
        <v>19</v>
      </c>
      <c r="D37" s="62">
        <f t="shared" ca="1" si="1"/>
        <v>44399</v>
      </c>
      <c r="E37" s="63">
        <f t="shared" si="0"/>
        <v>45928.120833333327</v>
      </c>
      <c r="F37" s="63">
        <f t="shared" si="2"/>
        <v>2096.8655133928569</v>
      </c>
      <c r="G37" s="63">
        <f t="shared" si="3"/>
        <v>48024.986346726182</v>
      </c>
      <c r="H37" s="65">
        <f t="shared" si="4"/>
        <v>7128314.673288689</v>
      </c>
    </row>
    <row r="38" spans="1:8">
      <c r="A38" s="61">
        <f t="shared" si="5"/>
        <v>15</v>
      </c>
      <c r="B38" s="61"/>
      <c r="C38" s="61" t="s">
        <v>20</v>
      </c>
      <c r="D38" s="62">
        <f t="shared" ca="1" si="1"/>
        <v>44430</v>
      </c>
      <c r="E38" s="63">
        <f t="shared" si="0"/>
        <v>45928.120833333327</v>
      </c>
      <c r="F38" s="63">
        <f t="shared" si="2"/>
        <v>2096.8655133928569</v>
      </c>
      <c r="G38" s="63">
        <f t="shared" si="3"/>
        <v>48024.986346726182</v>
      </c>
      <c r="H38" s="65">
        <f t="shared" si="4"/>
        <v>7080289.6869419627</v>
      </c>
    </row>
    <row r="39" spans="1:8">
      <c r="A39" s="61">
        <f t="shared" si="5"/>
        <v>16</v>
      </c>
      <c r="B39" s="61"/>
      <c r="C39" s="61" t="s">
        <v>21</v>
      </c>
      <c r="D39" s="62">
        <f t="shared" ca="1" si="1"/>
        <v>44461</v>
      </c>
      <c r="E39" s="63">
        <f t="shared" si="0"/>
        <v>45928.120833333327</v>
      </c>
      <c r="F39" s="63">
        <f t="shared" si="2"/>
        <v>2096.8655133928569</v>
      </c>
      <c r="G39" s="63">
        <f t="shared" si="3"/>
        <v>48024.986346726182</v>
      </c>
      <c r="H39" s="65">
        <f t="shared" si="4"/>
        <v>7032264.7005952364</v>
      </c>
    </row>
    <row r="40" spans="1:8">
      <c r="A40" s="61">
        <f t="shared" si="5"/>
        <v>17</v>
      </c>
      <c r="B40" s="61"/>
      <c r="C40" s="61" t="s">
        <v>22</v>
      </c>
      <c r="D40" s="62">
        <f t="shared" ca="1" si="1"/>
        <v>44491</v>
      </c>
      <c r="E40" s="63">
        <f t="shared" si="0"/>
        <v>45928.120833333327</v>
      </c>
      <c r="F40" s="63">
        <f t="shared" si="2"/>
        <v>2096.8655133928569</v>
      </c>
      <c r="G40" s="63">
        <f t="shared" si="3"/>
        <v>48024.986346726182</v>
      </c>
      <c r="H40" s="65">
        <f t="shared" si="4"/>
        <v>6984239.7142485101</v>
      </c>
    </row>
    <row r="41" spans="1:8">
      <c r="A41" s="61">
        <f t="shared" si="5"/>
        <v>18</v>
      </c>
      <c r="B41" s="61"/>
      <c r="C41" s="61" t="s">
        <v>23</v>
      </c>
      <c r="D41" s="62">
        <f t="shared" ca="1" si="1"/>
        <v>44522</v>
      </c>
      <c r="E41" s="63">
        <f t="shared" si="0"/>
        <v>45928.120833333327</v>
      </c>
      <c r="F41" s="63">
        <f t="shared" si="2"/>
        <v>2096.8655133928569</v>
      </c>
      <c r="G41" s="63">
        <f t="shared" si="3"/>
        <v>48024.986346726182</v>
      </c>
      <c r="H41" s="65">
        <f t="shared" si="4"/>
        <v>6936214.7279017838</v>
      </c>
    </row>
    <row r="42" spans="1:8">
      <c r="A42" s="61">
        <f t="shared" si="5"/>
        <v>19</v>
      </c>
      <c r="B42" s="61"/>
      <c r="C42" s="61" t="s">
        <v>24</v>
      </c>
      <c r="D42" s="62">
        <f t="shared" ca="1" si="1"/>
        <v>44552</v>
      </c>
      <c r="E42" s="63">
        <f t="shared" si="0"/>
        <v>45928.120833333327</v>
      </c>
      <c r="F42" s="63">
        <f t="shared" si="2"/>
        <v>2096.8655133928569</v>
      </c>
      <c r="G42" s="63">
        <f t="shared" si="3"/>
        <v>48024.986346726182</v>
      </c>
      <c r="H42" s="65">
        <f t="shared" si="4"/>
        <v>6888189.7415550575</v>
      </c>
    </row>
    <row r="43" spans="1:8">
      <c r="A43" s="61">
        <f t="shared" si="5"/>
        <v>20</v>
      </c>
      <c r="B43" s="61"/>
      <c r="C43" s="61" t="s">
        <v>25</v>
      </c>
      <c r="D43" s="62">
        <f t="shared" ca="1" si="1"/>
        <v>44583</v>
      </c>
      <c r="E43" s="63">
        <f t="shared" si="0"/>
        <v>45928.120833333327</v>
      </c>
      <c r="F43" s="63">
        <f t="shared" si="2"/>
        <v>2096.8655133928569</v>
      </c>
      <c r="G43" s="63">
        <f t="shared" si="3"/>
        <v>48024.986346726182</v>
      </c>
      <c r="H43" s="65">
        <f t="shared" si="4"/>
        <v>6840164.7552083312</v>
      </c>
    </row>
    <row r="44" spans="1:8">
      <c r="A44" s="61">
        <f t="shared" si="5"/>
        <v>21</v>
      </c>
      <c r="B44" s="61"/>
      <c r="C44" s="61" t="s">
        <v>26</v>
      </c>
      <c r="D44" s="62">
        <f t="shared" ca="1" si="1"/>
        <v>44614</v>
      </c>
      <c r="E44" s="63">
        <f t="shared" si="0"/>
        <v>45928.120833333327</v>
      </c>
      <c r="F44" s="63">
        <f t="shared" si="2"/>
        <v>2096.8655133928569</v>
      </c>
      <c r="G44" s="63">
        <f t="shared" si="3"/>
        <v>48024.986346726182</v>
      </c>
      <c r="H44" s="65">
        <f t="shared" si="4"/>
        <v>6792139.7688616049</v>
      </c>
    </row>
    <row r="45" spans="1:8">
      <c r="A45" s="61">
        <f t="shared" si="5"/>
        <v>22</v>
      </c>
      <c r="B45" s="61"/>
      <c r="C45" s="61" t="s">
        <v>27</v>
      </c>
      <c r="D45" s="62">
        <f t="shared" ca="1" si="1"/>
        <v>44642</v>
      </c>
      <c r="E45" s="63">
        <f t="shared" si="0"/>
        <v>45928.120833333327</v>
      </c>
      <c r="F45" s="63">
        <f t="shared" si="2"/>
        <v>2096.8655133928569</v>
      </c>
      <c r="G45" s="63">
        <f t="shared" si="3"/>
        <v>48024.986346726182</v>
      </c>
      <c r="H45" s="65">
        <f t="shared" si="4"/>
        <v>6744114.7825148785</v>
      </c>
    </row>
    <row r="46" spans="1:8">
      <c r="A46" s="61">
        <f t="shared" si="5"/>
        <v>23</v>
      </c>
      <c r="B46" s="61"/>
      <c r="C46" s="61" t="s">
        <v>28</v>
      </c>
      <c r="D46" s="62">
        <f t="shared" ca="1" si="1"/>
        <v>44673</v>
      </c>
      <c r="E46" s="63">
        <f t="shared" si="0"/>
        <v>45928.120833333327</v>
      </c>
      <c r="F46" s="63">
        <f t="shared" si="2"/>
        <v>2096.8655133928569</v>
      </c>
      <c r="G46" s="63">
        <f t="shared" si="3"/>
        <v>48024.986346726182</v>
      </c>
      <c r="H46" s="65">
        <f t="shared" si="4"/>
        <v>6696089.7961681522</v>
      </c>
    </row>
    <row r="47" spans="1:8">
      <c r="A47" s="61">
        <f t="shared" si="5"/>
        <v>24</v>
      </c>
      <c r="B47" s="61"/>
      <c r="C47" s="61" t="s">
        <v>29</v>
      </c>
      <c r="D47" s="62">
        <f t="shared" ca="1" si="1"/>
        <v>44703</v>
      </c>
      <c r="E47" s="63">
        <f t="shared" si="0"/>
        <v>45928.120833333327</v>
      </c>
      <c r="F47" s="63">
        <f t="shared" si="2"/>
        <v>2096.8655133928569</v>
      </c>
      <c r="G47" s="63">
        <f t="shared" si="3"/>
        <v>48024.986346726182</v>
      </c>
      <c r="H47" s="65">
        <f t="shared" si="4"/>
        <v>6648064.8098214259</v>
      </c>
    </row>
    <row r="48" spans="1:8">
      <c r="A48" s="61">
        <f t="shared" si="5"/>
        <v>25</v>
      </c>
      <c r="B48" s="61"/>
      <c r="C48" s="61" t="s">
        <v>40</v>
      </c>
      <c r="D48" s="62">
        <f t="shared" ca="1" si="1"/>
        <v>44734</v>
      </c>
      <c r="E48" s="63">
        <f t="shared" si="0"/>
        <v>45928.120833333327</v>
      </c>
      <c r="F48" s="63">
        <f t="shared" si="2"/>
        <v>2096.8655133928569</v>
      </c>
      <c r="G48" s="63">
        <f t="shared" si="3"/>
        <v>48024.986346726182</v>
      </c>
      <c r="H48" s="65">
        <f t="shared" si="4"/>
        <v>6600039.8234746996</v>
      </c>
    </row>
    <row r="49" spans="1:8">
      <c r="A49" s="61">
        <f t="shared" si="5"/>
        <v>26</v>
      </c>
      <c r="B49" s="61"/>
      <c r="C49" s="61" t="s">
        <v>41</v>
      </c>
      <c r="D49" s="62">
        <f t="shared" ca="1" si="1"/>
        <v>44764</v>
      </c>
      <c r="E49" s="63">
        <f t="shared" si="0"/>
        <v>45928.120833333327</v>
      </c>
      <c r="F49" s="63">
        <f t="shared" si="2"/>
        <v>2096.8655133928569</v>
      </c>
      <c r="G49" s="63">
        <f t="shared" si="3"/>
        <v>48024.986346726182</v>
      </c>
      <c r="H49" s="65">
        <f t="shared" si="4"/>
        <v>6552014.8371279733</v>
      </c>
    </row>
    <row r="50" spans="1:8">
      <c r="A50" s="61">
        <f t="shared" si="5"/>
        <v>27</v>
      </c>
      <c r="B50" s="61"/>
      <c r="C50" s="61" t="s">
        <v>42</v>
      </c>
      <c r="D50" s="62">
        <f t="shared" ca="1" si="1"/>
        <v>44795</v>
      </c>
      <c r="E50" s="63">
        <f t="shared" si="0"/>
        <v>45928.120833333327</v>
      </c>
      <c r="F50" s="63">
        <f t="shared" si="2"/>
        <v>2096.8655133928569</v>
      </c>
      <c r="G50" s="63">
        <f t="shared" si="3"/>
        <v>48024.986346726182</v>
      </c>
      <c r="H50" s="65">
        <f t="shared" si="4"/>
        <v>6503989.850781247</v>
      </c>
    </row>
    <row r="51" spans="1:8">
      <c r="A51" s="61">
        <f t="shared" si="5"/>
        <v>28</v>
      </c>
      <c r="B51" s="61"/>
      <c r="C51" s="61" t="s">
        <v>43</v>
      </c>
      <c r="D51" s="62">
        <f t="shared" ca="1" si="1"/>
        <v>44826</v>
      </c>
      <c r="E51" s="63">
        <f t="shared" si="0"/>
        <v>45928.120833333327</v>
      </c>
      <c r="F51" s="63">
        <f t="shared" si="2"/>
        <v>2096.8655133928569</v>
      </c>
      <c r="G51" s="63">
        <f t="shared" si="3"/>
        <v>48024.986346726182</v>
      </c>
      <c r="H51" s="65">
        <f t="shared" si="4"/>
        <v>6455964.8644345207</v>
      </c>
    </row>
    <row r="52" spans="1:8">
      <c r="A52" s="61">
        <f t="shared" si="5"/>
        <v>29</v>
      </c>
      <c r="B52" s="61"/>
      <c r="C52" s="61" t="s">
        <v>44</v>
      </c>
      <c r="D52" s="62">
        <f t="shared" ca="1" si="1"/>
        <v>44856</v>
      </c>
      <c r="E52" s="63">
        <f t="shared" si="0"/>
        <v>45928.120833333327</v>
      </c>
      <c r="F52" s="63">
        <f t="shared" si="2"/>
        <v>2096.8655133928569</v>
      </c>
      <c r="G52" s="63">
        <f t="shared" si="3"/>
        <v>48024.986346726182</v>
      </c>
      <c r="H52" s="65">
        <f t="shared" si="4"/>
        <v>6407939.8780877944</v>
      </c>
    </row>
    <row r="53" spans="1:8">
      <c r="A53" s="61">
        <f t="shared" si="5"/>
        <v>30</v>
      </c>
      <c r="B53" s="61"/>
      <c r="C53" s="61" t="s">
        <v>45</v>
      </c>
      <c r="D53" s="62">
        <f t="shared" ca="1" si="1"/>
        <v>44887</v>
      </c>
      <c r="E53" s="63">
        <f t="shared" si="0"/>
        <v>45928.120833333327</v>
      </c>
      <c r="F53" s="63">
        <f t="shared" si="2"/>
        <v>2096.8655133928569</v>
      </c>
      <c r="G53" s="63">
        <f t="shared" si="3"/>
        <v>48024.986346726182</v>
      </c>
      <c r="H53" s="65">
        <f t="shared" si="4"/>
        <v>6359914.8917410681</v>
      </c>
    </row>
    <row r="54" spans="1:8">
      <c r="A54" s="61">
        <f t="shared" si="5"/>
        <v>31</v>
      </c>
      <c r="B54" s="61"/>
      <c r="C54" s="61" t="s">
        <v>59</v>
      </c>
      <c r="D54" s="62">
        <f t="shared" ca="1" si="1"/>
        <v>44917</v>
      </c>
      <c r="E54" s="63">
        <f t="shared" si="0"/>
        <v>45928.120833333327</v>
      </c>
      <c r="F54" s="63">
        <f t="shared" si="2"/>
        <v>2096.8655133928569</v>
      </c>
      <c r="G54" s="63">
        <f t="shared" si="3"/>
        <v>48024.986346726182</v>
      </c>
      <c r="H54" s="65">
        <f t="shared" si="4"/>
        <v>6311889.9053943418</v>
      </c>
    </row>
    <row r="55" spans="1:8">
      <c r="A55" s="61">
        <f t="shared" si="5"/>
        <v>32</v>
      </c>
      <c r="B55" s="61"/>
      <c r="C55" s="61" t="s">
        <v>60</v>
      </c>
      <c r="D55" s="62">
        <f t="shared" ca="1" si="1"/>
        <v>44948</v>
      </c>
      <c r="E55" s="63">
        <f t="shared" si="0"/>
        <v>45928.120833333327</v>
      </c>
      <c r="F55" s="63">
        <f t="shared" si="2"/>
        <v>2096.8655133928569</v>
      </c>
      <c r="G55" s="63">
        <f t="shared" si="3"/>
        <v>48024.986346726182</v>
      </c>
      <c r="H55" s="65">
        <f t="shared" si="4"/>
        <v>6263864.9190476155</v>
      </c>
    </row>
    <row r="56" spans="1:8">
      <c r="A56" s="61">
        <f t="shared" si="5"/>
        <v>33</v>
      </c>
      <c r="B56" s="61"/>
      <c r="C56" s="61" t="s">
        <v>61</v>
      </c>
      <c r="D56" s="62">
        <f t="shared" ca="1" si="1"/>
        <v>44979</v>
      </c>
      <c r="E56" s="63">
        <f t="shared" si="0"/>
        <v>45928.120833333327</v>
      </c>
      <c r="F56" s="63">
        <f t="shared" si="2"/>
        <v>2096.8655133928569</v>
      </c>
      <c r="G56" s="63">
        <f t="shared" si="3"/>
        <v>48024.986346726182</v>
      </c>
      <c r="H56" s="65">
        <f t="shared" si="4"/>
        <v>6215839.9327008892</v>
      </c>
    </row>
    <row r="57" spans="1:8">
      <c r="A57" s="61">
        <f t="shared" si="5"/>
        <v>34</v>
      </c>
      <c r="B57" s="61"/>
      <c r="C57" s="61" t="s">
        <v>62</v>
      </c>
      <c r="D57" s="62">
        <f t="shared" ca="1" si="1"/>
        <v>45007</v>
      </c>
      <c r="E57" s="63">
        <f t="shared" si="0"/>
        <v>45928.120833333327</v>
      </c>
      <c r="F57" s="63">
        <f t="shared" si="2"/>
        <v>2096.8655133928569</v>
      </c>
      <c r="G57" s="63">
        <f t="shared" si="3"/>
        <v>48024.986346726182</v>
      </c>
      <c r="H57" s="65">
        <f t="shared" si="4"/>
        <v>6167814.9463541629</v>
      </c>
    </row>
    <row r="58" spans="1:8">
      <c r="A58" s="61">
        <f t="shared" si="5"/>
        <v>35</v>
      </c>
      <c r="B58" s="61"/>
      <c r="C58" s="61" t="s">
        <v>63</v>
      </c>
      <c r="D58" s="62">
        <f t="shared" ca="1" si="1"/>
        <v>45038</v>
      </c>
      <c r="E58" s="63">
        <f t="shared" si="0"/>
        <v>45928.120833333327</v>
      </c>
      <c r="F58" s="63">
        <f t="shared" si="2"/>
        <v>2096.8655133928569</v>
      </c>
      <c r="G58" s="63">
        <f t="shared" si="3"/>
        <v>48024.986346726182</v>
      </c>
      <c r="H58" s="65">
        <f t="shared" si="4"/>
        <v>6119789.9600074366</v>
      </c>
    </row>
    <row r="59" spans="1:8">
      <c r="A59" s="61">
        <f t="shared" si="5"/>
        <v>36</v>
      </c>
      <c r="B59" s="61"/>
      <c r="C59" s="61" t="s">
        <v>64</v>
      </c>
      <c r="D59" s="62">
        <f t="shared" ca="1" si="1"/>
        <v>45068</v>
      </c>
      <c r="E59" s="63">
        <f t="shared" si="0"/>
        <v>45928.120833333327</v>
      </c>
      <c r="F59" s="63">
        <f t="shared" si="2"/>
        <v>2096.8655133928569</v>
      </c>
      <c r="G59" s="63">
        <f t="shared" si="3"/>
        <v>48024.986346726182</v>
      </c>
      <c r="H59" s="65">
        <f t="shared" si="4"/>
        <v>6071764.9736607103</v>
      </c>
    </row>
    <row r="60" spans="1:8">
      <c r="A60" s="61">
        <f t="shared" si="5"/>
        <v>37</v>
      </c>
      <c r="B60" s="61"/>
      <c r="C60" s="61" t="s">
        <v>65</v>
      </c>
      <c r="D60" s="62">
        <f t="shared" ca="1" si="1"/>
        <v>45099</v>
      </c>
      <c r="E60" s="63">
        <f t="shared" si="0"/>
        <v>45928.120833333327</v>
      </c>
      <c r="F60" s="63">
        <f t="shared" si="2"/>
        <v>2096.8655133928569</v>
      </c>
      <c r="G60" s="63">
        <f t="shared" si="3"/>
        <v>48024.986346726182</v>
      </c>
      <c r="H60" s="65">
        <f t="shared" si="4"/>
        <v>6023739.987313984</v>
      </c>
    </row>
    <row r="61" spans="1:8">
      <c r="A61" s="61">
        <f t="shared" si="5"/>
        <v>38</v>
      </c>
      <c r="B61" s="61"/>
      <c r="C61" s="61" t="s">
        <v>66</v>
      </c>
      <c r="D61" s="62">
        <f t="shared" ca="1" si="1"/>
        <v>45129</v>
      </c>
      <c r="E61" s="63">
        <f t="shared" si="0"/>
        <v>45928.120833333327</v>
      </c>
      <c r="F61" s="63">
        <f t="shared" si="2"/>
        <v>2096.8655133928569</v>
      </c>
      <c r="G61" s="63">
        <f t="shared" si="3"/>
        <v>48024.986346726182</v>
      </c>
      <c r="H61" s="65">
        <f t="shared" si="4"/>
        <v>5975715.0009672577</v>
      </c>
    </row>
    <row r="62" spans="1:8">
      <c r="A62" s="61">
        <f t="shared" si="5"/>
        <v>39</v>
      </c>
      <c r="B62" s="61"/>
      <c r="C62" s="61" t="s">
        <v>67</v>
      </c>
      <c r="D62" s="62">
        <f t="shared" ca="1" si="1"/>
        <v>45160</v>
      </c>
      <c r="E62" s="63">
        <f t="shared" si="0"/>
        <v>45928.120833333327</v>
      </c>
      <c r="F62" s="63">
        <f t="shared" si="2"/>
        <v>2096.8655133928569</v>
      </c>
      <c r="G62" s="63">
        <f t="shared" si="3"/>
        <v>48024.986346726182</v>
      </c>
      <c r="H62" s="65">
        <f t="shared" si="4"/>
        <v>5927690.0146205314</v>
      </c>
    </row>
    <row r="63" spans="1:8">
      <c r="A63" s="61">
        <f t="shared" si="5"/>
        <v>40</v>
      </c>
      <c r="B63" s="61"/>
      <c r="C63" s="61" t="s">
        <v>68</v>
      </c>
      <c r="D63" s="62">
        <f t="shared" ca="1" si="1"/>
        <v>45191</v>
      </c>
      <c r="E63" s="63">
        <f t="shared" si="0"/>
        <v>45928.120833333327</v>
      </c>
      <c r="F63" s="63">
        <f t="shared" si="2"/>
        <v>2096.8655133928569</v>
      </c>
      <c r="G63" s="63">
        <f t="shared" si="3"/>
        <v>48024.986346726182</v>
      </c>
      <c r="H63" s="65">
        <f t="shared" si="4"/>
        <v>5879665.028273805</v>
      </c>
    </row>
    <row r="64" spans="1:8">
      <c r="A64" s="61">
        <f t="shared" si="5"/>
        <v>41</v>
      </c>
      <c r="B64" s="61"/>
      <c r="C64" s="61" t="s">
        <v>69</v>
      </c>
      <c r="D64" s="62">
        <f t="shared" ca="1" si="1"/>
        <v>45221</v>
      </c>
      <c r="E64" s="63">
        <f t="shared" si="0"/>
        <v>45928.120833333327</v>
      </c>
      <c r="F64" s="63">
        <f t="shared" si="2"/>
        <v>2096.8655133928569</v>
      </c>
      <c r="G64" s="63">
        <f t="shared" si="3"/>
        <v>48024.986346726182</v>
      </c>
      <c r="H64" s="65">
        <f t="shared" si="4"/>
        <v>5831640.0419270787</v>
      </c>
    </row>
    <row r="65" spans="1:8">
      <c r="A65" s="61">
        <f t="shared" si="5"/>
        <v>42</v>
      </c>
      <c r="B65" s="61"/>
      <c r="C65" s="61" t="s">
        <v>70</v>
      </c>
      <c r="D65" s="62">
        <f t="shared" ca="1" si="1"/>
        <v>45252</v>
      </c>
      <c r="E65" s="63">
        <f t="shared" si="0"/>
        <v>45928.120833333327</v>
      </c>
      <c r="F65" s="63">
        <f t="shared" si="2"/>
        <v>2096.8655133928569</v>
      </c>
      <c r="G65" s="63">
        <f t="shared" si="3"/>
        <v>48024.986346726182</v>
      </c>
      <c r="H65" s="65">
        <f t="shared" si="4"/>
        <v>5783615.0555803524</v>
      </c>
    </row>
    <row r="66" spans="1:8">
      <c r="A66" s="61">
        <f t="shared" si="5"/>
        <v>43</v>
      </c>
      <c r="B66" s="61"/>
      <c r="C66" s="61" t="s">
        <v>71</v>
      </c>
      <c r="D66" s="62">
        <f t="shared" ca="1" si="1"/>
        <v>45282</v>
      </c>
      <c r="E66" s="63">
        <f t="shared" si="0"/>
        <v>45928.120833333327</v>
      </c>
      <c r="F66" s="63">
        <f t="shared" si="2"/>
        <v>2096.8655133928569</v>
      </c>
      <c r="G66" s="63">
        <f t="shared" si="3"/>
        <v>48024.986346726182</v>
      </c>
      <c r="H66" s="65">
        <f t="shared" si="4"/>
        <v>5735590.0692336261</v>
      </c>
    </row>
    <row r="67" spans="1:8">
      <c r="A67" s="61">
        <f t="shared" si="5"/>
        <v>44</v>
      </c>
      <c r="B67" s="61"/>
      <c r="C67" s="61" t="s">
        <v>72</v>
      </c>
      <c r="D67" s="62">
        <f t="shared" ca="1" si="1"/>
        <v>45313</v>
      </c>
      <c r="E67" s="63">
        <f t="shared" si="0"/>
        <v>45928.120833333327</v>
      </c>
      <c r="F67" s="63">
        <f t="shared" si="2"/>
        <v>2096.8655133928569</v>
      </c>
      <c r="G67" s="63">
        <f t="shared" si="3"/>
        <v>48024.986346726182</v>
      </c>
      <c r="H67" s="65">
        <f t="shared" si="4"/>
        <v>5687565.0828868998</v>
      </c>
    </row>
    <row r="68" spans="1:8">
      <c r="A68" s="61">
        <f t="shared" si="5"/>
        <v>45</v>
      </c>
      <c r="B68" s="61"/>
      <c r="C68" s="61" t="s">
        <v>73</v>
      </c>
      <c r="D68" s="62">
        <f t="shared" ca="1" si="1"/>
        <v>45344</v>
      </c>
      <c r="E68" s="63">
        <f t="shared" si="0"/>
        <v>45928.120833333327</v>
      </c>
      <c r="F68" s="63">
        <f t="shared" si="2"/>
        <v>2096.8655133928569</v>
      </c>
      <c r="G68" s="63">
        <f t="shared" si="3"/>
        <v>48024.986346726182</v>
      </c>
      <c r="H68" s="65">
        <f t="shared" si="4"/>
        <v>5639540.0965401735</v>
      </c>
    </row>
    <row r="69" spans="1:8">
      <c r="A69" s="61">
        <f t="shared" si="5"/>
        <v>46</v>
      </c>
      <c r="B69" s="61"/>
      <c r="C69" s="61" t="s">
        <v>74</v>
      </c>
      <c r="D69" s="62">
        <f t="shared" ca="1" si="1"/>
        <v>45373</v>
      </c>
      <c r="E69" s="63">
        <f t="shared" si="0"/>
        <v>45928.120833333327</v>
      </c>
      <c r="F69" s="63">
        <f t="shared" si="2"/>
        <v>2096.8655133928569</v>
      </c>
      <c r="G69" s="63">
        <f t="shared" si="3"/>
        <v>48024.986346726182</v>
      </c>
      <c r="H69" s="65">
        <f t="shared" si="4"/>
        <v>5591515.1101934472</v>
      </c>
    </row>
    <row r="70" spans="1:8">
      <c r="A70" s="61">
        <f t="shared" si="5"/>
        <v>47</v>
      </c>
      <c r="B70" s="61"/>
      <c r="C70" s="61" t="s">
        <v>75</v>
      </c>
      <c r="D70" s="62">
        <f t="shared" ca="1" si="1"/>
        <v>45404</v>
      </c>
      <c r="E70" s="63">
        <f t="shared" si="0"/>
        <v>45928.120833333327</v>
      </c>
      <c r="F70" s="63">
        <f t="shared" si="2"/>
        <v>2096.8655133928569</v>
      </c>
      <c r="G70" s="63">
        <f t="shared" si="3"/>
        <v>48024.986346726182</v>
      </c>
      <c r="H70" s="65">
        <f t="shared" si="4"/>
        <v>5543490.1238467209</v>
      </c>
    </row>
    <row r="71" spans="1:8">
      <c r="A71" s="61">
        <f t="shared" si="5"/>
        <v>48</v>
      </c>
      <c r="B71" s="61"/>
      <c r="C71" s="61" t="s">
        <v>76</v>
      </c>
      <c r="D71" s="62">
        <f t="shared" ca="1" si="1"/>
        <v>45434</v>
      </c>
      <c r="E71" s="63">
        <f t="shared" si="0"/>
        <v>45928.120833333327</v>
      </c>
      <c r="F71" s="63">
        <f t="shared" si="2"/>
        <v>2096.8655133928569</v>
      </c>
      <c r="G71" s="63">
        <f t="shared" si="3"/>
        <v>48024.986346726182</v>
      </c>
      <c r="H71" s="65">
        <f t="shared" si="4"/>
        <v>5495465.1374999946</v>
      </c>
    </row>
    <row r="72" spans="1:8">
      <c r="A72" s="61">
        <f t="shared" si="5"/>
        <v>49</v>
      </c>
      <c r="B72" s="66">
        <v>0.7</v>
      </c>
      <c r="C72" s="61" t="s">
        <v>105</v>
      </c>
      <c r="D72" s="62">
        <f t="shared" ca="1" si="1"/>
        <v>45465</v>
      </c>
      <c r="E72" s="63">
        <f>D16*70%</f>
        <v>5260616.1999999993</v>
      </c>
      <c r="F72" s="63">
        <f>+D17*70%</f>
        <v>234848.93749999994</v>
      </c>
      <c r="G72" s="63">
        <f t="shared" si="3"/>
        <v>5495465.1374999993</v>
      </c>
      <c r="H72" s="65">
        <f t="shared" si="4"/>
        <v>0</v>
      </c>
    </row>
    <row r="73" spans="1:8">
      <c r="A73" s="166" t="s">
        <v>15</v>
      </c>
      <c r="B73" s="166"/>
      <c r="C73" s="166"/>
      <c r="D73" s="166"/>
      <c r="E73" s="67">
        <f>SUM(E22:E72)</f>
        <v>7515165.9999999991</v>
      </c>
      <c r="F73" s="67">
        <f t="shared" ref="F73:G73" si="6">SUM(F22:F72)</f>
        <v>335498.48214285698</v>
      </c>
      <c r="G73" s="67">
        <f t="shared" si="6"/>
        <v>7850664.4821428545</v>
      </c>
      <c r="H73" s="68"/>
    </row>
    <row r="74" spans="1:8" s="14" customFormat="1" ht="14">
      <c r="C74" s="28"/>
      <c r="D74" s="29"/>
      <c r="E74" s="30"/>
      <c r="F74" s="30"/>
      <c r="G74" s="30"/>
    </row>
    <row r="75" spans="1:8" s="14" customFormat="1" ht="14">
      <c r="A75" s="162" t="s">
        <v>136</v>
      </c>
      <c r="B75" s="162"/>
      <c r="C75" s="162"/>
      <c r="D75" s="162"/>
      <c r="E75" s="162"/>
      <c r="F75" s="162"/>
      <c r="G75" s="162"/>
      <c r="H75" s="162"/>
    </row>
    <row r="76" spans="1:8" s="14" customFormat="1" ht="29.25" customHeight="1">
      <c r="A76" s="164" t="s">
        <v>175</v>
      </c>
      <c r="B76" s="164"/>
      <c r="C76" s="164"/>
      <c r="D76" s="164"/>
      <c r="E76" s="164"/>
      <c r="F76" s="164"/>
      <c r="G76" s="164"/>
      <c r="H76" s="164"/>
    </row>
    <row r="77" spans="1:8" s="14" customFormat="1" ht="16.5" customHeight="1">
      <c r="A77" s="162" t="s">
        <v>176</v>
      </c>
      <c r="B77" s="162"/>
      <c r="C77" s="162"/>
      <c r="D77" s="162"/>
      <c r="E77" s="162"/>
      <c r="F77" s="162"/>
      <c r="G77" s="162"/>
      <c r="H77" s="162"/>
    </row>
    <row r="78" spans="1:8" s="14" customFormat="1" ht="16.5" customHeight="1">
      <c r="A78" s="162" t="s">
        <v>177</v>
      </c>
      <c r="B78" s="162"/>
      <c r="C78" s="162"/>
      <c r="D78" s="162"/>
      <c r="E78" s="162"/>
      <c r="F78" s="162"/>
      <c r="G78" s="162"/>
      <c r="H78" s="162"/>
    </row>
    <row r="79" spans="1:8" s="14" customFormat="1" ht="16.5" customHeight="1">
      <c r="A79" s="162" t="s">
        <v>178</v>
      </c>
      <c r="B79" s="162"/>
      <c r="C79" s="162"/>
      <c r="D79" s="162"/>
      <c r="E79" s="162"/>
      <c r="F79" s="162"/>
      <c r="G79" s="162"/>
      <c r="H79" s="162"/>
    </row>
    <row r="80" spans="1:8" s="14" customFormat="1" ht="107.25" customHeight="1">
      <c r="A80" s="162" t="s">
        <v>179</v>
      </c>
      <c r="B80" s="162"/>
      <c r="C80" s="162"/>
      <c r="D80" s="162"/>
      <c r="E80" s="162"/>
      <c r="F80" s="162"/>
      <c r="G80" s="162"/>
      <c r="H80" s="162"/>
    </row>
    <row r="81" spans="1:8" s="14" customFormat="1" ht="42" customHeight="1">
      <c r="A81" s="162" t="s">
        <v>180</v>
      </c>
      <c r="B81" s="162"/>
      <c r="C81" s="162"/>
      <c r="D81" s="162"/>
      <c r="E81" s="162"/>
      <c r="F81" s="162"/>
      <c r="G81" s="162"/>
      <c r="H81" s="162"/>
    </row>
    <row r="82" spans="1:8" s="14" customFormat="1" ht="17.25" customHeight="1">
      <c r="A82" s="162" t="s">
        <v>181</v>
      </c>
      <c r="B82" s="162"/>
      <c r="C82" s="162"/>
      <c r="D82" s="162"/>
      <c r="E82" s="162"/>
      <c r="F82" s="162"/>
      <c r="G82" s="162"/>
      <c r="H82" s="162"/>
    </row>
    <row r="83" spans="1:8" s="14" customFormat="1" ht="14">
      <c r="A83" s="162"/>
      <c r="B83" s="162"/>
      <c r="C83" s="162"/>
      <c r="D83" s="162"/>
      <c r="E83" s="162"/>
      <c r="F83" s="162"/>
      <c r="G83" s="162"/>
      <c r="H83" s="162"/>
    </row>
    <row r="84" spans="1:8" s="14" customFormat="1" ht="14">
      <c r="A84" s="14" t="s">
        <v>16</v>
      </c>
      <c r="D84" s="31"/>
      <c r="G84" s="15"/>
    </row>
    <row r="85" spans="1:8" s="14" customFormat="1" ht="14">
      <c r="D85" s="31"/>
      <c r="G85" s="15"/>
    </row>
    <row r="86" spans="1:8" s="14" customFormat="1" ht="15" customHeight="1">
      <c r="A86" s="32"/>
      <c r="B86" s="32"/>
      <c r="C86" s="32"/>
      <c r="D86" s="31"/>
      <c r="E86" s="32"/>
      <c r="F86" s="32"/>
      <c r="G86" s="33"/>
    </row>
    <row r="87" spans="1:8" s="14" customFormat="1" ht="14">
      <c r="A87" s="179" t="s">
        <v>163</v>
      </c>
      <c r="B87" s="179"/>
      <c r="C87" s="179"/>
      <c r="D87" s="31"/>
      <c r="E87" s="179" t="s">
        <v>17</v>
      </c>
      <c r="F87" s="179"/>
      <c r="G87" s="179"/>
    </row>
    <row r="88" spans="1:8"/>
  </sheetData>
  <sheetProtection password="CAF1" sheet="1" objects="1" scenarios="1" selectLockedCells="1"/>
  <mergeCells count="20">
    <mergeCell ref="A81:H81"/>
    <mergeCell ref="A82:H82"/>
    <mergeCell ref="A83:H83"/>
    <mergeCell ref="A87:C87"/>
    <mergeCell ref="E87:G87"/>
    <mergeCell ref="A79:H79"/>
    <mergeCell ref="A80:H80"/>
    <mergeCell ref="H1:H2"/>
    <mergeCell ref="A75:H75"/>
    <mergeCell ref="A76:H76"/>
    <mergeCell ref="A77:H77"/>
    <mergeCell ref="A78:H78"/>
    <mergeCell ref="A21:G21"/>
    <mergeCell ref="A73:D73"/>
    <mergeCell ref="C5:H5"/>
    <mergeCell ref="C6:H6"/>
    <mergeCell ref="C7:H7"/>
    <mergeCell ref="C8:H8"/>
    <mergeCell ref="C9:H9"/>
    <mergeCell ref="C10:H10"/>
  </mergeCells>
  <hyperlinks>
    <hyperlink ref="C1" location="'DATA SHEET'!A1" display="HIGHLANDS PRIME, INC." xr:uid="{00000000-0004-0000-0C00-000000000000}"/>
    <hyperlink ref="J3" location="'DATA SHEET'!A1" display="Return to Data Sheet" xr:uid="{00000000-0004-0000-0C00-000001000000}"/>
  </hyperlinks>
  <pageMargins left="0.7" right="0.7" top="0.75" bottom="0.75" header="0.3" footer="0.3"/>
  <pageSetup paperSize="5" scale="65" orientation="portrait"/>
  <headerFooter>
    <oddFooter>&amp;L&amp;8A project of HIGHLANDS PRIME, INC. Horizon Terraces HLURB License To Sell No. 032272&amp;R&amp;8&amp;P of &amp;N</oddFooter>
  </headerFooter>
  <ignoredErrors>
    <ignoredError sqref="D15" unlockedFormula="1"/>
  </ignoredErrors>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rgb="FF389E8F"/>
  </sheetPr>
  <dimension ref="A1:L95"/>
  <sheetViews>
    <sheetView showGridLines="0" topLeftCell="A4" workbookViewId="0">
      <selection activeCell="D15" sqref="D15"/>
    </sheetView>
  </sheetViews>
  <sheetFormatPr baseColWidth="10" defaultColWidth="0" defaultRowHeight="14" zeroHeight="1"/>
  <cols>
    <col min="1" max="1" width="12" style="13" customWidth="1"/>
    <col min="2" max="2" width="10.6640625" style="13" customWidth="1"/>
    <col min="3" max="3" width="24.33203125" style="13" customWidth="1"/>
    <col min="4" max="4" width="13.5" style="35" bestFit="1" customWidth="1"/>
    <col min="5" max="5" width="13.5" style="13" bestFit="1" customWidth="1"/>
    <col min="6" max="6" width="13.6640625" style="13" bestFit="1" customWidth="1"/>
    <col min="7" max="7" width="13.5" style="36" bestFit="1" customWidth="1"/>
    <col min="8" max="8" width="16.5" style="13" bestFit="1" customWidth="1"/>
    <col min="9" max="12" width="9.1640625" style="13" customWidth="1"/>
    <col min="13" max="16384" width="9.1640625" style="13" hidden="1"/>
  </cols>
  <sheetData>
    <row r="1" spans="1:10" ht="12.75" customHeight="1">
      <c r="C1" s="34" t="s">
        <v>33</v>
      </c>
      <c r="H1" s="163" t="s">
        <v>50</v>
      </c>
    </row>
    <row r="2" spans="1:10">
      <c r="C2" s="36" t="s">
        <v>182</v>
      </c>
      <c r="H2" s="163"/>
    </row>
    <row r="3" spans="1:10">
      <c r="C3" s="36" t="s">
        <v>34</v>
      </c>
    </row>
    <row r="4" spans="1:10">
      <c r="J4" s="69" t="s">
        <v>111</v>
      </c>
    </row>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c r="I8" s="82">
        <v>0.1</v>
      </c>
    </row>
    <row r="9" spans="1:10">
      <c r="A9" s="41" t="s">
        <v>167</v>
      </c>
      <c r="B9" s="91"/>
      <c r="C9" s="175">
        <f>'DATA SHEET'!C13</f>
        <v>8473400</v>
      </c>
      <c r="D9" s="175"/>
      <c r="E9" s="175"/>
      <c r="F9" s="175"/>
      <c r="G9" s="175"/>
      <c r="H9" s="176"/>
    </row>
    <row r="10" spans="1:10">
      <c r="A10" s="42" t="s">
        <v>31</v>
      </c>
      <c r="B10" s="43"/>
      <c r="C10" s="180" t="str">
        <f>'DATA SHEET'!C21</f>
        <v>10% over 6 months, 20% over 48 months, 70% Lumpsum</v>
      </c>
      <c r="D10" s="180"/>
      <c r="E10" s="180"/>
      <c r="F10" s="180"/>
      <c r="G10" s="180"/>
      <c r="H10" s="181"/>
    </row>
    <row r="11" spans="1:10"/>
    <row r="12" spans="1:10">
      <c r="A12" s="36" t="s">
        <v>46</v>
      </c>
      <c r="B12" s="36"/>
    </row>
    <row r="13" spans="1:10">
      <c r="A13" s="14" t="s">
        <v>170</v>
      </c>
      <c r="D13" s="44">
        <f>(C9-650000)</f>
        <v>7823400</v>
      </c>
      <c r="E13" s="45" t="str">
        <f>LEFT(C8,9)</f>
        <v>1-Bedroom</v>
      </c>
    </row>
    <row r="14" spans="1:10">
      <c r="A14" s="46" t="s">
        <v>191</v>
      </c>
      <c r="B14" s="47"/>
      <c r="C14" s="101">
        <v>0.01</v>
      </c>
      <c r="D14" s="48">
        <f>IF(C14&lt;=1%,(D13*C14),"BEYOND MAX DISC.")</f>
        <v>78234</v>
      </c>
      <c r="E14" s="35"/>
    </row>
    <row r="15" spans="1:10">
      <c r="A15" s="46" t="s">
        <v>192</v>
      </c>
      <c r="B15" s="47"/>
      <c r="C15" s="101"/>
      <c r="D15" s="143">
        <f>VLOOKUP('DATA SHEET'!C10,'WESTCHASE PL'!$D$11:$H$33,5,0)</f>
        <v>230000</v>
      </c>
      <c r="E15" s="35"/>
    </row>
    <row r="16" spans="1:10">
      <c r="A16" s="52" t="s">
        <v>174</v>
      </c>
      <c r="B16" s="15"/>
      <c r="C16" s="15"/>
      <c r="D16" s="53">
        <f>+D13-SUM(D14:D15)</f>
        <v>7515166</v>
      </c>
      <c r="E16" s="50"/>
    </row>
    <row r="17" spans="1:8">
      <c r="A17" s="54" t="s">
        <v>154</v>
      </c>
      <c r="B17" s="54"/>
      <c r="C17" s="16">
        <v>0.05</v>
      </c>
      <c r="D17" s="55">
        <f>+D16/1.12*C17</f>
        <v>335498.4821428571</v>
      </c>
      <c r="E17" s="50"/>
    </row>
    <row r="18" spans="1:8" ht="15" thickBot="1">
      <c r="A18" s="15" t="s">
        <v>47</v>
      </c>
      <c r="B18" s="15"/>
      <c r="C18" s="15"/>
      <c r="D18" s="56">
        <f>+SUM(D16:D17)</f>
        <v>7850664.4821428573</v>
      </c>
      <c r="E18" s="35"/>
    </row>
    <row r="19" spans="1:8" ht="15" thickTop="1">
      <c r="D19" s="44"/>
      <c r="E19" s="35"/>
      <c r="F19" s="35"/>
      <c r="G19" s="90"/>
    </row>
    <row r="20" spans="1:8">
      <c r="A20" s="57" t="s">
        <v>32</v>
      </c>
      <c r="B20" s="57" t="s">
        <v>155</v>
      </c>
      <c r="C20" s="57" t="s">
        <v>2</v>
      </c>
      <c r="D20" s="57" t="s">
        <v>156</v>
      </c>
      <c r="E20" s="57" t="s">
        <v>173</v>
      </c>
      <c r="F20" s="57" t="s">
        <v>158</v>
      </c>
      <c r="G20" s="59" t="s">
        <v>159</v>
      </c>
      <c r="H20" s="57" t="s">
        <v>160</v>
      </c>
    </row>
    <row r="21" spans="1:8">
      <c r="A21" s="165" t="s">
        <v>162</v>
      </c>
      <c r="B21" s="165"/>
      <c r="C21" s="165"/>
      <c r="D21" s="165"/>
      <c r="E21" s="165"/>
      <c r="F21" s="165"/>
      <c r="G21" s="165"/>
      <c r="H21" s="60">
        <f>+D18</f>
        <v>7850664.4821428573</v>
      </c>
    </row>
    <row r="22" spans="1:8">
      <c r="A22" s="61">
        <v>0</v>
      </c>
      <c r="B22" s="61"/>
      <c r="C22" s="61" t="s">
        <v>36</v>
      </c>
      <c r="D22" s="62">
        <f ca="1">'DATA SHEET'!C8</f>
        <v>43973</v>
      </c>
      <c r="E22" s="85">
        <f>IF(E13="1-Bedroom",50000,100000)</f>
        <v>50000</v>
      </c>
      <c r="F22" s="85"/>
      <c r="G22" s="86">
        <f>+SUM(E22:F22)</f>
        <v>50000</v>
      </c>
      <c r="H22" s="65">
        <f>D18-G22</f>
        <v>7800664.4821428573</v>
      </c>
    </row>
    <row r="23" spans="1:8">
      <c r="A23" s="61"/>
      <c r="B23" s="66">
        <v>0.1</v>
      </c>
      <c r="C23" s="61" t="s">
        <v>166</v>
      </c>
      <c r="D23" s="62"/>
      <c r="E23" s="85"/>
      <c r="F23" s="85"/>
      <c r="G23" s="86"/>
      <c r="H23" s="65"/>
    </row>
    <row r="24" spans="1:8">
      <c r="A24" s="61">
        <v>1</v>
      </c>
      <c r="B24" s="61"/>
      <c r="C24" s="61" t="s">
        <v>53</v>
      </c>
      <c r="D24" s="62">
        <f ca="1">EDATE(D22,1)</f>
        <v>44004</v>
      </c>
      <c r="E24" s="87">
        <f t="shared" ref="E24:E29" si="0">(($D$16*0.1)-$E$22)/6</f>
        <v>116919.43333333335</v>
      </c>
      <c r="F24" s="87">
        <f>(($D$17*0.1))/6</f>
        <v>5591.6413690476184</v>
      </c>
      <c r="G24" s="86">
        <f>+SUM(E24:F24)</f>
        <v>122511.07470238097</v>
      </c>
      <c r="H24" s="88">
        <f>H22-G24</f>
        <v>7678153.4074404761</v>
      </c>
    </row>
    <row r="25" spans="1:8">
      <c r="A25" s="61">
        <f>+A24+1</f>
        <v>2</v>
      </c>
      <c r="B25" s="61"/>
      <c r="C25" s="61" t="s">
        <v>54</v>
      </c>
      <c r="D25" s="62">
        <f t="shared" ref="D25:D79" ca="1" si="1">EDATE(D24,1)</f>
        <v>44034</v>
      </c>
      <c r="E25" s="87">
        <f t="shared" si="0"/>
        <v>116919.43333333335</v>
      </c>
      <c r="F25" s="87">
        <f t="shared" ref="F25:F29" si="2">(($D$17*0.1))/6</f>
        <v>5591.6413690476184</v>
      </c>
      <c r="G25" s="86">
        <f t="shared" ref="G25:G31" si="3">+SUM(E25:F25)</f>
        <v>122511.07470238097</v>
      </c>
      <c r="H25" s="88">
        <f t="shared" ref="H25:H79" si="4">H24-G25</f>
        <v>7555642.332738095</v>
      </c>
    </row>
    <row r="26" spans="1:8">
      <c r="A26" s="61">
        <f t="shared" ref="A26:A79" si="5">+A25+1</f>
        <v>3</v>
      </c>
      <c r="B26" s="61"/>
      <c r="C26" s="61" t="s">
        <v>55</v>
      </c>
      <c r="D26" s="62">
        <f t="shared" ca="1" si="1"/>
        <v>44065</v>
      </c>
      <c r="E26" s="87">
        <f t="shared" si="0"/>
        <v>116919.43333333335</v>
      </c>
      <c r="F26" s="87">
        <f t="shared" si="2"/>
        <v>5591.6413690476184</v>
      </c>
      <c r="G26" s="86">
        <f t="shared" si="3"/>
        <v>122511.07470238097</v>
      </c>
      <c r="H26" s="88">
        <f t="shared" si="4"/>
        <v>7433131.2580357138</v>
      </c>
    </row>
    <row r="27" spans="1:8">
      <c r="A27" s="61">
        <f t="shared" si="5"/>
        <v>4</v>
      </c>
      <c r="B27" s="61"/>
      <c r="C27" s="61" t="s">
        <v>56</v>
      </c>
      <c r="D27" s="62">
        <f t="shared" ca="1" si="1"/>
        <v>44096</v>
      </c>
      <c r="E27" s="87">
        <f t="shared" si="0"/>
        <v>116919.43333333335</v>
      </c>
      <c r="F27" s="87">
        <f t="shared" si="2"/>
        <v>5591.6413690476184</v>
      </c>
      <c r="G27" s="86">
        <f t="shared" si="3"/>
        <v>122511.07470238097</v>
      </c>
      <c r="H27" s="88">
        <f t="shared" si="4"/>
        <v>7310620.1833333327</v>
      </c>
    </row>
    <row r="28" spans="1:8">
      <c r="A28" s="61">
        <f t="shared" si="5"/>
        <v>5</v>
      </c>
      <c r="B28" s="61"/>
      <c r="C28" s="61" t="s">
        <v>57</v>
      </c>
      <c r="D28" s="62">
        <f t="shared" ca="1" si="1"/>
        <v>44126</v>
      </c>
      <c r="E28" s="87">
        <f t="shared" si="0"/>
        <v>116919.43333333335</v>
      </c>
      <c r="F28" s="87">
        <f t="shared" si="2"/>
        <v>5591.6413690476184</v>
      </c>
      <c r="G28" s="86">
        <f t="shared" si="3"/>
        <v>122511.07470238097</v>
      </c>
      <c r="H28" s="88">
        <f t="shared" si="4"/>
        <v>7188109.1086309515</v>
      </c>
    </row>
    <row r="29" spans="1:8">
      <c r="A29" s="61">
        <f t="shared" si="5"/>
        <v>6</v>
      </c>
      <c r="B29" s="61"/>
      <c r="C29" s="61" t="s">
        <v>58</v>
      </c>
      <c r="D29" s="62">
        <f t="shared" ca="1" si="1"/>
        <v>44157</v>
      </c>
      <c r="E29" s="87">
        <f t="shared" si="0"/>
        <v>116919.43333333335</v>
      </c>
      <c r="F29" s="87">
        <f t="shared" si="2"/>
        <v>5591.6413690476184</v>
      </c>
      <c r="G29" s="86">
        <f t="shared" si="3"/>
        <v>122511.07470238097</v>
      </c>
      <c r="H29" s="88">
        <f t="shared" si="4"/>
        <v>7065598.0339285703</v>
      </c>
    </row>
    <row r="30" spans="1:8">
      <c r="A30" s="61"/>
      <c r="B30" s="66">
        <v>0.2</v>
      </c>
      <c r="C30" s="61" t="s">
        <v>165</v>
      </c>
      <c r="D30" s="62"/>
      <c r="E30" s="87"/>
      <c r="F30" s="87"/>
      <c r="G30" s="86"/>
      <c r="H30" s="88"/>
    </row>
    <row r="31" spans="1:8">
      <c r="A31" s="61">
        <f>+A29+1</f>
        <v>7</v>
      </c>
      <c r="B31" s="61"/>
      <c r="C31" s="61" t="s">
        <v>3</v>
      </c>
      <c r="D31" s="62">
        <f ca="1">EDATE(D29,1)</f>
        <v>44187</v>
      </c>
      <c r="E31" s="92">
        <f>($D$16*0.2)/48</f>
        <v>31313.191666666669</v>
      </c>
      <c r="F31" s="92">
        <f>($D$17*0.2)/48</f>
        <v>1397.9103422619046</v>
      </c>
      <c r="G31" s="86">
        <f t="shared" si="3"/>
        <v>32711.102008928574</v>
      </c>
      <c r="H31" s="88">
        <f>H29-G31</f>
        <v>7032886.9319196418</v>
      </c>
    </row>
    <row r="32" spans="1:8">
      <c r="A32" s="61">
        <f t="shared" si="5"/>
        <v>8</v>
      </c>
      <c r="B32" s="61"/>
      <c r="C32" s="61" t="s">
        <v>4</v>
      </c>
      <c r="D32" s="62">
        <f t="shared" ca="1" si="1"/>
        <v>44218</v>
      </c>
      <c r="E32" s="92">
        <f t="shared" ref="E32:E78" si="6">($D$16*0.2)/48</f>
        <v>31313.191666666669</v>
      </c>
      <c r="F32" s="92">
        <f t="shared" ref="F32:F78" si="7">($D$17*0.2)/48</f>
        <v>1397.9103422619046</v>
      </c>
      <c r="G32" s="86">
        <f t="shared" ref="G32:G79" si="8">+SUM(E32:F32)</f>
        <v>32711.102008928574</v>
      </c>
      <c r="H32" s="88">
        <f t="shared" si="4"/>
        <v>7000175.8299107132</v>
      </c>
    </row>
    <row r="33" spans="1:8">
      <c r="A33" s="61">
        <f t="shared" si="5"/>
        <v>9</v>
      </c>
      <c r="B33" s="61"/>
      <c r="C33" s="61" t="s">
        <v>5</v>
      </c>
      <c r="D33" s="62">
        <f t="shared" ca="1" si="1"/>
        <v>44249</v>
      </c>
      <c r="E33" s="92">
        <f t="shared" si="6"/>
        <v>31313.191666666669</v>
      </c>
      <c r="F33" s="92">
        <f t="shared" si="7"/>
        <v>1397.9103422619046</v>
      </c>
      <c r="G33" s="86">
        <f t="shared" si="8"/>
        <v>32711.102008928574</v>
      </c>
      <c r="H33" s="88">
        <f t="shared" si="4"/>
        <v>6967464.7279017847</v>
      </c>
    </row>
    <row r="34" spans="1:8">
      <c r="A34" s="61">
        <f t="shared" si="5"/>
        <v>10</v>
      </c>
      <c r="B34" s="61"/>
      <c r="C34" s="61" t="s">
        <v>6</v>
      </c>
      <c r="D34" s="62">
        <f t="shared" ca="1" si="1"/>
        <v>44277</v>
      </c>
      <c r="E34" s="92">
        <f t="shared" si="6"/>
        <v>31313.191666666669</v>
      </c>
      <c r="F34" s="92">
        <f t="shared" si="7"/>
        <v>1397.9103422619046</v>
      </c>
      <c r="G34" s="86">
        <f t="shared" si="8"/>
        <v>32711.102008928574</v>
      </c>
      <c r="H34" s="88">
        <f t="shared" si="4"/>
        <v>6934753.6258928562</v>
      </c>
    </row>
    <row r="35" spans="1:8">
      <c r="A35" s="61">
        <f t="shared" si="5"/>
        <v>11</v>
      </c>
      <c r="B35" s="61"/>
      <c r="C35" s="61" t="s">
        <v>7</v>
      </c>
      <c r="D35" s="62">
        <f t="shared" ca="1" si="1"/>
        <v>44308</v>
      </c>
      <c r="E35" s="92">
        <f t="shared" si="6"/>
        <v>31313.191666666669</v>
      </c>
      <c r="F35" s="92">
        <f t="shared" si="7"/>
        <v>1397.9103422619046</v>
      </c>
      <c r="G35" s="86">
        <f t="shared" si="8"/>
        <v>32711.102008928574</v>
      </c>
      <c r="H35" s="88">
        <f t="shared" si="4"/>
        <v>6902042.5238839276</v>
      </c>
    </row>
    <row r="36" spans="1:8">
      <c r="A36" s="61">
        <f t="shared" si="5"/>
        <v>12</v>
      </c>
      <c r="B36" s="61"/>
      <c r="C36" s="61" t="s">
        <v>8</v>
      </c>
      <c r="D36" s="62">
        <f t="shared" ca="1" si="1"/>
        <v>44338</v>
      </c>
      <c r="E36" s="92">
        <f t="shared" si="6"/>
        <v>31313.191666666669</v>
      </c>
      <c r="F36" s="92">
        <f t="shared" si="7"/>
        <v>1397.9103422619046</v>
      </c>
      <c r="G36" s="86">
        <f t="shared" si="8"/>
        <v>32711.102008928574</v>
      </c>
      <c r="H36" s="88">
        <f t="shared" si="4"/>
        <v>6869331.4218749991</v>
      </c>
    </row>
    <row r="37" spans="1:8">
      <c r="A37" s="61">
        <f t="shared" si="5"/>
        <v>13</v>
      </c>
      <c r="B37" s="61"/>
      <c r="C37" s="61" t="s">
        <v>9</v>
      </c>
      <c r="D37" s="62">
        <f t="shared" ca="1" si="1"/>
        <v>44369</v>
      </c>
      <c r="E37" s="92">
        <f t="shared" si="6"/>
        <v>31313.191666666669</v>
      </c>
      <c r="F37" s="92">
        <f t="shared" si="7"/>
        <v>1397.9103422619046</v>
      </c>
      <c r="G37" s="86">
        <f t="shared" si="8"/>
        <v>32711.102008928574</v>
      </c>
      <c r="H37" s="88">
        <f t="shared" si="4"/>
        <v>6836620.3198660705</v>
      </c>
    </row>
    <row r="38" spans="1:8">
      <c r="A38" s="61">
        <f t="shared" si="5"/>
        <v>14</v>
      </c>
      <c r="B38" s="61"/>
      <c r="C38" s="61" t="s">
        <v>10</v>
      </c>
      <c r="D38" s="62">
        <f t="shared" ca="1" si="1"/>
        <v>44399</v>
      </c>
      <c r="E38" s="92">
        <f t="shared" si="6"/>
        <v>31313.191666666669</v>
      </c>
      <c r="F38" s="92">
        <f t="shared" si="7"/>
        <v>1397.9103422619046</v>
      </c>
      <c r="G38" s="86">
        <f t="shared" si="8"/>
        <v>32711.102008928574</v>
      </c>
      <c r="H38" s="88">
        <f t="shared" si="4"/>
        <v>6803909.217857142</v>
      </c>
    </row>
    <row r="39" spans="1:8">
      <c r="A39" s="61">
        <f t="shared" si="5"/>
        <v>15</v>
      </c>
      <c r="B39" s="61"/>
      <c r="C39" s="61" t="s">
        <v>11</v>
      </c>
      <c r="D39" s="62">
        <f t="shared" ca="1" si="1"/>
        <v>44430</v>
      </c>
      <c r="E39" s="92">
        <f t="shared" si="6"/>
        <v>31313.191666666669</v>
      </c>
      <c r="F39" s="92">
        <f t="shared" si="7"/>
        <v>1397.9103422619046</v>
      </c>
      <c r="G39" s="86">
        <f t="shared" si="8"/>
        <v>32711.102008928574</v>
      </c>
      <c r="H39" s="88">
        <f t="shared" si="4"/>
        <v>6771198.1158482134</v>
      </c>
    </row>
    <row r="40" spans="1:8">
      <c r="A40" s="61">
        <f t="shared" si="5"/>
        <v>16</v>
      </c>
      <c r="B40" s="61"/>
      <c r="C40" s="61" t="s">
        <v>12</v>
      </c>
      <c r="D40" s="62">
        <f t="shared" ca="1" si="1"/>
        <v>44461</v>
      </c>
      <c r="E40" s="92">
        <f t="shared" si="6"/>
        <v>31313.191666666669</v>
      </c>
      <c r="F40" s="92">
        <f t="shared" si="7"/>
        <v>1397.9103422619046</v>
      </c>
      <c r="G40" s="86">
        <f t="shared" si="8"/>
        <v>32711.102008928574</v>
      </c>
      <c r="H40" s="88">
        <f t="shared" si="4"/>
        <v>6738487.0138392849</v>
      </c>
    </row>
    <row r="41" spans="1:8">
      <c r="A41" s="61">
        <f t="shared" si="5"/>
        <v>17</v>
      </c>
      <c r="B41" s="61"/>
      <c r="C41" s="61" t="s">
        <v>13</v>
      </c>
      <c r="D41" s="62">
        <f t="shared" ca="1" si="1"/>
        <v>44491</v>
      </c>
      <c r="E41" s="92">
        <f t="shared" si="6"/>
        <v>31313.191666666669</v>
      </c>
      <c r="F41" s="92">
        <f t="shared" si="7"/>
        <v>1397.9103422619046</v>
      </c>
      <c r="G41" s="86">
        <f t="shared" si="8"/>
        <v>32711.102008928574</v>
      </c>
      <c r="H41" s="88">
        <f t="shared" si="4"/>
        <v>6705775.9118303563</v>
      </c>
    </row>
    <row r="42" spans="1:8">
      <c r="A42" s="61">
        <f t="shared" si="5"/>
        <v>18</v>
      </c>
      <c r="B42" s="61"/>
      <c r="C42" s="61" t="s">
        <v>14</v>
      </c>
      <c r="D42" s="62">
        <f t="shared" ca="1" si="1"/>
        <v>44522</v>
      </c>
      <c r="E42" s="92">
        <f t="shared" si="6"/>
        <v>31313.191666666669</v>
      </c>
      <c r="F42" s="92">
        <f t="shared" si="7"/>
        <v>1397.9103422619046</v>
      </c>
      <c r="G42" s="86">
        <f t="shared" si="8"/>
        <v>32711.102008928574</v>
      </c>
      <c r="H42" s="88">
        <f t="shared" si="4"/>
        <v>6673064.8098214278</v>
      </c>
    </row>
    <row r="43" spans="1:8">
      <c r="A43" s="61">
        <f t="shared" si="5"/>
        <v>19</v>
      </c>
      <c r="B43" s="61"/>
      <c r="C43" s="61" t="s">
        <v>18</v>
      </c>
      <c r="D43" s="62">
        <f t="shared" ca="1" si="1"/>
        <v>44552</v>
      </c>
      <c r="E43" s="92">
        <f t="shared" si="6"/>
        <v>31313.191666666669</v>
      </c>
      <c r="F43" s="92">
        <f t="shared" si="7"/>
        <v>1397.9103422619046</v>
      </c>
      <c r="G43" s="86">
        <f t="shared" si="8"/>
        <v>32711.102008928574</v>
      </c>
      <c r="H43" s="88">
        <f t="shared" si="4"/>
        <v>6640353.7078124993</v>
      </c>
    </row>
    <row r="44" spans="1:8">
      <c r="A44" s="61">
        <f t="shared" si="5"/>
        <v>20</v>
      </c>
      <c r="B44" s="61"/>
      <c r="C44" s="61" t="s">
        <v>19</v>
      </c>
      <c r="D44" s="62">
        <f t="shared" ca="1" si="1"/>
        <v>44583</v>
      </c>
      <c r="E44" s="92">
        <f t="shared" si="6"/>
        <v>31313.191666666669</v>
      </c>
      <c r="F44" s="92">
        <f t="shared" si="7"/>
        <v>1397.9103422619046</v>
      </c>
      <c r="G44" s="86">
        <f t="shared" si="8"/>
        <v>32711.102008928574</v>
      </c>
      <c r="H44" s="88">
        <f t="shared" si="4"/>
        <v>6607642.6058035707</v>
      </c>
    </row>
    <row r="45" spans="1:8">
      <c r="A45" s="61">
        <f t="shared" si="5"/>
        <v>21</v>
      </c>
      <c r="B45" s="61"/>
      <c r="C45" s="61" t="s">
        <v>20</v>
      </c>
      <c r="D45" s="62">
        <f t="shared" ca="1" si="1"/>
        <v>44614</v>
      </c>
      <c r="E45" s="92">
        <f t="shared" si="6"/>
        <v>31313.191666666669</v>
      </c>
      <c r="F45" s="92">
        <f t="shared" si="7"/>
        <v>1397.9103422619046</v>
      </c>
      <c r="G45" s="86">
        <f t="shared" si="8"/>
        <v>32711.102008928574</v>
      </c>
      <c r="H45" s="88">
        <f t="shared" si="4"/>
        <v>6574931.5037946422</v>
      </c>
    </row>
    <row r="46" spans="1:8">
      <c r="A46" s="61">
        <f t="shared" si="5"/>
        <v>22</v>
      </c>
      <c r="B46" s="61"/>
      <c r="C46" s="61" t="s">
        <v>21</v>
      </c>
      <c r="D46" s="62">
        <f t="shared" ca="1" si="1"/>
        <v>44642</v>
      </c>
      <c r="E46" s="92">
        <f t="shared" si="6"/>
        <v>31313.191666666669</v>
      </c>
      <c r="F46" s="92">
        <f t="shared" si="7"/>
        <v>1397.9103422619046</v>
      </c>
      <c r="G46" s="86">
        <f t="shared" si="8"/>
        <v>32711.102008928574</v>
      </c>
      <c r="H46" s="88">
        <f t="shared" si="4"/>
        <v>6542220.4017857136</v>
      </c>
    </row>
    <row r="47" spans="1:8">
      <c r="A47" s="61">
        <f t="shared" si="5"/>
        <v>23</v>
      </c>
      <c r="B47" s="61"/>
      <c r="C47" s="61" t="s">
        <v>22</v>
      </c>
      <c r="D47" s="62">
        <f t="shared" ca="1" si="1"/>
        <v>44673</v>
      </c>
      <c r="E47" s="92">
        <f t="shared" si="6"/>
        <v>31313.191666666669</v>
      </c>
      <c r="F47" s="92">
        <f t="shared" si="7"/>
        <v>1397.9103422619046</v>
      </c>
      <c r="G47" s="86">
        <f t="shared" si="8"/>
        <v>32711.102008928574</v>
      </c>
      <c r="H47" s="88">
        <f t="shared" si="4"/>
        <v>6509509.2997767851</v>
      </c>
    </row>
    <row r="48" spans="1:8">
      <c r="A48" s="61">
        <f t="shared" si="5"/>
        <v>24</v>
      </c>
      <c r="B48" s="61"/>
      <c r="C48" s="61" t="s">
        <v>23</v>
      </c>
      <c r="D48" s="62">
        <f t="shared" ca="1" si="1"/>
        <v>44703</v>
      </c>
      <c r="E48" s="92">
        <f t="shared" si="6"/>
        <v>31313.191666666669</v>
      </c>
      <c r="F48" s="92">
        <f t="shared" si="7"/>
        <v>1397.9103422619046</v>
      </c>
      <c r="G48" s="86">
        <f t="shared" si="8"/>
        <v>32711.102008928574</v>
      </c>
      <c r="H48" s="88">
        <f t="shared" si="4"/>
        <v>6476798.1977678565</v>
      </c>
    </row>
    <row r="49" spans="1:8">
      <c r="A49" s="61">
        <f t="shared" si="5"/>
        <v>25</v>
      </c>
      <c r="B49" s="61"/>
      <c r="C49" s="61" t="s">
        <v>24</v>
      </c>
      <c r="D49" s="62">
        <f t="shared" ca="1" si="1"/>
        <v>44734</v>
      </c>
      <c r="E49" s="92">
        <f t="shared" si="6"/>
        <v>31313.191666666669</v>
      </c>
      <c r="F49" s="92">
        <f t="shared" si="7"/>
        <v>1397.9103422619046</v>
      </c>
      <c r="G49" s="86">
        <f t="shared" si="8"/>
        <v>32711.102008928574</v>
      </c>
      <c r="H49" s="88">
        <f t="shared" si="4"/>
        <v>6444087.095758928</v>
      </c>
    </row>
    <row r="50" spans="1:8">
      <c r="A50" s="61">
        <f t="shared" si="5"/>
        <v>26</v>
      </c>
      <c r="B50" s="61"/>
      <c r="C50" s="61" t="s">
        <v>25</v>
      </c>
      <c r="D50" s="62">
        <f t="shared" ca="1" si="1"/>
        <v>44764</v>
      </c>
      <c r="E50" s="92">
        <f t="shared" si="6"/>
        <v>31313.191666666669</v>
      </c>
      <c r="F50" s="92">
        <f t="shared" si="7"/>
        <v>1397.9103422619046</v>
      </c>
      <c r="G50" s="86">
        <f t="shared" si="8"/>
        <v>32711.102008928574</v>
      </c>
      <c r="H50" s="88">
        <f t="shared" si="4"/>
        <v>6411375.9937499994</v>
      </c>
    </row>
    <row r="51" spans="1:8">
      <c r="A51" s="61">
        <f t="shared" si="5"/>
        <v>27</v>
      </c>
      <c r="B51" s="61"/>
      <c r="C51" s="61" t="s">
        <v>26</v>
      </c>
      <c r="D51" s="62">
        <f t="shared" ca="1" si="1"/>
        <v>44795</v>
      </c>
      <c r="E51" s="92">
        <f t="shared" si="6"/>
        <v>31313.191666666669</v>
      </c>
      <c r="F51" s="92">
        <f t="shared" si="7"/>
        <v>1397.9103422619046</v>
      </c>
      <c r="G51" s="86">
        <f t="shared" si="8"/>
        <v>32711.102008928574</v>
      </c>
      <c r="H51" s="88">
        <f t="shared" si="4"/>
        <v>6378664.8917410709</v>
      </c>
    </row>
    <row r="52" spans="1:8">
      <c r="A52" s="61">
        <f t="shared" si="5"/>
        <v>28</v>
      </c>
      <c r="B52" s="61"/>
      <c r="C52" s="61" t="s">
        <v>27</v>
      </c>
      <c r="D52" s="62">
        <f t="shared" ca="1" si="1"/>
        <v>44826</v>
      </c>
      <c r="E52" s="92">
        <f t="shared" si="6"/>
        <v>31313.191666666669</v>
      </c>
      <c r="F52" s="92">
        <f t="shared" si="7"/>
        <v>1397.9103422619046</v>
      </c>
      <c r="G52" s="86">
        <f t="shared" si="8"/>
        <v>32711.102008928574</v>
      </c>
      <c r="H52" s="88">
        <f t="shared" si="4"/>
        <v>6345953.7897321424</v>
      </c>
    </row>
    <row r="53" spans="1:8">
      <c r="A53" s="61">
        <f t="shared" si="5"/>
        <v>29</v>
      </c>
      <c r="B53" s="61"/>
      <c r="C53" s="61" t="s">
        <v>28</v>
      </c>
      <c r="D53" s="62">
        <f t="shared" ca="1" si="1"/>
        <v>44856</v>
      </c>
      <c r="E53" s="92">
        <f t="shared" si="6"/>
        <v>31313.191666666669</v>
      </c>
      <c r="F53" s="92">
        <f t="shared" si="7"/>
        <v>1397.9103422619046</v>
      </c>
      <c r="G53" s="86">
        <f t="shared" si="8"/>
        <v>32711.102008928574</v>
      </c>
      <c r="H53" s="88">
        <f t="shared" si="4"/>
        <v>6313242.6877232138</v>
      </c>
    </row>
    <row r="54" spans="1:8">
      <c r="A54" s="61">
        <f t="shared" si="5"/>
        <v>30</v>
      </c>
      <c r="B54" s="61"/>
      <c r="C54" s="61" t="s">
        <v>29</v>
      </c>
      <c r="D54" s="62">
        <f t="shared" ca="1" si="1"/>
        <v>44887</v>
      </c>
      <c r="E54" s="92">
        <f t="shared" si="6"/>
        <v>31313.191666666669</v>
      </c>
      <c r="F54" s="92">
        <f t="shared" si="7"/>
        <v>1397.9103422619046</v>
      </c>
      <c r="G54" s="86">
        <f t="shared" si="8"/>
        <v>32711.102008928574</v>
      </c>
      <c r="H54" s="88">
        <f t="shared" si="4"/>
        <v>6280531.5857142853</v>
      </c>
    </row>
    <row r="55" spans="1:8">
      <c r="A55" s="61">
        <f t="shared" si="5"/>
        <v>31</v>
      </c>
      <c r="B55" s="61"/>
      <c r="C55" s="61" t="s">
        <v>40</v>
      </c>
      <c r="D55" s="62">
        <f t="shared" ca="1" si="1"/>
        <v>44917</v>
      </c>
      <c r="E55" s="92">
        <f t="shared" si="6"/>
        <v>31313.191666666669</v>
      </c>
      <c r="F55" s="92">
        <f t="shared" si="7"/>
        <v>1397.9103422619046</v>
      </c>
      <c r="G55" s="86">
        <f t="shared" si="8"/>
        <v>32711.102008928574</v>
      </c>
      <c r="H55" s="88">
        <f t="shared" si="4"/>
        <v>6247820.4837053567</v>
      </c>
    </row>
    <row r="56" spans="1:8">
      <c r="A56" s="61">
        <f t="shared" si="5"/>
        <v>32</v>
      </c>
      <c r="B56" s="61"/>
      <c r="C56" s="61" t="s">
        <v>41</v>
      </c>
      <c r="D56" s="62">
        <f t="shared" ca="1" si="1"/>
        <v>44948</v>
      </c>
      <c r="E56" s="92">
        <f t="shared" si="6"/>
        <v>31313.191666666669</v>
      </c>
      <c r="F56" s="92">
        <f t="shared" si="7"/>
        <v>1397.9103422619046</v>
      </c>
      <c r="G56" s="86">
        <f t="shared" si="8"/>
        <v>32711.102008928574</v>
      </c>
      <c r="H56" s="88">
        <f t="shared" si="4"/>
        <v>6215109.3816964282</v>
      </c>
    </row>
    <row r="57" spans="1:8">
      <c r="A57" s="61">
        <f t="shared" si="5"/>
        <v>33</v>
      </c>
      <c r="B57" s="61"/>
      <c r="C57" s="61" t="s">
        <v>42</v>
      </c>
      <c r="D57" s="62">
        <f t="shared" ca="1" si="1"/>
        <v>44979</v>
      </c>
      <c r="E57" s="92">
        <f t="shared" si="6"/>
        <v>31313.191666666669</v>
      </c>
      <c r="F57" s="92">
        <f t="shared" si="7"/>
        <v>1397.9103422619046</v>
      </c>
      <c r="G57" s="86">
        <f t="shared" si="8"/>
        <v>32711.102008928574</v>
      </c>
      <c r="H57" s="88">
        <f t="shared" si="4"/>
        <v>6182398.2796874996</v>
      </c>
    </row>
    <row r="58" spans="1:8">
      <c r="A58" s="61">
        <f t="shared" si="5"/>
        <v>34</v>
      </c>
      <c r="B58" s="61"/>
      <c r="C58" s="61" t="s">
        <v>43</v>
      </c>
      <c r="D58" s="62">
        <f t="shared" ca="1" si="1"/>
        <v>45007</v>
      </c>
      <c r="E58" s="92">
        <f t="shared" si="6"/>
        <v>31313.191666666669</v>
      </c>
      <c r="F58" s="92">
        <f t="shared" si="7"/>
        <v>1397.9103422619046</v>
      </c>
      <c r="G58" s="86">
        <f t="shared" si="8"/>
        <v>32711.102008928574</v>
      </c>
      <c r="H58" s="88">
        <f t="shared" si="4"/>
        <v>6149687.1776785711</v>
      </c>
    </row>
    <row r="59" spans="1:8">
      <c r="A59" s="61">
        <f t="shared" si="5"/>
        <v>35</v>
      </c>
      <c r="B59" s="61"/>
      <c r="C59" s="61" t="s">
        <v>44</v>
      </c>
      <c r="D59" s="62">
        <f t="shared" ca="1" si="1"/>
        <v>45038</v>
      </c>
      <c r="E59" s="92">
        <f t="shared" si="6"/>
        <v>31313.191666666669</v>
      </c>
      <c r="F59" s="92">
        <f t="shared" si="7"/>
        <v>1397.9103422619046</v>
      </c>
      <c r="G59" s="86">
        <f t="shared" si="8"/>
        <v>32711.102008928574</v>
      </c>
      <c r="H59" s="88">
        <f t="shared" si="4"/>
        <v>6116976.0756696425</v>
      </c>
    </row>
    <row r="60" spans="1:8">
      <c r="A60" s="61">
        <f t="shared" si="5"/>
        <v>36</v>
      </c>
      <c r="B60" s="61"/>
      <c r="C60" s="61" t="s">
        <v>45</v>
      </c>
      <c r="D60" s="62">
        <f t="shared" ca="1" si="1"/>
        <v>45068</v>
      </c>
      <c r="E60" s="92">
        <f t="shared" si="6"/>
        <v>31313.191666666669</v>
      </c>
      <c r="F60" s="92">
        <f t="shared" si="7"/>
        <v>1397.9103422619046</v>
      </c>
      <c r="G60" s="86">
        <f t="shared" si="8"/>
        <v>32711.102008928574</v>
      </c>
      <c r="H60" s="88">
        <f t="shared" si="4"/>
        <v>6084264.973660714</v>
      </c>
    </row>
    <row r="61" spans="1:8">
      <c r="A61" s="61">
        <f t="shared" si="5"/>
        <v>37</v>
      </c>
      <c r="B61" s="61"/>
      <c r="C61" s="61" t="s">
        <v>59</v>
      </c>
      <c r="D61" s="62">
        <f t="shared" ca="1" si="1"/>
        <v>45099</v>
      </c>
      <c r="E61" s="92">
        <f t="shared" si="6"/>
        <v>31313.191666666669</v>
      </c>
      <c r="F61" s="92">
        <f t="shared" si="7"/>
        <v>1397.9103422619046</v>
      </c>
      <c r="G61" s="86">
        <f t="shared" si="8"/>
        <v>32711.102008928574</v>
      </c>
      <c r="H61" s="88">
        <f t="shared" si="4"/>
        <v>6051553.8716517854</v>
      </c>
    </row>
    <row r="62" spans="1:8">
      <c r="A62" s="61">
        <f t="shared" si="5"/>
        <v>38</v>
      </c>
      <c r="B62" s="61"/>
      <c r="C62" s="61" t="s">
        <v>60</v>
      </c>
      <c r="D62" s="62">
        <f t="shared" ca="1" si="1"/>
        <v>45129</v>
      </c>
      <c r="E62" s="92">
        <f t="shared" si="6"/>
        <v>31313.191666666669</v>
      </c>
      <c r="F62" s="92">
        <f t="shared" si="7"/>
        <v>1397.9103422619046</v>
      </c>
      <c r="G62" s="86">
        <f t="shared" si="8"/>
        <v>32711.102008928574</v>
      </c>
      <c r="H62" s="88">
        <f t="shared" si="4"/>
        <v>6018842.7696428569</v>
      </c>
    </row>
    <row r="63" spans="1:8">
      <c r="A63" s="61">
        <f t="shared" si="5"/>
        <v>39</v>
      </c>
      <c r="B63" s="61"/>
      <c r="C63" s="61" t="s">
        <v>61</v>
      </c>
      <c r="D63" s="62">
        <f t="shared" ca="1" si="1"/>
        <v>45160</v>
      </c>
      <c r="E63" s="92">
        <f t="shared" si="6"/>
        <v>31313.191666666669</v>
      </c>
      <c r="F63" s="92">
        <f t="shared" si="7"/>
        <v>1397.9103422619046</v>
      </c>
      <c r="G63" s="86">
        <f t="shared" si="8"/>
        <v>32711.102008928574</v>
      </c>
      <c r="H63" s="88">
        <f t="shared" si="4"/>
        <v>5986131.6676339284</v>
      </c>
    </row>
    <row r="64" spans="1:8">
      <c r="A64" s="61">
        <f t="shared" si="5"/>
        <v>40</v>
      </c>
      <c r="B64" s="61"/>
      <c r="C64" s="61" t="s">
        <v>62</v>
      </c>
      <c r="D64" s="62">
        <f t="shared" ca="1" si="1"/>
        <v>45191</v>
      </c>
      <c r="E64" s="92">
        <f t="shared" si="6"/>
        <v>31313.191666666669</v>
      </c>
      <c r="F64" s="92">
        <f t="shared" si="7"/>
        <v>1397.9103422619046</v>
      </c>
      <c r="G64" s="86">
        <f t="shared" si="8"/>
        <v>32711.102008928574</v>
      </c>
      <c r="H64" s="88">
        <f t="shared" si="4"/>
        <v>5953420.5656249998</v>
      </c>
    </row>
    <row r="65" spans="1:8">
      <c r="A65" s="61">
        <f t="shared" si="5"/>
        <v>41</v>
      </c>
      <c r="B65" s="61"/>
      <c r="C65" s="61" t="s">
        <v>63</v>
      </c>
      <c r="D65" s="62">
        <f t="shared" ca="1" si="1"/>
        <v>45221</v>
      </c>
      <c r="E65" s="92">
        <f t="shared" si="6"/>
        <v>31313.191666666669</v>
      </c>
      <c r="F65" s="92">
        <f t="shared" si="7"/>
        <v>1397.9103422619046</v>
      </c>
      <c r="G65" s="86">
        <f t="shared" si="8"/>
        <v>32711.102008928574</v>
      </c>
      <c r="H65" s="88">
        <f t="shared" si="4"/>
        <v>5920709.4636160713</v>
      </c>
    </row>
    <row r="66" spans="1:8">
      <c r="A66" s="61">
        <f t="shared" si="5"/>
        <v>42</v>
      </c>
      <c r="B66" s="61"/>
      <c r="C66" s="61" t="s">
        <v>64</v>
      </c>
      <c r="D66" s="62">
        <f t="shared" ca="1" si="1"/>
        <v>45252</v>
      </c>
      <c r="E66" s="92">
        <f t="shared" si="6"/>
        <v>31313.191666666669</v>
      </c>
      <c r="F66" s="92">
        <f t="shared" si="7"/>
        <v>1397.9103422619046</v>
      </c>
      <c r="G66" s="86">
        <f t="shared" si="8"/>
        <v>32711.102008928574</v>
      </c>
      <c r="H66" s="88">
        <f t="shared" si="4"/>
        <v>5887998.3616071427</v>
      </c>
    </row>
    <row r="67" spans="1:8">
      <c r="A67" s="61">
        <f t="shared" si="5"/>
        <v>43</v>
      </c>
      <c r="B67" s="61"/>
      <c r="C67" s="61" t="s">
        <v>65</v>
      </c>
      <c r="D67" s="62">
        <f t="shared" ca="1" si="1"/>
        <v>45282</v>
      </c>
      <c r="E67" s="92">
        <f t="shared" si="6"/>
        <v>31313.191666666669</v>
      </c>
      <c r="F67" s="92">
        <f t="shared" si="7"/>
        <v>1397.9103422619046</v>
      </c>
      <c r="G67" s="86">
        <f t="shared" si="8"/>
        <v>32711.102008928574</v>
      </c>
      <c r="H67" s="88">
        <f t="shared" si="4"/>
        <v>5855287.2595982142</v>
      </c>
    </row>
    <row r="68" spans="1:8">
      <c r="A68" s="61">
        <f t="shared" si="5"/>
        <v>44</v>
      </c>
      <c r="B68" s="61"/>
      <c r="C68" s="61" t="s">
        <v>66</v>
      </c>
      <c r="D68" s="62">
        <f t="shared" ca="1" si="1"/>
        <v>45313</v>
      </c>
      <c r="E68" s="92">
        <f t="shared" si="6"/>
        <v>31313.191666666669</v>
      </c>
      <c r="F68" s="92">
        <f t="shared" si="7"/>
        <v>1397.9103422619046</v>
      </c>
      <c r="G68" s="86">
        <f t="shared" si="8"/>
        <v>32711.102008928574</v>
      </c>
      <c r="H68" s="88">
        <f t="shared" si="4"/>
        <v>5822576.1575892856</v>
      </c>
    </row>
    <row r="69" spans="1:8">
      <c r="A69" s="61">
        <f t="shared" si="5"/>
        <v>45</v>
      </c>
      <c r="B69" s="61"/>
      <c r="C69" s="61" t="s">
        <v>67</v>
      </c>
      <c r="D69" s="62">
        <f t="shared" ca="1" si="1"/>
        <v>45344</v>
      </c>
      <c r="E69" s="92">
        <f t="shared" si="6"/>
        <v>31313.191666666669</v>
      </c>
      <c r="F69" s="92">
        <f t="shared" si="7"/>
        <v>1397.9103422619046</v>
      </c>
      <c r="G69" s="86">
        <f t="shared" si="8"/>
        <v>32711.102008928574</v>
      </c>
      <c r="H69" s="88">
        <f t="shared" si="4"/>
        <v>5789865.0555803571</v>
      </c>
    </row>
    <row r="70" spans="1:8">
      <c r="A70" s="61">
        <f t="shared" si="5"/>
        <v>46</v>
      </c>
      <c r="B70" s="61"/>
      <c r="C70" s="61" t="s">
        <v>68</v>
      </c>
      <c r="D70" s="62">
        <f t="shared" ca="1" si="1"/>
        <v>45373</v>
      </c>
      <c r="E70" s="92">
        <f t="shared" si="6"/>
        <v>31313.191666666669</v>
      </c>
      <c r="F70" s="92">
        <f t="shared" si="7"/>
        <v>1397.9103422619046</v>
      </c>
      <c r="G70" s="86">
        <f t="shared" si="8"/>
        <v>32711.102008928574</v>
      </c>
      <c r="H70" s="88">
        <f t="shared" si="4"/>
        <v>5757153.9535714285</v>
      </c>
    </row>
    <row r="71" spans="1:8">
      <c r="A71" s="61">
        <f t="shared" si="5"/>
        <v>47</v>
      </c>
      <c r="B71" s="61"/>
      <c r="C71" s="61" t="s">
        <v>69</v>
      </c>
      <c r="D71" s="62">
        <f t="shared" ca="1" si="1"/>
        <v>45404</v>
      </c>
      <c r="E71" s="92">
        <f t="shared" si="6"/>
        <v>31313.191666666669</v>
      </c>
      <c r="F71" s="92">
        <f t="shared" si="7"/>
        <v>1397.9103422619046</v>
      </c>
      <c r="G71" s="86">
        <f t="shared" si="8"/>
        <v>32711.102008928574</v>
      </c>
      <c r="H71" s="88">
        <f t="shared" si="4"/>
        <v>5724442.8515625</v>
      </c>
    </row>
    <row r="72" spans="1:8">
      <c r="A72" s="61">
        <f t="shared" si="5"/>
        <v>48</v>
      </c>
      <c r="B72" s="61"/>
      <c r="C72" s="61" t="s">
        <v>70</v>
      </c>
      <c r="D72" s="62">
        <f t="shared" ca="1" si="1"/>
        <v>45434</v>
      </c>
      <c r="E72" s="92">
        <f t="shared" si="6"/>
        <v>31313.191666666669</v>
      </c>
      <c r="F72" s="92">
        <f t="shared" si="7"/>
        <v>1397.9103422619046</v>
      </c>
      <c r="G72" s="86">
        <f t="shared" si="8"/>
        <v>32711.102008928574</v>
      </c>
      <c r="H72" s="88">
        <f t="shared" si="4"/>
        <v>5691731.7495535715</v>
      </c>
    </row>
    <row r="73" spans="1:8">
      <c r="A73" s="61">
        <f t="shared" si="5"/>
        <v>49</v>
      </c>
      <c r="B73" s="61"/>
      <c r="C73" s="61" t="s">
        <v>71</v>
      </c>
      <c r="D73" s="62">
        <f t="shared" ca="1" si="1"/>
        <v>45465</v>
      </c>
      <c r="E73" s="92">
        <f t="shared" si="6"/>
        <v>31313.191666666669</v>
      </c>
      <c r="F73" s="92">
        <f t="shared" si="7"/>
        <v>1397.9103422619046</v>
      </c>
      <c r="G73" s="86">
        <f t="shared" si="8"/>
        <v>32711.102008928574</v>
      </c>
      <c r="H73" s="88">
        <f t="shared" si="4"/>
        <v>5659020.6475446429</v>
      </c>
    </row>
    <row r="74" spans="1:8">
      <c r="A74" s="61">
        <f t="shared" si="5"/>
        <v>50</v>
      </c>
      <c r="B74" s="61"/>
      <c r="C74" s="61" t="s">
        <v>72</v>
      </c>
      <c r="D74" s="62">
        <f t="shared" ca="1" si="1"/>
        <v>45495</v>
      </c>
      <c r="E74" s="92">
        <f t="shared" si="6"/>
        <v>31313.191666666669</v>
      </c>
      <c r="F74" s="92">
        <f t="shared" si="7"/>
        <v>1397.9103422619046</v>
      </c>
      <c r="G74" s="86">
        <f t="shared" si="8"/>
        <v>32711.102008928574</v>
      </c>
      <c r="H74" s="88">
        <f t="shared" si="4"/>
        <v>5626309.5455357144</v>
      </c>
    </row>
    <row r="75" spans="1:8">
      <c r="A75" s="61">
        <f t="shared" si="5"/>
        <v>51</v>
      </c>
      <c r="B75" s="61"/>
      <c r="C75" s="61" t="s">
        <v>73</v>
      </c>
      <c r="D75" s="62">
        <f t="shared" ca="1" si="1"/>
        <v>45526</v>
      </c>
      <c r="E75" s="92">
        <f t="shared" si="6"/>
        <v>31313.191666666669</v>
      </c>
      <c r="F75" s="92">
        <f t="shared" si="7"/>
        <v>1397.9103422619046</v>
      </c>
      <c r="G75" s="86">
        <f t="shared" si="8"/>
        <v>32711.102008928574</v>
      </c>
      <c r="H75" s="88">
        <f t="shared" si="4"/>
        <v>5593598.4435267858</v>
      </c>
    </row>
    <row r="76" spans="1:8">
      <c r="A76" s="61">
        <f t="shared" si="5"/>
        <v>52</v>
      </c>
      <c r="B76" s="61"/>
      <c r="C76" s="61" t="s">
        <v>74</v>
      </c>
      <c r="D76" s="62">
        <f t="shared" ca="1" si="1"/>
        <v>45557</v>
      </c>
      <c r="E76" s="92">
        <f t="shared" si="6"/>
        <v>31313.191666666669</v>
      </c>
      <c r="F76" s="92">
        <f t="shared" si="7"/>
        <v>1397.9103422619046</v>
      </c>
      <c r="G76" s="86">
        <f t="shared" si="8"/>
        <v>32711.102008928574</v>
      </c>
      <c r="H76" s="88">
        <f t="shared" si="4"/>
        <v>5560887.3415178573</v>
      </c>
    </row>
    <row r="77" spans="1:8">
      <c r="A77" s="61">
        <f t="shared" si="5"/>
        <v>53</v>
      </c>
      <c r="B77" s="61"/>
      <c r="C77" s="61" t="s">
        <v>75</v>
      </c>
      <c r="D77" s="62">
        <f t="shared" ca="1" si="1"/>
        <v>45587</v>
      </c>
      <c r="E77" s="92">
        <f t="shared" si="6"/>
        <v>31313.191666666669</v>
      </c>
      <c r="F77" s="92">
        <f t="shared" si="7"/>
        <v>1397.9103422619046</v>
      </c>
      <c r="G77" s="86">
        <f t="shared" si="8"/>
        <v>32711.102008928574</v>
      </c>
      <c r="H77" s="88">
        <f t="shared" si="4"/>
        <v>5528176.2395089287</v>
      </c>
    </row>
    <row r="78" spans="1:8">
      <c r="A78" s="61">
        <f t="shared" si="5"/>
        <v>54</v>
      </c>
      <c r="B78" s="61"/>
      <c r="C78" s="61" t="s">
        <v>76</v>
      </c>
      <c r="D78" s="62">
        <f t="shared" ca="1" si="1"/>
        <v>45618</v>
      </c>
      <c r="E78" s="92">
        <f t="shared" si="6"/>
        <v>31313.191666666669</v>
      </c>
      <c r="F78" s="92">
        <f t="shared" si="7"/>
        <v>1397.9103422619046</v>
      </c>
      <c r="G78" s="86">
        <f t="shared" si="8"/>
        <v>32711.102008928574</v>
      </c>
      <c r="H78" s="88">
        <f t="shared" si="4"/>
        <v>5495465.1375000002</v>
      </c>
    </row>
    <row r="79" spans="1:8">
      <c r="A79" s="61">
        <f t="shared" si="5"/>
        <v>55</v>
      </c>
      <c r="B79" s="66">
        <v>0.7</v>
      </c>
      <c r="C79" s="61" t="s">
        <v>105</v>
      </c>
      <c r="D79" s="62">
        <f t="shared" ca="1" si="1"/>
        <v>45648</v>
      </c>
      <c r="E79" s="85">
        <f>D16*0.7</f>
        <v>5260616.1999999993</v>
      </c>
      <c r="F79" s="85">
        <f>D17*0.7</f>
        <v>234848.93749999994</v>
      </c>
      <c r="G79" s="86">
        <f t="shared" si="8"/>
        <v>5495465.1374999993</v>
      </c>
      <c r="H79" s="88">
        <f t="shared" si="4"/>
        <v>0</v>
      </c>
    </row>
    <row r="80" spans="1:8">
      <c r="A80" s="166" t="s">
        <v>15</v>
      </c>
      <c r="B80" s="166"/>
      <c r="C80" s="166"/>
      <c r="D80" s="166"/>
      <c r="E80" s="67">
        <f>SUM(E22:E79)</f>
        <v>7515166</v>
      </c>
      <c r="F80" s="67">
        <f t="shared" ref="F80:G80" si="9">SUM(F22:F79)</f>
        <v>335498.48214285728</v>
      </c>
      <c r="G80" s="67">
        <f t="shared" si="9"/>
        <v>7850664.4821428554</v>
      </c>
      <c r="H80" s="68"/>
    </row>
    <row r="81" spans="1:8" s="14" customFormat="1">
      <c r="C81" s="28"/>
      <c r="D81" s="29"/>
      <c r="E81" s="30"/>
      <c r="F81" s="30"/>
      <c r="G81" s="30"/>
    </row>
    <row r="82" spans="1:8" s="14" customFormat="1">
      <c r="A82" s="162" t="s">
        <v>136</v>
      </c>
      <c r="B82" s="162"/>
      <c r="C82" s="162"/>
      <c r="D82" s="162"/>
      <c r="E82" s="162"/>
      <c r="F82" s="162"/>
      <c r="G82" s="162"/>
      <c r="H82" s="162"/>
    </row>
    <row r="83" spans="1:8" s="14" customFormat="1" ht="29.25" customHeight="1">
      <c r="A83" s="164" t="s">
        <v>175</v>
      </c>
      <c r="B83" s="164"/>
      <c r="C83" s="164"/>
      <c r="D83" s="164"/>
      <c r="E83" s="164"/>
      <c r="F83" s="164"/>
      <c r="G83" s="164"/>
      <c r="H83" s="164"/>
    </row>
    <row r="84" spans="1:8" s="14" customFormat="1" ht="16.5" customHeight="1">
      <c r="A84" s="162" t="s">
        <v>176</v>
      </c>
      <c r="B84" s="162"/>
      <c r="C84" s="162"/>
      <c r="D84" s="162"/>
      <c r="E84" s="162"/>
      <c r="F84" s="162"/>
      <c r="G84" s="162"/>
      <c r="H84" s="162"/>
    </row>
    <row r="85" spans="1:8" s="14" customFormat="1" ht="16.5" customHeight="1">
      <c r="A85" s="162" t="s">
        <v>177</v>
      </c>
      <c r="B85" s="162"/>
      <c r="C85" s="162"/>
      <c r="D85" s="162"/>
      <c r="E85" s="162"/>
      <c r="F85" s="162"/>
      <c r="G85" s="162"/>
      <c r="H85" s="162"/>
    </row>
    <row r="86" spans="1:8" s="14" customFormat="1" ht="16.5" customHeight="1">
      <c r="A86" s="162" t="s">
        <v>178</v>
      </c>
      <c r="B86" s="162"/>
      <c r="C86" s="162"/>
      <c r="D86" s="162"/>
      <c r="E86" s="162"/>
      <c r="F86" s="162"/>
      <c r="G86" s="162"/>
      <c r="H86" s="162"/>
    </row>
    <row r="87" spans="1:8" s="14" customFormat="1" ht="107.25" customHeight="1">
      <c r="A87" s="162" t="s">
        <v>179</v>
      </c>
      <c r="B87" s="162"/>
      <c r="C87" s="162"/>
      <c r="D87" s="162"/>
      <c r="E87" s="162"/>
      <c r="F87" s="162"/>
      <c r="G87" s="162"/>
      <c r="H87" s="162"/>
    </row>
    <row r="88" spans="1:8" s="14" customFormat="1" ht="42" customHeight="1">
      <c r="A88" s="162" t="s">
        <v>180</v>
      </c>
      <c r="B88" s="162"/>
      <c r="C88" s="162"/>
      <c r="D88" s="162"/>
      <c r="E88" s="162"/>
      <c r="F88" s="162"/>
      <c r="G88" s="162"/>
      <c r="H88" s="162"/>
    </row>
    <row r="89" spans="1:8" s="14" customFormat="1" ht="17.25" customHeight="1">
      <c r="A89" s="162" t="s">
        <v>181</v>
      </c>
      <c r="B89" s="162"/>
      <c r="C89" s="162"/>
      <c r="D89" s="162"/>
      <c r="E89" s="162"/>
      <c r="F89" s="162"/>
      <c r="G89" s="162"/>
      <c r="H89" s="162"/>
    </row>
    <row r="90" spans="1:8" s="14" customFormat="1">
      <c r="A90" s="162"/>
      <c r="B90" s="162"/>
      <c r="C90" s="162"/>
      <c r="D90" s="162"/>
      <c r="E90" s="162"/>
      <c r="F90" s="162"/>
      <c r="G90" s="162"/>
      <c r="H90" s="162"/>
    </row>
    <row r="91" spans="1:8" s="14" customFormat="1">
      <c r="A91" s="14" t="s">
        <v>16</v>
      </c>
      <c r="D91" s="31"/>
      <c r="G91" s="15"/>
    </row>
    <row r="92" spans="1:8" s="14" customFormat="1">
      <c r="D92" s="31"/>
      <c r="G92" s="15"/>
    </row>
    <row r="93" spans="1:8" s="14" customFormat="1" ht="15" customHeight="1">
      <c r="A93" s="32"/>
      <c r="B93" s="32"/>
      <c r="C93" s="32"/>
      <c r="D93" s="31"/>
      <c r="E93" s="32"/>
      <c r="F93" s="32"/>
      <c r="G93" s="33"/>
    </row>
    <row r="94" spans="1:8" s="14" customFormat="1">
      <c r="A94" s="179" t="s">
        <v>163</v>
      </c>
      <c r="B94" s="179"/>
      <c r="C94" s="179"/>
      <c r="D94" s="31"/>
      <c r="E94" s="179" t="s">
        <v>17</v>
      </c>
      <c r="F94" s="179"/>
      <c r="G94" s="179"/>
    </row>
    <row r="95" spans="1:8"/>
  </sheetData>
  <sheetProtection password="CAF1" sheet="1" objects="1" scenarios="1" selectLockedCells="1"/>
  <mergeCells count="20">
    <mergeCell ref="A88:H88"/>
    <mergeCell ref="A89:H89"/>
    <mergeCell ref="A90:H90"/>
    <mergeCell ref="A94:C94"/>
    <mergeCell ref="E94:G94"/>
    <mergeCell ref="A84:H84"/>
    <mergeCell ref="A85:H85"/>
    <mergeCell ref="A86:H86"/>
    <mergeCell ref="A87:H87"/>
    <mergeCell ref="H1:H2"/>
    <mergeCell ref="C5:H5"/>
    <mergeCell ref="C10:H10"/>
    <mergeCell ref="A82:H82"/>
    <mergeCell ref="A83:H83"/>
    <mergeCell ref="A21:G21"/>
    <mergeCell ref="A80:D80"/>
    <mergeCell ref="C6:H6"/>
    <mergeCell ref="C7:H7"/>
    <mergeCell ref="C8:H8"/>
    <mergeCell ref="C9:H9"/>
  </mergeCells>
  <hyperlinks>
    <hyperlink ref="C1" location="'DATA SHEET'!A1" display="HIGHLANDS PRIME, INC." xr:uid="{00000000-0004-0000-0D00-000000000000}"/>
    <hyperlink ref="J4" location="'DATA SHEET'!A1" display="Return to Data Sheet" xr:uid="{00000000-0004-0000-0D00-000001000000}"/>
  </hyperlinks>
  <printOptions horizontalCentered="1"/>
  <pageMargins left="0.7" right="0.7" top="0.75" bottom="0.5" header="0.3" footer="0.3"/>
  <pageSetup scale="70" orientation="portrait"/>
  <headerFooter>
    <oddFooter>&amp;L&amp;8A project of HIGHLANDS PRIME, INC. 
Woodridge Place at Tagaytay Highlands,  Tagaytay Highlands, Tagaytay City
HLURB License To Sell No. 22459&amp;RPage &amp;P of &amp;N</oddFooter>
  </headerFooter>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rgb="FF389E8F"/>
    <pageSetUpPr fitToPage="1"/>
  </sheetPr>
  <dimension ref="A1:L95"/>
  <sheetViews>
    <sheetView showGridLines="0" workbookViewId="0">
      <selection activeCell="D15" sqref="D15"/>
    </sheetView>
  </sheetViews>
  <sheetFormatPr baseColWidth="10" defaultColWidth="0" defaultRowHeight="14" zeroHeight="1"/>
  <cols>
    <col min="1" max="1" width="12.1640625" style="13" customWidth="1"/>
    <col min="2" max="2" width="10.5" style="13" customWidth="1"/>
    <col min="3" max="3" width="24.5" style="13" customWidth="1"/>
    <col min="4" max="4" width="13.5" style="35" bestFit="1" customWidth="1"/>
    <col min="5" max="5" width="13.5" style="13" bestFit="1" customWidth="1"/>
    <col min="6" max="6" width="13.6640625" style="13" bestFit="1" customWidth="1"/>
    <col min="7" max="7" width="13.5" style="36" bestFit="1" customWidth="1"/>
    <col min="8" max="8" width="16.5" style="13" bestFit="1" customWidth="1"/>
    <col min="9" max="12" width="9.1640625" style="13" customWidth="1"/>
    <col min="13" max="16384" width="9.1640625" style="13" hidden="1"/>
  </cols>
  <sheetData>
    <row r="1" spans="1:10" ht="12.75" customHeight="1">
      <c r="C1" s="34" t="s">
        <v>33</v>
      </c>
      <c r="H1" s="163" t="s">
        <v>50</v>
      </c>
    </row>
    <row r="2" spans="1:10">
      <c r="C2" s="36" t="s">
        <v>182</v>
      </c>
      <c r="H2" s="163"/>
    </row>
    <row r="3" spans="1:10">
      <c r="C3" s="36" t="s">
        <v>34</v>
      </c>
    </row>
    <row r="4" spans="1:10">
      <c r="J4" s="69" t="s">
        <v>111</v>
      </c>
    </row>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c r="I8" s="82">
        <v>0.1</v>
      </c>
    </row>
    <row r="9" spans="1:10">
      <c r="A9" s="41" t="s">
        <v>167</v>
      </c>
      <c r="B9" s="91"/>
      <c r="C9" s="175">
        <f>'DATA SHEET'!C13</f>
        <v>8473400</v>
      </c>
      <c r="D9" s="175"/>
      <c r="E9" s="175"/>
      <c r="F9" s="175"/>
      <c r="G9" s="175"/>
      <c r="H9" s="176"/>
    </row>
    <row r="10" spans="1:10">
      <c r="A10" s="42" t="s">
        <v>31</v>
      </c>
      <c r="B10" s="43"/>
      <c r="C10" s="180" t="str">
        <f>'DATA SHEET'!C22</f>
        <v>5% over 6 months, 30% over 48 months, 65% Lumpsum</v>
      </c>
      <c r="D10" s="180"/>
      <c r="E10" s="180"/>
      <c r="F10" s="180"/>
      <c r="G10" s="180"/>
      <c r="H10" s="181"/>
    </row>
    <row r="11" spans="1:10"/>
    <row r="12" spans="1:10">
      <c r="A12" s="36" t="s">
        <v>46</v>
      </c>
      <c r="B12" s="36"/>
    </row>
    <row r="13" spans="1:10">
      <c r="A13" s="14" t="s">
        <v>170</v>
      </c>
      <c r="D13" s="44">
        <f>(C9-650000)</f>
        <v>7823400</v>
      </c>
      <c r="E13" s="45" t="str">
        <f>LEFT(C8,9)</f>
        <v>1-Bedroom</v>
      </c>
    </row>
    <row r="14" spans="1:10">
      <c r="A14" s="46" t="s">
        <v>191</v>
      </c>
      <c r="B14" s="47"/>
      <c r="C14" s="101">
        <v>0.01</v>
      </c>
      <c r="D14" s="48">
        <f>IF(C14&lt;=1%,(D13*C14),"BEYOND MAX DISC.")</f>
        <v>78234</v>
      </c>
      <c r="E14" s="35"/>
    </row>
    <row r="15" spans="1:10">
      <c r="A15" s="46" t="s">
        <v>192</v>
      </c>
      <c r="B15" s="47"/>
      <c r="C15" s="101"/>
      <c r="D15" s="143">
        <f>VLOOKUP('DATA SHEET'!C10,'WESTCHASE PL'!$D$11:$H$33,5,0)</f>
        <v>230000</v>
      </c>
      <c r="E15" s="35"/>
    </row>
    <row r="16" spans="1:10">
      <c r="A16" s="52" t="s">
        <v>174</v>
      </c>
      <c r="B16" s="15"/>
      <c r="C16" s="15"/>
      <c r="D16" s="53">
        <f>+D13-SUM(D14:D15)</f>
        <v>7515166</v>
      </c>
      <c r="E16" s="50"/>
    </row>
    <row r="17" spans="1:8">
      <c r="A17" s="54" t="s">
        <v>154</v>
      </c>
      <c r="B17" s="54"/>
      <c r="C17" s="16">
        <v>0.05</v>
      </c>
      <c r="D17" s="55">
        <f>D16/1.12*C17</f>
        <v>335498.4821428571</v>
      </c>
      <c r="E17" s="50"/>
    </row>
    <row r="18" spans="1:8" ht="15" thickBot="1">
      <c r="A18" s="15" t="s">
        <v>47</v>
      </c>
      <c r="B18" s="15"/>
      <c r="C18" s="15"/>
      <c r="D18" s="56">
        <f>+SUM(D16:D17)</f>
        <v>7850664.4821428573</v>
      </c>
      <c r="E18" s="35"/>
    </row>
    <row r="19" spans="1:8" ht="15" thickTop="1">
      <c r="D19" s="44"/>
      <c r="E19" s="35"/>
      <c r="F19" s="35"/>
      <c r="G19" s="90"/>
    </row>
    <row r="20" spans="1:8">
      <c r="A20" s="57" t="s">
        <v>32</v>
      </c>
      <c r="B20" s="57" t="s">
        <v>155</v>
      </c>
      <c r="C20" s="57" t="s">
        <v>2</v>
      </c>
      <c r="D20" s="57" t="s">
        <v>156</v>
      </c>
      <c r="E20" s="57" t="s">
        <v>173</v>
      </c>
      <c r="F20" s="57" t="s">
        <v>158</v>
      </c>
      <c r="G20" s="59" t="s">
        <v>159</v>
      </c>
      <c r="H20" s="57" t="s">
        <v>160</v>
      </c>
    </row>
    <row r="21" spans="1:8">
      <c r="A21" s="165" t="s">
        <v>162</v>
      </c>
      <c r="B21" s="165"/>
      <c r="C21" s="165"/>
      <c r="D21" s="165"/>
      <c r="E21" s="165"/>
      <c r="F21" s="165"/>
      <c r="G21" s="165"/>
      <c r="H21" s="60">
        <f>+D18</f>
        <v>7850664.4821428573</v>
      </c>
    </row>
    <row r="22" spans="1:8">
      <c r="A22" s="61">
        <v>0</v>
      </c>
      <c r="B22" s="61"/>
      <c r="C22" s="62">
        <f ca="1">'DATA SHEET'!C8</f>
        <v>43973</v>
      </c>
      <c r="D22" s="61" t="s">
        <v>36</v>
      </c>
      <c r="E22" s="85">
        <f>IF(E13="1-Bedroom",50000,100000)</f>
        <v>50000</v>
      </c>
      <c r="F22" s="85"/>
      <c r="G22" s="86">
        <f>+SUM(E22:F22)</f>
        <v>50000</v>
      </c>
      <c r="H22" s="65">
        <f>D18-E22</f>
        <v>7800664.4821428573</v>
      </c>
    </row>
    <row r="23" spans="1:8">
      <c r="A23" s="61"/>
      <c r="B23" s="66">
        <v>0.05</v>
      </c>
      <c r="C23" s="62" t="s">
        <v>166</v>
      </c>
      <c r="D23" s="61"/>
      <c r="E23" s="85"/>
      <c r="F23" s="85"/>
      <c r="G23" s="86"/>
      <c r="H23" s="65"/>
    </row>
    <row r="24" spans="1:8">
      <c r="A24" s="61">
        <v>1</v>
      </c>
      <c r="B24" s="61"/>
      <c r="C24" s="62">
        <f ca="1">EDATE(C22,1)</f>
        <v>44004</v>
      </c>
      <c r="D24" s="61" t="s">
        <v>53</v>
      </c>
      <c r="E24" s="87">
        <f t="shared" ref="E24:E29" si="0">(($D$16*5%)-$E$22)/6</f>
        <v>54293.05000000001</v>
      </c>
      <c r="F24" s="87">
        <f>(($D$17*5%))/6</f>
        <v>2795.8206845238092</v>
      </c>
      <c r="G24" s="86">
        <f>+SUM(E24:F24)</f>
        <v>57088.870684523819</v>
      </c>
      <c r="H24" s="88">
        <f>H22-G24</f>
        <v>7743575.6114583332</v>
      </c>
    </row>
    <row r="25" spans="1:8">
      <c r="A25" s="61">
        <v>2</v>
      </c>
      <c r="B25" s="61"/>
      <c r="C25" s="62">
        <f t="shared" ref="C25:C79" ca="1" si="1">EDATE(C24,1)</f>
        <v>44034</v>
      </c>
      <c r="D25" s="61" t="s">
        <v>54</v>
      </c>
      <c r="E25" s="87">
        <f t="shared" si="0"/>
        <v>54293.05000000001</v>
      </c>
      <c r="F25" s="87">
        <f t="shared" ref="F25:F29" si="2">(($D$17*5%))/6</f>
        <v>2795.8206845238092</v>
      </c>
      <c r="G25" s="86">
        <f t="shared" ref="G25:G31" si="3">+SUM(E25:F25)</f>
        <v>57088.870684523819</v>
      </c>
      <c r="H25" s="88">
        <f t="shared" ref="H25:H79" si="4">H24-G25</f>
        <v>7686486.7407738091</v>
      </c>
    </row>
    <row r="26" spans="1:8">
      <c r="A26" s="61">
        <v>3</v>
      </c>
      <c r="B26" s="61"/>
      <c r="C26" s="62">
        <f t="shared" ca="1" si="1"/>
        <v>44065</v>
      </c>
      <c r="D26" s="61" t="s">
        <v>55</v>
      </c>
      <c r="E26" s="87">
        <f t="shared" si="0"/>
        <v>54293.05000000001</v>
      </c>
      <c r="F26" s="87">
        <f t="shared" si="2"/>
        <v>2795.8206845238092</v>
      </c>
      <c r="G26" s="86">
        <f t="shared" si="3"/>
        <v>57088.870684523819</v>
      </c>
      <c r="H26" s="88">
        <f t="shared" si="4"/>
        <v>7629397.8700892851</v>
      </c>
    </row>
    <row r="27" spans="1:8">
      <c r="A27" s="61">
        <v>4</v>
      </c>
      <c r="B27" s="61"/>
      <c r="C27" s="62">
        <f t="shared" ca="1" si="1"/>
        <v>44096</v>
      </c>
      <c r="D27" s="61" t="s">
        <v>56</v>
      </c>
      <c r="E27" s="87">
        <f t="shared" si="0"/>
        <v>54293.05000000001</v>
      </c>
      <c r="F27" s="87">
        <f t="shared" si="2"/>
        <v>2795.8206845238092</v>
      </c>
      <c r="G27" s="86">
        <f t="shared" si="3"/>
        <v>57088.870684523819</v>
      </c>
      <c r="H27" s="88">
        <f t="shared" si="4"/>
        <v>7572308.999404761</v>
      </c>
    </row>
    <row r="28" spans="1:8">
      <c r="A28" s="61">
        <v>5</v>
      </c>
      <c r="B28" s="61"/>
      <c r="C28" s="62">
        <f t="shared" ca="1" si="1"/>
        <v>44126</v>
      </c>
      <c r="D28" s="61" t="s">
        <v>57</v>
      </c>
      <c r="E28" s="87">
        <f t="shared" si="0"/>
        <v>54293.05000000001</v>
      </c>
      <c r="F28" s="87">
        <f t="shared" si="2"/>
        <v>2795.8206845238092</v>
      </c>
      <c r="G28" s="86">
        <f t="shared" si="3"/>
        <v>57088.870684523819</v>
      </c>
      <c r="H28" s="88">
        <f t="shared" si="4"/>
        <v>7515220.1287202369</v>
      </c>
    </row>
    <row r="29" spans="1:8">
      <c r="A29" s="61">
        <v>6</v>
      </c>
      <c r="B29" s="61"/>
      <c r="C29" s="62">
        <f t="shared" ca="1" si="1"/>
        <v>44157</v>
      </c>
      <c r="D29" s="61" t="s">
        <v>58</v>
      </c>
      <c r="E29" s="87">
        <f t="shared" si="0"/>
        <v>54293.05000000001</v>
      </c>
      <c r="F29" s="87">
        <f t="shared" si="2"/>
        <v>2795.8206845238092</v>
      </c>
      <c r="G29" s="86">
        <f t="shared" si="3"/>
        <v>57088.870684523819</v>
      </c>
      <c r="H29" s="88">
        <f t="shared" si="4"/>
        <v>7458131.2580357129</v>
      </c>
    </row>
    <row r="30" spans="1:8">
      <c r="A30" s="61"/>
      <c r="B30" s="66">
        <v>0.3</v>
      </c>
      <c r="C30" s="62" t="s">
        <v>165</v>
      </c>
      <c r="D30" s="61"/>
      <c r="E30" s="87"/>
      <c r="F30" s="87"/>
      <c r="G30" s="86"/>
      <c r="H30" s="88"/>
    </row>
    <row r="31" spans="1:8">
      <c r="A31" s="61">
        <v>7</v>
      </c>
      <c r="B31" s="61"/>
      <c r="C31" s="62">
        <f ca="1">EDATE(C29,1)</f>
        <v>44187</v>
      </c>
      <c r="D31" s="61" t="s">
        <v>3</v>
      </c>
      <c r="E31" s="92">
        <f>($D$16*30%)/48</f>
        <v>46969.787499999999</v>
      </c>
      <c r="F31" s="92">
        <f>($D$17*30%)/48</f>
        <v>2096.8655133928569</v>
      </c>
      <c r="G31" s="86">
        <f t="shared" si="3"/>
        <v>49066.653013392854</v>
      </c>
      <c r="H31" s="88">
        <f>H29-G31</f>
        <v>7409064.6050223196</v>
      </c>
    </row>
    <row r="32" spans="1:8">
      <c r="A32" s="61">
        <v>8</v>
      </c>
      <c r="B32" s="61"/>
      <c r="C32" s="62">
        <f t="shared" ca="1" si="1"/>
        <v>44218</v>
      </c>
      <c r="D32" s="61" t="s">
        <v>4</v>
      </c>
      <c r="E32" s="92">
        <f t="shared" ref="E32:E78" si="5">($D$16*30%)/48</f>
        <v>46969.787499999999</v>
      </c>
      <c r="F32" s="92">
        <f t="shared" ref="F32:F78" si="6">($D$17*30%)/48</f>
        <v>2096.8655133928569</v>
      </c>
      <c r="G32" s="86">
        <f t="shared" ref="G32:G79" si="7">+SUM(E32:F32)</f>
        <v>49066.653013392854</v>
      </c>
      <c r="H32" s="88">
        <f t="shared" si="4"/>
        <v>7359997.9520089263</v>
      </c>
    </row>
    <row r="33" spans="1:8">
      <c r="A33" s="61">
        <v>9</v>
      </c>
      <c r="B33" s="61"/>
      <c r="C33" s="62">
        <f t="shared" ca="1" si="1"/>
        <v>44249</v>
      </c>
      <c r="D33" s="61" t="s">
        <v>5</v>
      </c>
      <c r="E33" s="92">
        <f t="shared" si="5"/>
        <v>46969.787499999999</v>
      </c>
      <c r="F33" s="92">
        <f t="shared" si="6"/>
        <v>2096.8655133928569</v>
      </c>
      <c r="G33" s="86">
        <f t="shared" si="7"/>
        <v>49066.653013392854</v>
      </c>
      <c r="H33" s="88">
        <f t="shared" si="4"/>
        <v>7310931.298995533</v>
      </c>
    </row>
    <row r="34" spans="1:8">
      <c r="A34" s="61">
        <v>10</v>
      </c>
      <c r="B34" s="61"/>
      <c r="C34" s="62">
        <f t="shared" ca="1" si="1"/>
        <v>44277</v>
      </c>
      <c r="D34" s="61" t="s">
        <v>6</v>
      </c>
      <c r="E34" s="92">
        <f t="shared" si="5"/>
        <v>46969.787499999999</v>
      </c>
      <c r="F34" s="92">
        <f t="shared" si="6"/>
        <v>2096.8655133928569</v>
      </c>
      <c r="G34" s="86">
        <f t="shared" si="7"/>
        <v>49066.653013392854</v>
      </c>
      <c r="H34" s="88">
        <f t="shared" si="4"/>
        <v>7261864.6459821397</v>
      </c>
    </row>
    <row r="35" spans="1:8">
      <c r="A35" s="61">
        <v>11</v>
      </c>
      <c r="B35" s="61"/>
      <c r="C35" s="62">
        <f t="shared" ca="1" si="1"/>
        <v>44308</v>
      </c>
      <c r="D35" s="61" t="s">
        <v>7</v>
      </c>
      <c r="E35" s="92">
        <f t="shared" si="5"/>
        <v>46969.787499999999</v>
      </c>
      <c r="F35" s="92">
        <f t="shared" si="6"/>
        <v>2096.8655133928569</v>
      </c>
      <c r="G35" s="86">
        <f t="shared" si="7"/>
        <v>49066.653013392854</v>
      </c>
      <c r="H35" s="88">
        <f t="shared" si="4"/>
        <v>7212797.9929687465</v>
      </c>
    </row>
    <row r="36" spans="1:8">
      <c r="A36" s="61">
        <v>12</v>
      </c>
      <c r="B36" s="61"/>
      <c r="C36" s="62">
        <f t="shared" ca="1" si="1"/>
        <v>44338</v>
      </c>
      <c r="D36" s="61" t="s">
        <v>8</v>
      </c>
      <c r="E36" s="92">
        <f t="shared" si="5"/>
        <v>46969.787499999999</v>
      </c>
      <c r="F36" s="92">
        <f t="shared" si="6"/>
        <v>2096.8655133928569</v>
      </c>
      <c r="G36" s="86">
        <f t="shared" si="7"/>
        <v>49066.653013392854</v>
      </c>
      <c r="H36" s="88">
        <f t="shared" si="4"/>
        <v>7163731.3399553532</v>
      </c>
    </row>
    <row r="37" spans="1:8">
      <c r="A37" s="61">
        <v>13</v>
      </c>
      <c r="B37" s="61"/>
      <c r="C37" s="62">
        <f t="shared" ca="1" si="1"/>
        <v>44369</v>
      </c>
      <c r="D37" s="61" t="s">
        <v>9</v>
      </c>
      <c r="E37" s="92">
        <f t="shared" si="5"/>
        <v>46969.787499999999</v>
      </c>
      <c r="F37" s="92">
        <f t="shared" si="6"/>
        <v>2096.8655133928569</v>
      </c>
      <c r="G37" s="86">
        <f t="shared" si="7"/>
        <v>49066.653013392854</v>
      </c>
      <c r="H37" s="88">
        <f t="shared" si="4"/>
        <v>7114664.6869419599</v>
      </c>
    </row>
    <row r="38" spans="1:8">
      <c r="A38" s="61">
        <v>14</v>
      </c>
      <c r="B38" s="61"/>
      <c r="C38" s="62">
        <f t="shared" ca="1" si="1"/>
        <v>44399</v>
      </c>
      <c r="D38" s="61" t="s">
        <v>10</v>
      </c>
      <c r="E38" s="92">
        <f t="shared" si="5"/>
        <v>46969.787499999999</v>
      </c>
      <c r="F38" s="92">
        <f t="shared" si="6"/>
        <v>2096.8655133928569</v>
      </c>
      <c r="G38" s="86">
        <f t="shared" si="7"/>
        <v>49066.653013392854</v>
      </c>
      <c r="H38" s="88">
        <f t="shared" si="4"/>
        <v>7065598.0339285666</v>
      </c>
    </row>
    <row r="39" spans="1:8">
      <c r="A39" s="61">
        <v>15</v>
      </c>
      <c r="B39" s="61"/>
      <c r="C39" s="62">
        <f t="shared" ca="1" si="1"/>
        <v>44430</v>
      </c>
      <c r="D39" s="61" t="s">
        <v>11</v>
      </c>
      <c r="E39" s="92">
        <f t="shared" si="5"/>
        <v>46969.787499999999</v>
      </c>
      <c r="F39" s="92">
        <f t="shared" si="6"/>
        <v>2096.8655133928569</v>
      </c>
      <c r="G39" s="86">
        <f t="shared" si="7"/>
        <v>49066.653013392854</v>
      </c>
      <c r="H39" s="88">
        <f t="shared" si="4"/>
        <v>7016531.3809151733</v>
      </c>
    </row>
    <row r="40" spans="1:8">
      <c r="A40" s="61">
        <v>16</v>
      </c>
      <c r="B40" s="61"/>
      <c r="C40" s="62">
        <f t="shared" ca="1" si="1"/>
        <v>44461</v>
      </c>
      <c r="D40" s="61" t="s">
        <v>12</v>
      </c>
      <c r="E40" s="92">
        <f t="shared" si="5"/>
        <v>46969.787499999999</v>
      </c>
      <c r="F40" s="92">
        <f t="shared" si="6"/>
        <v>2096.8655133928569</v>
      </c>
      <c r="G40" s="86">
        <f t="shared" si="7"/>
        <v>49066.653013392854</v>
      </c>
      <c r="H40" s="88">
        <f t="shared" si="4"/>
        <v>6967464.72790178</v>
      </c>
    </row>
    <row r="41" spans="1:8">
      <c r="A41" s="61">
        <v>17</v>
      </c>
      <c r="B41" s="61"/>
      <c r="C41" s="62">
        <f t="shared" ca="1" si="1"/>
        <v>44491</v>
      </c>
      <c r="D41" s="61" t="s">
        <v>13</v>
      </c>
      <c r="E41" s="92">
        <f t="shared" si="5"/>
        <v>46969.787499999999</v>
      </c>
      <c r="F41" s="92">
        <f t="shared" si="6"/>
        <v>2096.8655133928569</v>
      </c>
      <c r="G41" s="86">
        <f t="shared" si="7"/>
        <v>49066.653013392854</v>
      </c>
      <c r="H41" s="88">
        <f t="shared" si="4"/>
        <v>6918398.0748883868</v>
      </c>
    </row>
    <row r="42" spans="1:8">
      <c r="A42" s="61">
        <v>18</v>
      </c>
      <c r="B42" s="61"/>
      <c r="C42" s="62">
        <f t="shared" ca="1" si="1"/>
        <v>44522</v>
      </c>
      <c r="D42" s="61" t="s">
        <v>14</v>
      </c>
      <c r="E42" s="92">
        <f t="shared" si="5"/>
        <v>46969.787499999999</v>
      </c>
      <c r="F42" s="92">
        <f t="shared" si="6"/>
        <v>2096.8655133928569</v>
      </c>
      <c r="G42" s="86">
        <f t="shared" si="7"/>
        <v>49066.653013392854</v>
      </c>
      <c r="H42" s="88">
        <f t="shared" si="4"/>
        <v>6869331.4218749935</v>
      </c>
    </row>
    <row r="43" spans="1:8">
      <c r="A43" s="61">
        <v>19</v>
      </c>
      <c r="B43" s="61"/>
      <c r="C43" s="62">
        <f t="shared" ca="1" si="1"/>
        <v>44552</v>
      </c>
      <c r="D43" s="61" t="s">
        <v>18</v>
      </c>
      <c r="E43" s="92">
        <f t="shared" si="5"/>
        <v>46969.787499999999</v>
      </c>
      <c r="F43" s="92">
        <f t="shared" si="6"/>
        <v>2096.8655133928569</v>
      </c>
      <c r="G43" s="86">
        <f t="shared" si="7"/>
        <v>49066.653013392854</v>
      </c>
      <c r="H43" s="88">
        <f t="shared" si="4"/>
        <v>6820264.7688616002</v>
      </c>
    </row>
    <row r="44" spans="1:8">
      <c r="A44" s="61">
        <v>20</v>
      </c>
      <c r="B44" s="61"/>
      <c r="C44" s="62">
        <f t="shared" ca="1" si="1"/>
        <v>44583</v>
      </c>
      <c r="D44" s="61" t="s">
        <v>19</v>
      </c>
      <c r="E44" s="92">
        <f t="shared" si="5"/>
        <v>46969.787499999999</v>
      </c>
      <c r="F44" s="92">
        <f t="shared" si="6"/>
        <v>2096.8655133928569</v>
      </c>
      <c r="G44" s="86">
        <f t="shared" si="7"/>
        <v>49066.653013392854</v>
      </c>
      <c r="H44" s="88">
        <f t="shared" si="4"/>
        <v>6771198.1158482069</v>
      </c>
    </row>
    <row r="45" spans="1:8">
      <c r="A45" s="61">
        <v>21</v>
      </c>
      <c r="B45" s="61"/>
      <c r="C45" s="62">
        <f t="shared" ca="1" si="1"/>
        <v>44614</v>
      </c>
      <c r="D45" s="61" t="s">
        <v>20</v>
      </c>
      <c r="E45" s="92">
        <f t="shared" si="5"/>
        <v>46969.787499999999</v>
      </c>
      <c r="F45" s="92">
        <f t="shared" si="6"/>
        <v>2096.8655133928569</v>
      </c>
      <c r="G45" s="86">
        <f t="shared" si="7"/>
        <v>49066.653013392854</v>
      </c>
      <c r="H45" s="88">
        <f t="shared" si="4"/>
        <v>6722131.4628348136</v>
      </c>
    </row>
    <row r="46" spans="1:8">
      <c r="A46" s="61">
        <v>22</v>
      </c>
      <c r="B46" s="61"/>
      <c r="C46" s="62">
        <f t="shared" ca="1" si="1"/>
        <v>44642</v>
      </c>
      <c r="D46" s="61" t="s">
        <v>21</v>
      </c>
      <c r="E46" s="92">
        <f t="shared" si="5"/>
        <v>46969.787499999999</v>
      </c>
      <c r="F46" s="92">
        <f t="shared" si="6"/>
        <v>2096.8655133928569</v>
      </c>
      <c r="G46" s="86">
        <f t="shared" si="7"/>
        <v>49066.653013392854</v>
      </c>
      <c r="H46" s="88">
        <f t="shared" si="4"/>
        <v>6673064.8098214203</v>
      </c>
    </row>
    <row r="47" spans="1:8">
      <c r="A47" s="61">
        <v>23</v>
      </c>
      <c r="B47" s="61"/>
      <c r="C47" s="62">
        <f t="shared" ca="1" si="1"/>
        <v>44673</v>
      </c>
      <c r="D47" s="61" t="s">
        <v>22</v>
      </c>
      <c r="E47" s="92">
        <f t="shared" si="5"/>
        <v>46969.787499999999</v>
      </c>
      <c r="F47" s="92">
        <f t="shared" si="6"/>
        <v>2096.8655133928569</v>
      </c>
      <c r="G47" s="86">
        <f t="shared" si="7"/>
        <v>49066.653013392854</v>
      </c>
      <c r="H47" s="88">
        <f t="shared" si="4"/>
        <v>6623998.1568080271</v>
      </c>
    </row>
    <row r="48" spans="1:8">
      <c r="A48" s="61">
        <v>24</v>
      </c>
      <c r="B48" s="61"/>
      <c r="C48" s="62">
        <f t="shared" ca="1" si="1"/>
        <v>44703</v>
      </c>
      <c r="D48" s="61" t="s">
        <v>23</v>
      </c>
      <c r="E48" s="92">
        <f t="shared" si="5"/>
        <v>46969.787499999999</v>
      </c>
      <c r="F48" s="92">
        <f t="shared" si="6"/>
        <v>2096.8655133928569</v>
      </c>
      <c r="G48" s="86">
        <f t="shared" si="7"/>
        <v>49066.653013392854</v>
      </c>
      <c r="H48" s="88">
        <f t="shared" si="4"/>
        <v>6574931.5037946338</v>
      </c>
    </row>
    <row r="49" spans="1:8">
      <c r="A49" s="61">
        <v>25</v>
      </c>
      <c r="B49" s="61"/>
      <c r="C49" s="62">
        <f t="shared" ca="1" si="1"/>
        <v>44734</v>
      </c>
      <c r="D49" s="61" t="s">
        <v>24</v>
      </c>
      <c r="E49" s="92">
        <f t="shared" si="5"/>
        <v>46969.787499999999</v>
      </c>
      <c r="F49" s="92">
        <f t="shared" si="6"/>
        <v>2096.8655133928569</v>
      </c>
      <c r="G49" s="86">
        <f t="shared" si="7"/>
        <v>49066.653013392854</v>
      </c>
      <c r="H49" s="88">
        <f t="shared" si="4"/>
        <v>6525864.8507812405</v>
      </c>
    </row>
    <row r="50" spans="1:8">
      <c r="A50" s="61">
        <v>26</v>
      </c>
      <c r="B50" s="61"/>
      <c r="C50" s="62">
        <f t="shared" ca="1" si="1"/>
        <v>44764</v>
      </c>
      <c r="D50" s="61" t="s">
        <v>25</v>
      </c>
      <c r="E50" s="92">
        <f t="shared" si="5"/>
        <v>46969.787499999999</v>
      </c>
      <c r="F50" s="92">
        <f t="shared" si="6"/>
        <v>2096.8655133928569</v>
      </c>
      <c r="G50" s="86">
        <f t="shared" si="7"/>
        <v>49066.653013392854</v>
      </c>
      <c r="H50" s="88">
        <f t="shared" si="4"/>
        <v>6476798.1977678472</v>
      </c>
    </row>
    <row r="51" spans="1:8">
      <c r="A51" s="61">
        <v>27</v>
      </c>
      <c r="B51" s="61"/>
      <c r="C51" s="62">
        <f t="shared" ca="1" si="1"/>
        <v>44795</v>
      </c>
      <c r="D51" s="61" t="s">
        <v>26</v>
      </c>
      <c r="E51" s="92">
        <f t="shared" si="5"/>
        <v>46969.787499999999</v>
      </c>
      <c r="F51" s="92">
        <f t="shared" si="6"/>
        <v>2096.8655133928569</v>
      </c>
      <c r="G51" s="86">
        <f t="shared" si="7"/>
        <v>49066.653013392854</v>
      </c>
      <c r="H51" s="88">
        <f t="shared" si="4"/>
        <v>6427731.5447544539</v>
      </c>
    </row>
    <row r="52" spans="1:8">
      <c r="A52" s="61">
        <v>28</v>
      </c>
      <c r="B52" s="61"/>
      <c r="C52" s="62">
        <f t="shared" ca="1" si="1"/>
        <v>44826</v>
      </c>
      <c r="D52" s="61" t="s">
        <v>27</v>
      </c>
      <c r="E52" s="92">
        <f t="shared" si="5"/>
        <v>46969.787499999999</v>
      </c>
      <c r="F52" s="92">
        <f t="shared" si="6"/>
        <v>2096.8655133928569</v>
      </c>
      <c r="G52" s="86">
        <f t="shared" si="7"/>
        <v>49066.653013392854</v>
      </c>
      <c r="H52" s="88">
        <f t="shared" si="4"/>
        <v>6378664.8917410607</v>
      </c>
    </row>
    <row r="53" spans="1:8">
      <c r="A53" s="61">
        <v>29</v>
      </c>
      <c r="B53" s="61"/>
      <c r="C53" s="62">
        <f t="shared" ca="1" si="1"/>
        <v>44856</v>
      </c>
      <c r="D53" s="61" t="s">
        <v>28</v>
      </c>
      <c r="E53" s="92">
        <f t="shared" si="5"/>
        <v>46969.787499999999</v>
      </c>
      <c r="F53" s="92">
        <f t="shared" si="6"/>
        <v>2096.8655133928569</v>
      </c>
      <c r="G53" s="86">
        <f t="shared" si="7"/>
        <v>49066.653013392854</v>
      </c>
      <c r="H53" s="88">
        <f t="shared" si="4"/>
        <v>6329598.2387276674</v>
      </c>
    </row>
    <row r="54" spans="1:8">
      <c r="A54" s="61">
        <v>30</v>
      </c>
      <c r="B54" s="61"/>
      <c r="C54" s="62">
        <f t="shared" ca="1" si="1"/>
        <v>44887</v>
      </c>
      <c r="D54" s="61" t="s">
        <v>29</v>
      </c>
      <c r="E54" s="92">
        <f t="shared" si="5"/>
        <v>46969.787499999999</v>
      </c>
      <c r="F54" s="92">
        <f t="shared" si="6"/>
        <v>2096.8655133928569</v>
      </c>
      <c r="G54" s="86">
        <f t="shared" si="7"/>
        <v>49066.653013392854</v>
      </c>
      <c r="H54" s="88">
        <f t="shared" si="4"/>
        <v>6280531.5857142741</v>
      </c>
    </row>
    <row r="55" spans="1:8">
      <c r="A55" s="61">
        <v>31</v>
      </c>
      <c r="B55" s="61"/>
      <c r="C55" s="62">
        <f t="shared" ca="1" si="1"/>
        <v>44917</v>
      </c>
      <c r="D55" s="61" t="s">
        <v>40</v>
      </c>
      <c r="E55" s="92">
        <f t="shared" si="5"/>
        <v>46969.787499999999</v>
      </c>
      <c r="F55" s="92">
        <f t="shared" si="6"/>
        <v>2096.8655133928569</v>
      </c>
      <c r="G55" s="86">
        <f t="shared" si="7"/>
        <v>49066.653013392854</v>
      </c>
      <c r="H55" s="88">
        <f t="shared" si="4"/>
        <v>6231464.9327008808</v>
      </c>
    </row>
    <row r="56" spans="1:8">
      <c r="A56" s="61">
        <v>32</v>
      </c>
      <c r="B56" s="61"/>
      <c r="C56" s="62">
        <f t="shared" ca="1" si="1"/>
        <v>44948</v>
      </c>
      <c r="D56" s="61" t="s">
        <v>41</v>
      </c>
      <c r="E56" s="92">
        <f t="shared" si="5"/>
        <v>46969.787499999999</v>
      </c>
      <c r="F56" s="92">
        <f t="shared" si="6"/>
        <v>2096.8655133928569</v>
      </c>
      <c r="G56" s="86">
        <f t="shared" si="7"/>
        <v>49066.653013392854</v>
      </c>
      <c r="H56" s="88">
        <f t="shared" si="4"/>
        <v>6182398.2796874875</v>
      </c>
    </row>
    <row r="57" spans="1:8">
      <c r="A57" s="61">
        <v>33</v>
      </c>
      <c r="B57" s="61"/>
      <c r="C57" s="62">
        <f t="shared" ca="1" si="1"/>
        <v>44979</v>
      </c>
      <c r="D57" s="61" t="s">
        <v>42</v>
      </c>
      <c r="E57" s="92">
        <f t="shared" si="5"/>
        <v>46969.787499999999</v>
      </c>
      <c r="F57" s="92">
        <f t="shared" si="6"/>
        <v>2096.8655133928569</v>
      </c>
      <c r="G57" s="86">
        <f t="shared" si="7"/>
        <v>49066.653013392854</v>
      </c>
      <c r="H57" s="88">
        <f t="shared" si="4"/>
        <v>6133331.6266740942</v>
      </c>
    </row>
    <row r="58" spans="1:8">
      <c r="A58" s="61">
        <v>34</v>
      </c>
      <c r="B58" s="61"/>
      <c r="C58" s="62">
        <f t="shared" ca="1" si="1"/>
        <v>45007</v>
      </c>
      <c r="D58" s="61" t="s">
        <v>43</v>
      </c>
      <c r="E58" s="92">
        <f t="shared" si="5"/>
        <v>46969.787499999999</v>
      </c>
      <c r="F58" s="92">
        <f t="shared" si="6"/>
        <v>2096.8655133928569</v>
      </c>
      <c r="G58" s="86">
        <f t="shared" si="7"/>
        <v>49066.653013392854</v>
      </c>
      <c r="H58" s="88">
        <f t="shared" si="4"/>
        <v>6084264.973660701</v>
      </c>
    </row>
    <row r="59" spans="1:8">
      <c r="A59" s="61">
        <v>35</v>
      </c>
      <c r="B59" s="61"/>
      <c r="C59" s="62">
        <f t="shared" ca="1" si="1"/>
        <v>45038</v>
      </c>
      <c r="D59" s="61" t="s">
        <v>44</v>
      </c>
      <c r="E59" s="92">
        <f t="shared" si="5"/>
        <v>46969.787499999999</v>
      </c>
      <c r="F59" s="92">
        <f t="shared" si="6"/>
        <v>2096.8655133928569</v>
      </c>
      <c r="G59" s="86">
        <f t="shared" si="7"/>
        <v>49066.653013392854</v>
      </c>
      <c r="H59" s="88">
        <f t="shared" si="4"/>
        <v>6035198.3206473077</v>
      </c>
    </row>
    <row r="60" spans="1:8">
      <c r="A60" s="61">
        <v>36</v>
      </c>
      <c r="B60" s="61"/>
      <c r="C60" s="62">
        <f t="shared" ca="1" si="1"/>
        <v>45068</v>
      </c>
      <c r="D60" s="61" t="s">
        <v>45</v>
      </c>
      <c r="E60" s="92">
        <f t="shared" si="5"/>
        <v>46969.787499999999</v>
      </c>
      <c r="F60" s="92">
        <f t="shared" si="6"/>
        <v>2096.8655133928569</v>
      </c>
      <c r="G60" s="86">
        <f t="shared" si="7"/>
        <v>49066.653013392854</v>
      </c>
      <c r="H60" s="88">
        <f t="shared" si="4"/>
        <v>5986131.6676339144</v>
      </c>
    </row>
    <row r="61" spans="1:8">
      <c r="A61" s="61">
        <v>37</v>
      </c>
      <c r="B61" s="61"/>
      <c r="C61" s="62">
        <f t="shared" ca="1" si="1"/>
        <v>45099</v>
      </c>
      <c r="D61" s="61" t="s">
        <v>59</v>
      </c>
      <c r="E61" s="92">
        <f t="shared" si="5"/>
        <v>46969.787499999999</v>
      </c>
      <c r="F61" s="92">
        <f t="shared" si="6"/>
        <v>2096.8655133928569</v>
      </c>
      <c r="G61" s="86">
        <f t="shared" si="7"/>
        <v>49066.653013392854</v>
      </c>
      <c r="H61" s="88">
        <f t="shared" si="4"/>
        <v>5937065.0146205211</v>
      </c>
    </row>
    <row r="62" spans="1:8">
      <c r="A62" s="61">
        <v>38</v>
      </c>
      <c r="B62" s="61"/>
      <c r="C62" s="62">
        <f t="shared" ca="1" si="1"/>
        <v>45129</v>
      </c>
      <c r="D62" s="61" t="s">
        <v>60</v>
      </c>
      <c r="E62" s="92">
        <f t="shared" si="5"/>
        <v>46969.787499999999</v>
      </c>
      <c r="F62" s="92">
        <f t="shared" si="6"/>
        <v>2096.8655133928569</v>
      </c>
      <c r="G62" s="86">
        <f t="shared" si="7"/>
        <v>49066.653013392854</v>
      </c>
      <c r="H62" s="88">
        <f t="shared" si="4"/>
        <v>5887998.3616071278</v>
      </c>
    </row>
    <row r="63" spans="1:8">
      <c r="A63" s="61">
        <v>39</v>
      </c>
      <c r="B63" s="61"/>
      <c r="C63" s="62">
        <f t="shared" ca="1" si="1"/>
        <v>45160</v>
      </c>
      <c r="D63" s="61" t="s">
        <v>61</v>
      </c>
      <c r="E63" s="92">
        <f t="shared" si="5"/>
        <v>46969.787499999999</v>
      </c>
      <c r="F63" s="92">
        <f t="shared" si="6"/>
        <v>2096.8655133928569</v>
      </c>
      <c r="G63" s="86">
        <f t="shared" si="7"/>
        <v>49066.653013392854</v>
      </c>
      <c r="H63" s="88">
        <f t="shared" si="4"/>
        <v>5838931.7085937345</v>
      </c>
    </row>
    <row r="64" spans="1:8">
      <c r="A64" s="61">
        <v>40</v>
      </c>
      <c r="B64" s="61"/>
      <c r="C64" s="62">
        <f t="shared" ca="1" si="1"/>
        <v>45191</v>
      </c>
      <c r="D64" s="61" t="s">
        <v>62</v>
      </c>
      <c r="E64" s="92">
        <f t="shared" si="5"/>
        <v>46969.787499999999</v>
      </c>
      <c r="F64" s="92">
        <f t="shared" si="6"/>
        <v>2096.8655133928569</v>
      </c>
      <c r="G64" s="86">
        <f t="shared" si="7"/>
        <v>49066.653013392854</v>
      </c>
      <c r="H64" s="88">
        <f t="shared" si="4"/>
        <v>5789865.0555803413</v>
      </c>
    </row>
    <row r="65" spans="1:8">
      <c r="A65" s="61">
        <v>41</v>
      </c>
      <c r="B65" s="61"/>
      <c r="C65" s="62">
        <f t="shared" ca="1" si="1"/>
        <v>45221</v>
      </c>
      <c r="D65" s="61" t="s">
        <v>63</v>
      </c>
      <c r="E65" s="92">
        <f t="shared" si="5"/>
        <v>46969.787499999999</v>
      </c>
      <c r="F65" s="92">
        <f t="shared" si="6"/>
        <v>2096.8655133928569</v>
      </c>
      <c r="G65" s="86">
        <f t="shared" si="7"/>
        <v>49066.653013392854</v>
      </c>
      <c r="H65" s="88">
        <f t="shared" si="4"/>
        <v>5740798.402566948</v>
      </c>
    </row>
    <row r="66" spans="1:8">
      <c r="A66" s="61">
        <v>42</v>
      </c>
      <c r="B66" s="61"/>
      <c r="C66" s="62">
        <f t="shared" ca="1" si="1"/>
        <v>45252</v>
      </c>
      <c r="D66" s="61" t="s">
        <v>64</v>
      </c>
      <c r="E66" s="92">
        <f t="shared" si="5"/>
        <v>46969.787499999999</v>
      </c>
      <c r="F66" s="92">
        <f t="shared" si="6"/>
        <v>2096.8655133928569</v>
      </c>
      <c r="G66" s="86">
        <f t="shared" si="7"/>
        <v>49066.653013392854</v>
      </c>
      <c r="H66" s="88">
        <f t="shared" si="4"/>
        <v>5691731.7495535547</v>
      </c>
    </row>
    <row r="67" spans="1:8">
      <c r="A67" s="61">
        <v>43</v>
      </c>
      <c r="B67" s="61"/>
      <c r="C67" s="62">
        <f t="shared" ca="1" si="1"/>
        <v>45282</v>
      </c>
      <c r="D67" s="61" t="s">
        <v>65</v>
      </c>
      <c r="E67" s="92">
        <f t="shared" si="5"/>
        <v>46969.787499999999</v>
      </c>
      <c r="F67" s="92">
        <f t="shared" si="6"/>
        <v>2096.8655133928569</v>
      </c>
      <c r="G67" s="86">
        <f t="shared" si="7"/>
        <v>49066.653013392854</v>
      </c>
      <c r="H67" s="88">
        <f t="shared" si="4"/>
        <v>5642665.0965401614</v>
      </c>
    </row>
    <row r="68" spans="1:8">
      <c r="A68" s="61">
        <v>44</v>
      </c>
      <c r="B68" s="61"/>
      <c r="C68" s="62">
        <f t="shared" ca="1" si="1"/>
        <v>45313</v>
      </c>
      <c r="D68" s="61" t="s">
        <v>66</v>
      </c>
      <c r="E68" s="92">
        <f t="shared" si="5"/>
        <v>46969.787499999999</v>
      </c>
      <c r="F68" s="92">
        <f t="shared" si="6"/>
        <v>2096.8655133928569</v>
      </c>
      <c r="G68" s="86">
        <f t="shared" si="7"/>
        <v>49066.653013392854</v>
      </c>
      <c r="H68" s="88">
        <f t="shared" si="4"/>
        <v>5593598.4435267681</v>
      </c>
    </row>
    <row r="69" spans="1:8">
      <c r="A69" s="61">
        <v>45</v>
      </c>
      <c r="B69" s="61"/>
      <c r="C69" s="62">
        <f t="shared" ca="1" si="1"/>
        <v>45344</v>
      </c>
      <c r="D69" s="61" t="s">
        <v>67</v>
      </c>
      <c r="E69" s="92">
        <f t="shared" si="5"/>
        <v>46969.787499999999</v>
      </c>
      <c r="F69" s="92">
        <f t="shared" si="6"/>
        <v>2096.8655133928569</v>
      </c>
      <c r="G69" s="86">
        <f t="shared" si="7"/>
        <v>49066.653013392854</v>
      </c>
      <c r="H69" s="88">
        <f t="shared" si="4"/>
        <v>5544531.7905133748</v>
      </c>
    </row>
    <row r="70" spans="1:8">
      <c r="A70" s="61">
        <v>46</v>
      </c>
      <c r="B70" s="61"/>
      <c r="C70" s="62">
        <f t="shared" ca="1" si="1"/>
        <v>45373</v>
      </c>
      <c r="D70" s="61" t="s">
        <v>68</v>
      </c>
      <c r="E70" s="92">
        <f t="shared" si="5"/>
        <v>46969.787499999999</v>
      </c>
      <c r="F70" s="92">
        <f t="shared" si="6"/>
        <v>2096.8655133928569</v>
      </c>
      <c r="G70" s="86">
        <f t="shared" si="7"/>
        <v>49066.653013392854</v>
      </c>
      <c r="H70" s="88">
        <f t="shared" si="4"/>
        <v>5495465.1374999816</v>
      </c>
    </row>
    <row r="71" spans="1:8">
      <c r="A71" s="61">
        <v>47</v>
      </c>
      <c r="B71" s="61"/>
      <c r="C71" s="62">
        <f t="shared" ca="1" si="1"/>
        <v>45404</v>
      </c>
      <c r="D71" s="61" t="s">
        <v>69</v>
      </c>
      <c r="E71" s="92">
        <f t="shared" si="5"/>
        <v>46969.787499999999</v>
      </c>
      <c r="F71" s="92">
        <f t="shared" si="6"/>
        <v>2096.8655133928569</v>
      </c>
      <c r="G71" s="86">
        <f t="shared" si="7"/>
        <v>49066.653013392854</v>
      </c>
      <c r="H71" s="88">
        <f t="shared" si="4"/>
        <v>5446398.4844865883</v>
      </c>
    </row>
    <row r="72" spans="1:8">
      <c r="A72" s="61">
        <v>48</v>
      </c>
      <c r="B72" s="61"/>
      <c r="C72" s="62">
        <f t="shared" ca="1" si="1"/>
        <v>45434</v>
      </c>
      <c r="D72" s="61" t="s">
        <v>70</v>
      </c>
      <c r="E72" s="92">
        <f t="shared" si="5"/>
        <v>46969.787499999999</v>
      </c>
      <c r="F72" s="92">
        <f t="shared" si="6"/>
        <v>2096.8655133928569</v>
      </c>
      <c r="G72" s="86">
        <f t="shared" si="7"/>
        <v>49066.653013392854</v>
      </c>
      <c r="H72" s="88">
        <f t="shared" si="4"/>
        <v>5397331.831473195</v>
      </c>
    </row>
    <row r="73" spans="1:8">
      <c r="A73" s="61">
        <v>49</v>
      </c>
      <c r="B73" s="61"/>
      <c r="C73" s="62">
        <f t="shared" ca="1" si="1"/>
        <v>45465</v>
      </c>
      <c r="D73" s="61" t="s">
        <v>71</v>
      </c>
      <c r="E73" s="92">
        <f t="shared" si="5"/>
        <v>46969.787499999999</v>
      </c>
      <c r="F73" s="92">
        <f t="shared" si="6"/>
        <v>2096.8655133928569</v>
      </c>
      <c r="G73" s="86">
        <f t="shared" si="7"/>
        <v>49066.653013392854</v>
      </c>
      <c r="H73" s="88">
        <f t="shared" si="4"/>
        <v>5348265.1784598017</v>
      </c>
    </row>
    <row r="74" spans="1:8">
      <c r="A74" s="61">
        <v>50</v>
      </c>
      <c r="B74" s="61"/>
      <c r="C74" s="62">
        <f t="shared" ca="1" si="1"/>
        <v>45495</v>
      </c>
      <c r="D74" s="61" t="s">
        <v>72</v>
      </c>
      <c r="E74" s="92">
        <f t="shared" si="5"/>
        <v>46969.787499999999</v>
      </c>
      <c r="F74" s="92">
        <f t="shared" si="6"/>
        <v>2096.8655133928569</v>
      </c>
      <c r="G74" s="86">
        <f t="shared" si="7"/>
        <v>49066.653013392854</v>
      </c>
      <c r="H74" s="88">
        <f t="shared" si="4"/>
        <v>5299198.5254464084</v>
      </c>
    </row>
    <row r="75" spans="1:8">
      <c r="A75" s="61">
        <v>51</v>
      </c>
      <c r="B75" s="61"/>
      <c r="C75" s="62">
        <f t="shared" ca="1" si="1"/>
        <v>45526</v>
      </c>
      <c r="D75" s="61" t="s">
        <v>73</v>
      </c>
      <c r="E75" s="92">
        <f t="shared" si="5"/>
        <v>46969.787499999999</v>
      </c>
      <c r="F75" s="92">
        <f t="shared" si="6"/>
        <v>2096.8655133928569</v>
      </c>
      <c r="G75" s="86">
        <f t="shared" si="7"/>
        <v>49066.653013392854</v>
      </c>
      <c r="H75" s="88">
        <f t="shared" si="4"/>
        <v>5250131.8724330151</v>
      </c>
    </row>
    <row r="76" spans="1:8">
      <c r="A76" s="61">
        <v>52</v>
      </c>
      <c r="B76" s="61"/>
      <c r="C76" s="62">
        <f t="shared" ca="1" si="1"/>
        <v>45557</v>
      </c>
      <c r="D76" s="61" t="s">
        <v>74</v>
      </c>
      <c r="E76" s="92">
        <f t="shared" si="5"/>
        <v>46969.787499999999</v>
      </c>
      <c r="F76" s="92">
        <f t="shared" si="6"/>
        <v>2096.8655133928569</v>
      </c>
      <c r="G76" s="86">
        <f t="shared" si="7"/>
        <v>49066.653013392854</v>
      </c>
      <c r="H76" s="88">
        <f t="shared" si="4"/>
        <v>5201065.2194196219</v>
      </c>
    </row>
    <row r="77" spans="1:8">
      <c r="A77" s="61">
        <v>53</v>
      </c>
      <c r="B77" s="61"/>
      <c r="C77" s="62">
        <f t="shared" ca="1" si="1"/>
        <v>45587</v>
      </c>
      <c r="D77" s="61" t="s">
        <v>75</v>
      </c>
      <c r="E77" s="92">
        <f t="shared" si="5"/>
        <v>46969.787499999999</v>
      </c>
      <c r="F77" s="92">
        <f t="shared" si="6"/>
        <v>2096.8655133928569</v>
      </c>
      <c r="G77" s="86">
        <f t="shared" si="7"/>
        <v>49066.653013392854</v>
      </c>
      <c r="H77" s="88">
        <f t="shared" si="4"/>
        <v>5151998.5664062286</v>
      </c>
    </row>
    <row r="78" spans="1:8">
      <c r="A78" s="61">
        <v>54</v>
      </c>
      <c r="B78" s="61"/>
      <c r="C78" s="62">
        <f t="shared" ca="1" si="1"/>
        <v>45618</v>
      </c>
      <c r="D78" s="61" t="s">
        <v>76</v>
      </c>
      <c r="E78" s="92">
        <f t="shared" si="5"/>
        <v>46969.787499999999</v>
      </c>
      <c r="F78" s="92">
        <f t="shared" si="6"/>
        <v>2096.8655133928569</v>
      </c>
      <c r="G78" s="86">
        <f t="shared" si="7"/>
        <v>49066.653013392854</v>
      </c>
      <c r="H78" s="88">
        <f t="shared" si="4"/>
        <v>5102931.9133928353</v>
      </c>
    </row>
    <row r="79" spans="1:8">
      <c r="A79" s="61">
        <v>55</v>
      </c>
      <c r="B79" s="66">
        <v>0.65</v>
      </c>
      <c r="C79" s="62">
        <f t="shared" ca="1" si="1"/>
        <v>45648</v>
      </c>
      <c r="D79" s="61" t="s">
        <v>105</v>
      </c>
      <c r="E79" s="85">
        <f>(D16*65%)</f>
        <v>4884857.9000000004</v>
      </c>
      <c r="F79" s="85">
        <f>(D17*65%)</f>
        <v>218074.01339285713</v>
      </c>
      <c r="G79" s="86">
        <f t="shared" si="7"/>
        <v>5102931.9133928576</v>
      </c>
      <c r="H79" s="88">
        <f t="shared" si="4"/>
        <v>-2.2351741790771484E-8</v>
      </c>
    </row>
    <row r="80" spans="1:8">
      <c r="A80" s="166" t="s">
        <v>15</v>
      </c>
      <c r="B80" s="166"/>
      <c r="C80" s="166"/>
      <c r="D80" s="166"/>
      <c r="E80" s="67">
        <f>SUM(E22:E79)</f>
        <v>7515166.0000000037</v>
      </c>
      <c r="F80" s="67">
        <f>SUM(F22:F79)</f>
        <v>335498.48214285704</v>
      </c>
      <c r="G80" s="67">
        <f>SUM(G22:G79)</f>
        <v>7850664.4821428563</v>
      </c>
      <c r="H80" s="67"/>
    </row>
    <row r="81" spans="1:8" s="14" customFormat="1">
      <c r="C81" s="28"/>
      <c r="D81" s="29"/>
      <c r="E81" s="30"/>
      <c r="F81" s="30"/>
      <c r="G81" s="30"/>
    </row>
    <row r="82" spans="1:8" s="14" customFormat="1">
      <c r="A82" s="162" t="s">
        <v>136</v>
      </c>
      <c r="B82" s="162"/>
      <c r="C82" s="162"/>
      <c r="D82" s="162"/>
      <c r="E82" s="162"/>
      <c r="F82" s="162"/>
      <c r="G82" s="162"/>
      <c r="H82" s="162"/>
    </row>
    <row r="83" spans="1:8" s="14" customFormat="1" ht="29.25" customHeight="1">
      <c r="A83" s="164" t="s">
        <v>175</v>
      </c>
      <c r="B83" s="164"/>
      <c r="C83" s="164"/>
      <c r="D83" s="164"/>
      <c r="E83" s="164"/>
      <c r="F83" s="164"/>
      <c r="G83" s="164"/>
      <c r="H83" s="164"/>
    </row>
    <row r="84" spans="1:8" s="14" customFormat="1" ht="16.5" customHeight="1">
      <c r="A84" s="162" t="s">
        <v>176</v>
      </c>
      <c r="B84" s="162"/>
      <c r="C84" s="162"/>
      <c r="D84" s="162"/>
      <c r="E84" s="162"/>
      <c r="F84" s="162"/>
      <c r="G84" s="162"/>
      <c r="H84" s="162"/>
    </row>
    <row r="85" spans="1:8" s="14" customFormat="1" ht="16.5" customHeight="1">
      <c r="A85" s="162" t="s">
        <v>177</v>
      </c>
      <c r="B85" s="162"/>
      <c r="C85" s="162"/>
      <c r="D85" s="162"/>
      <c r="E85" s="162"/>
      <c r="F85" s="162"/>
      <c r="G85" s="162"/>
      <c r="H85" s="162"/>
    </row>
    <row r="86" spans="1:8" s="14" customFormat="1" ht="16.5" customHeight="1">
      <c r="A86" s="162" t="s">
        <v>178</v>
      </c>
      <c r="B86" s="162"/>
      <c r="C86" s="162"/>
      <c r="D86" s="162"/>
      <c r="E86" s="162"/>
      <c r="F86" s="162"/>
      <c r="G86" s="162"/>
      <c r="H86" s="162"/>
    </row>
    <row r="87" spans="1:8" s="14" customFormat="1" ht="107.25" customHeight="1">
      <c r="A87" s="162" t="s">
        <v>179</v>
      </c>
      <c r="B87" s="162"/>
      <c r="C87" s="162"/>
      <c r="D87" s="162"/>
      <c r="E87" s="162"/>
      <c r="F87" s="162"/>
      <c r="G87" s="162"/>
      <c r="H87" s="162"/>
    </row>
    <row r="88" spans="1:8" s="14" customFormat="1" ht="42" customHeight="1">
      <c r="A88" s="162" t="s">
        <v>180</v>
      </c>
      <c r="B88" s="162"/>
      <c r="C88" s="162"/>
      <c r="D88" s="162"/>
      <c r="E88" s="162"/>
      <c r="F88" s="162"/>
      <c r="G88" s="162"/>
      <c r="H88" s="162"/>
    </row>
    <row r="89" spans="1:8" s="14" customFormat="1" ht="17.25" customHeight="1">
      <c r="A89" s="162" t="s">
        <v>181</v>
      </c>
      <c r="B89" s="162"/>
      <c r="C89" s="162"/>
      <c r="D89" s="162"/>
      <c r="E89" s="162"/>
      <c r="F89" s="162"/>
      <c r="G89" s="162"/>
      <c r="H89" s="162"/>
    </row>
    <row r="90" spans="1:8" s="14" customFormat="1">
      <c r="A90" s="162"/>
      <c r="B90" s="162"/>
      <c r="C90" s="162"/>
      <c r="D90" s="162"/>
      <c r="E90" s="162"/>
      <c r="F90" s="162"/>
      <c r="G90" s="162"/>
      <c r="H90" s="162"/>
    </row>
    <row r="91" spans="1:8" s="14" customFormat="1">
      <c r="A91" s="14" t="s">
        <v>16</v>
      </c>
      <c r="D91" s="31"/>
      <c r="G91" s="15"/>
    </row>
    <row r="92" spans="1:8" s="14" customFormat="1">
      <c r="D92" s="31"/>
      <c r="G92" s="15"/>
    </row>
    <row r="93" spans="1:8" s="14" customFormat="1" ht="15" customHeight="1">
      <c r="A93" s="32"/>
      <c r="B93" s="32"/>
      <c r="C93" s="32"/>
      <c r="D93" s="31"/>
      <c r="E93" s="32"/>
      <c r="F93" s="32"/>
      <c r="G93" s="33"/>
    </row>
    <row r="94" spans="1:8" s="14" customFormat="1">
      <c r="A94" s="179" t="s">
        <v>163</v>
      </c>
      <c r="B94" s="179"/>
      <c r="C94" s="179"/>
      <c r="D94" s="31"/>
      <c r="E94" s="179" t="s">
        <v>17</v>
      </c>
      <c r="F94" s="179"/>
      <c r="G94" s="179"/>
    </row>
    <row r="95" spans="1:8"/>
  </sheetData>
  <sheetProtection password="CAF1" sheet="1" selectLockedCells="1"/>
  <mergeCells count="20">
    <mergeCell ref="A88:H88"/>
    <mergeCell ref="A89:H89"/>
    <mergeCell ref="A90:H90"/>
    <mergeCell ref="A94:C94"/>
    <mergeCell ref="E94:G94"/>
    <mergeCell ref="A85:H85"/>
    <mergeCell ref="A86:H86"/>
    <mergeCell ref="A87:H87"/>
    <mergeCell ref="H1:H2"/>
    <mergeCell ref="C5:H5"/>
    <mergeCell ref="A82:H82"/>
    <mergeCell ref="A83:H83"/>
    <mergeCell ref="A84:H84"/>
    <mergeCell ref="A80:D80"/>
    <mergeCell ref="A21:G21"/>
    <mergeCell ref="C6:H6"/>
    <mergeCell ref="C7:H7"/>
    <mergeCell ref="C8:H8"/>
    <mergeCell ref="C9:H9"/>
    <mergeCell ref="C10:H10"/>
  </mergeCells>
  <hyperlinks>
    <hyperlink ref="C1" location="'DATA SHEET'!A1" display="HIGHLANDS PRIME, INC." xr:uid="{00000000-0004-0000-0E00-000000000000}"/>
    <hyperlink ref="J4" location="'DATA SHEET'!A1" display="Return to Data Sheet" xr:uid="{00000000-0004-0000-0E00-000001000000}"/>
  </hyperlinks>
  <pageMargins left="0.70866141732283472" right="0.70866141732283472" top="0.74803149606299213" bottom="0.74803149606299213" header="0.31496062992125984" footer="0.31496062992125984"/>
  <pageSetup scale="52" orientation="portrait" horizontalDpi="4294967293" verticalDpi="4294967293" r:id="rId1"/>
  <ignoredErrors>
    <ignoredError sqref="D15" unlockedFormula="1"/>
  </ignoredErrors>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tabColor rgb="FF389E8F"/>
  </sheetPr>
  <dimension ref="A1:L104"/>
  <sheetViews>
    <sheetView showGridLines="0" workbookViewId="0">
      <selection activeCell="D15" sqref="D15"/>
    </sheetView>
  </sheetViews>
  <sheetFormatPr baseColWidth="10" defaultColWidth="0" defaultRowHeight="12.75" customHeight="1" zeroHeight="1"/>
  <cols>
    <col min="1" max="1" width="12.1640625" style="13" customWidth="1"/>
    <col min="2" max="2" width="10.5" style="13" customWidth="1"/>
    <col min="3" max="3" width="24.5" style="13" customWidth="1"/>
    <col min="4" max="4" width="13.5" style="35" bestFit="1" customWidth="1"/>
    <col min="5" max="5" width="14" style="13" customWidth="1"/>
    <col min="6" max="6" width="13.6640625" style="13" bestFit="1" customWidth="1"/>
    <col min="7" max="7" width="14.1640625" style="36" customWidth="1"/>
    <col min="8" max="8" width="16.5" style="13" bestFit="1" customWidth="1"/>
    <col min="9" max="12" width="9.1640625" style="13" customWidth="1"/>
    <col min="13" max="16384" width="9.1640625" style="13" hidden="1"/>
  </cols>
  <sheetData>
    <row r="1" spans="1:10" ht="12.75" customHeight="1">
      <c r="C1" s="34" t="s">
        <v>33</v>
      </c>
      <c r="H1" s="163" t="s">
        <v>50</v>
      </c>
    </row>
    <row r="2" spans="1:10" ht="14">
      <c r="C2" s="36" t="s">
        <v>182</v>
      </c>
      <c r="H2" s="163"/>
    </row>
    <row r="3" spans="1:10" ht="14">
      <c r="C3" s="36" t="s">
        <v>34</v>
      </c>
    </row>
    <row r="4" spans="1:10" ht="14">
      <c r="J4" s="69" t="s">
        <v>111</v>
      </c>
    </row>
    <row r="5" spans="1:10" ht="14">
      <c r="A5" s="37" t="s">
        <v>0</v>
      </c>
      <c r="B5" s="102"/>
      <c r="C5" s="167" t="str">
        <f>'DATA SHEET'!C9</f>
        <v xml:space="preserve"> </v>
      </c>
      <c r="D5" s="167"/>
      <c r="E5" s="167"/>
      <c r="F5" s="167"/>
      <c r="G5" s="167"/>
      <c r="H5" s="168"/>
    </row>
    <row r="6" spans="1:10" ht="14">
      <c r="A6" s="39" t="s">
        <v>30</v>
      </c>
      <c r="B6" s="40"/>
      <c r="C6" s="169" t="str">
        <f>'DATA SHEET'!C10</f>
        <v>2A</v>
      </c>
      <c r="D6" s="169"/>
      <c r="E6" s="169"/>
      <c r="F6" s="169"/>
      <c r="G6" s="169"/>
      <c r="H6" s="170"/>
    </row>
    <row r="7" spans="1:10" ht="14">
      <c r="A7" s="39" t="s">
        <v>35</v>
      </c>
      <c r="B7" s="40"/>
      <c r="C7" s="171">
        <f>'DATA SHEET'!C12</f>
        <v>49.15</v>
      </c>
      <c r="D7" s="171"/>
      <c r="E7" s="171"/>
      <c r="F7" s="171"/>
      <c r="G7" s="171"/>
      <c r="H7" s="172"/>
    </row>
    <row r="8" spans="1:10" ht="14">
      <c r="A8" s="39" t="s">
        <v>145</v>
      </c>
      <c r="B8" s="40"/>
      <c r="C8" s="173" t="str">
        <f>'DATA SHEET'!C11</f>
        <v>1-Bedroom</v>
      </c>
      <c r="D8" s="173"/>
      <c r="E8" s="173"/>
      <c r="F8" s="173"/>
      <c r="G8" s="173"/>
      <c r="H8" s="174"/>
      <c r="I8" s="82">
        <v>0.1</v>
      </c>
    </row>
    <row r="9" spans="1:10" ht="14">
      <c r="A9" s="41" t="s">
        <v>167</v>
      </c>
      <c r="B9" s="91"/>
      <c r="C9" s="175">
        <f>'DATA SHEET'!C13</f>
        <v>8473400</v>
      </c>
      <c r="D9" s="175"/>
      <c r="E9" s="175"/>
      <c r="F9" s="175"/>
      <c r="G9" s="175"/>
      <c r="H9" s="176"/>
    </row>
    <row r="10" spans="1:10" ht="14">
      <c r="A10" s="42" t="s">
        <v>31</v>
      </c>
      <c r="B10" s="43"/>
      <c r="C10" s="180" t="str">
        <f>'DATA SHEET'!C23:D23</f>
        <v>5% in 12 mos, 6% in 12 mos, 7% in 12 mos, 8% in 12 mos, 9% in 12 mos, Lumpsum - 60th month</v>
      </c>
      <c r="D10" s="180"/>
      <c r="E10" s="180"/>
      <c r="F10" s="180"/>
      <c r="G10" s="180"/>
      <c r="H10" s="181"/>
    </row>
    <row r="11" spans="1:10" ht="14"/>
    <row r="12" spans="1:10" ht="14">
      <c r="A12" s="36" t="s">
        <v>46</v>
      </c>
      <c r="B12" s="36"/>
    </row>
    <row r="13" spans="1:10" ht="14">
      <c r="A13" s="14" t="s">
        <v>170</v>
      </c>
      <c r="D13" s="44">
        <f>(C9-650000)</f>
        <v>7823400</v>
      </c>
      <c r="E13" s="45" t="str">
        <f>LEFT(C8,9)</f>
        <v>1-Bedroom</v>
      </c>
    </row>
    <row r="14" spans="1:10" ht="14">
      <c r="A14" s="46" t="s">
        <v>191</v>
      </c>
      <c r="B14" s="47"/>
      <c r="C14" s="101">
        <v>0.01</v>
      </c>
      <c r="D14" s="48">
        <f>IF(C14&lt;=1%,(D13*C14),"BEYOND MAX DISC.")</f>
        <v>78234</v>
      </c>
      <c r="E14" s="35"/>
    </row>
    <row r="15" spans="1:10" ht="14">
      <c r="A15" s="46" t="s">
        <v>192</v>
      </c>
      <c r="B15" s="47"/>
      <c r="C15" s="101"/>
      <c r="D15" s="143">
        <f>VLOOKUP('DATA SHEET'!C10,'WESTCHASE PL'!$D$11:$H$33,5,0)</f>
        <v>230000</v>
      </c>
      <c r="E15" s="35"/>
    </row>
    <row r="16" spans="1:10" ht="14">
      <c r="A16" s="52" t="s">
        <v>174</v>
      </c>
      <c r="B16" s="15"/>
      <c r="C16" s="15"/>
      <c r="D16" s="53">
        <f>+D13-SUM(D14:D15)</f>
        <v>7515166</v>
      </c>
      <c r="E16" s="50"/>
    </row>
    <row r="17" spans="1:8" ht="14">
      <c r="A17" s="54" t="s">
        <v>154</v>
      </c>
      <c r="B17" s="54"/>
      <c r="C17" s="16">
        <v>0.05</v>
      </c>
      <c r="D17" s="55">
        <f>D16/1.12*C17</f>
        <v>335498.4821428571</v>
      </c>
      <c r="E17" s="50"/>
    </row>
    <row r="18" spans="1:8" ht="15" thickBot="1">
      <c r="A18" s="15" t="s">
        <v>47</v>
      </c>
      <c r="B18" s="15"/>
      <c r="C18" s="15"/>
      <c r="D18" s="56">
        <f>+SUM(D16:D17)</f>
        <v>7850664.4821428573</v>
      </c>
      <c r="E18" s="35"/>
    </row>
    <row r="19" spans="1:8" ht="15" thickTop="1">
      <c r="D19" s="44"/>
      <c r="E19" s="35"/>
      <c r="F19" s="35"/>
      <c r="G19" s="90"/>
    </row>
    <row r="20" spans="1:8" ht="14">
      <c r="A20" s="57" t="s">
        <v>32</v>
      </c>
      <c r="B20" s="57" t="s">
        <v>155</v>
      </c>
      <c r="C20" s="57" t="s">
        <v>2</v>
      </c>
      <c r="D20" s="57" t="s">
        <v>156</v>
      </c>
      <c r="E20" s="57" t="s">
        <v>173</v>
      </c>
      <c r="F20" s="57" t="s">
        <v>158</v>
      </c>
      <c r="G20" s="59" t="s">
        <v>159</v>
      </c>
      <c r="H20" s="57" t="s">
        <v>160</v>
      </c>
    </row>
    <row r="21" spans="1:8" ht="14">
      <c r="A21" s="165" t="s">
        <v>162</v>
      </c>
      <c r="B21" s="165"/>
      <c r="C21" s="165"/>
      <c r="D21" s="165"/>
      <c r="E21" s="165"/>
      <c r="F21" s="165"/>
      <c r="G21" s="165"/>
      <c r="H21" s="60">
        <f>+D18</f>
        <v>7850664.4821428573</v>
      </c>
    </row>
    <row r="22" spans="1:8" ht="14">
      <c r="A22" s="61">
        <v>0</v>
      </c>
      <c r="B22" s="61"/>
      <c r="C22" s="62">
        <f ca="1">'DATA SHEET'!C8</f>
        <v>43973</v>
      </c>
      <c r="D22" s="61" t="s">
        <v>36</v>
      </c>
      <c r="E22" s="85">
        <f>IF(E13="1-Bedroom",50000,100000)</f>
        <v>50000</v>
      </c>
      <c r="F22" s="85"/>
      <c r="G22" s="86">
        <f>+SUM(E22:F22)</f>
        <v>50000</v>
      </c>
      <c r="H22" s="65">
        <f>D18-E22</f>
        <v>7800664.4821428573</v>
      </c>
    </row>
    <row r="23" spans="1:8" ht="14">
      <c r="A23" s="61"/>
      <c r="B23" s="66">
        <v>0.05</v>
      </c>
      <c r="C23" s="62" t="s">
        <v>189</v>
      </c>
      <c r="D23" s="61"/>
      <c r="E23" s="85"/>
      <c r="F23" s="85"/>
      <c r="G23" s="86"/>
      <c r="H23" s="65"/>
    </row>
    <row r="24" spans="1:8" ht="14">
      <c r="A24" s="61">
        <v>1</v>
      </c>
      <c r="B24" s="61"/>
      <c r="C24" s="62">
        <f ca="1">EDATE(C22,1)</f>
        <v>44004</v>
      </c>
      <c r="D24" s="61" t="s">
        <v>3</v>
      </c>
      <c r="E24" s="87">
        <f>(($D$16*B$23)-$E$22)/12</f>
        <v>27146.525000000005</v>
      </c>
      <c r="F24" s="87">
        <f>(($D$17*$B$23))/12</f>
        <v>1397.9103422619046</v>
      </c>
      <c r="G24" s="86">
        <f>+SUM(E24:F24)</f>
        <v>28544.43534226191</v>
      </c>
      <c r="H24" s="88">
        <f>H22-G24</f>
        <v>7772120.0468005957</v>
      </c>
    </row>
    <row r="25" spans="1:8" ht="14">
      <c r="A25" s="61">
        <v>2</v>
      </c>
      <c r="B25" s="61"/>
      <c r="C25" s="62">
        <f t="shared" ref="C25:C88" ca="1" si="0">EDATE(C24,1)</f>
        <v>44034</v>
      </c>
      <c r="D25" s="61" t="s">
        <v>4</v>
      </c>
      <c r="E25" s="87">
        <f t="shared" ref="E25:E35" si="1">(($D$16*B$23)-$E$22)/12</f>
        <v>27146.525000000005</v>
      </c>
      <c r="F25" s="87">
        <f t="shared" ref="F25:F35" si="2">(($D$17*$B$23))/12</f>
        <v>1397.9103422619046</v>
      </c>
      <c r="G25" s="86">
        <f t="shared" ref="G25:G33" si="3">+SUM(E25:F25)</f>
        <v>28544.43534226191</v>
      </c>
      <c r="H25" s="88">
        <f t="shared" ref="H25:H88" si="4">H24-G25</f>
        <v>7743575.6114583341</v>
      </c>
    </row>
    <row r="26" spans="1:8" ht="14">
      <c r="A26" s="61">
        <v>3</v>
      </c>
      <c r="B26" s="61"/>
      <c r="C26" s="62">
        <f t="shared" ca="1" si="0"/>
        <v>44065</v>
      </c>
      <c r="D26" s="61" t="s">
        <v>5</v>
      </c>
      <c r="E26" s="87">
        <f t="shared" si="1"/>
        <v>27146.525000000005</v>
      </c>
      <c r="F26" s="87">
        <f t="shared" si="2"/>
        <v>1397.9103422619046</v>
      </c>
      <c r="G26" s="86">
        <f t="shared" si="3"/>
        <v>28544.43534226191</v>
      </c>
      <c r="H26" s="88">
        <f t="shared" si="4"/>
        <v>7715031.1761160726</v>
      </c>
    </row>
    <row r="27" spans="1:8" ht="14">
      <c r="A27" s="61">
        <v>4</v>
      </c>
      <c r="B27" s="61"/>
      <c r="C27" s="62">
        <f t="shared" ca="1" si="0"/>
        <v>44096</v>
      </c>
      <c r="D27" s="61" t="s">
        <v>6</v>
      </c>
      <c r="E27" s="87">
        <f t="shared" si="1"/>
        <v>27146.525000000005</v>
      </c>
      <c r="F27" s="87">
        <f t="shared" si="2"/>
        <v>1397.9103422619046</v>
      </c>
      <c r="G27" s="86">
        <f t="shared" si="3"/>
        <v>28544.43534226191</v>
      </c>
      <c r="H27" s="88">
        <f t="shared" si="4"/>
        <v>7686486.740773811</v>
      </c>
    </row>
    <row r="28" spans="1:8" ht="14">
      <c r="A28" s="61">
        <v>5</v>
      </c>
      <c r="B28" s="61"/>
      <c r="C28" s="62">
        <f t="shared" ca="1" si="0"/>
        <v>44126</v>
      </c>
      <c r="D28" s="61" t="s">
        <v>7</v>
      </c>
      <c r="E28" s="87">
        <f t="shared" si="1"/>
        <v>27146.525000000005</v>
      </c>
      <c r="F28" s="87">
        <f t="shared" si="2"/>
        <v>1397.9103422619046</v>
      </c>
      <c r="G28" s="86">
        <f t="shared" si="3"/>
        <v>28544.43534226191</v>
      </c>
      <c r="H28" s="88">
        <f t="shared" si="4"/>
        <v>7657942.3054315494</v>
      </c>
    </row>
    <row r="29" spans="1:8" ht="14">
      <c r="A29" s="61">
        <v>6</v>
      </c>
      <c r="B29" s="61"/>
      <c r="C29" s="62">
        <f t="shared" ca="1" si="0"/>
        <v>44157</v>
      </c>
      <c r="D29" s="61" t="s">
        <v>8</v>
      </c>
      <c r="E29" s="87">
        <f t="shared" si="1"/>
        <v>27146.525000000005</v>
      </c>
      <c r="F29" s="87">
        <f t="shared" si="2"/>
        <v>1397.9103422619046</v>
      </c>
      <c r="G29" s="86">
        <f t="shared" si="3"/>
        <v>28544.43534226191</v>
      </c>
      <c r="H29" s="88">
        <f t="shared" si="4"/>
        <v>7629397.8700892879</v>
      </c>
    </row>
    <row r="30" spans="1:8" ht="14">
      <c r="A30" s="61">
        <v>7</v>
      </c>
      <c r="B30" s="66"/>
      <c r="C30" s="62">
        <f t="shared" ca="1" si="0"/>
        <v>44187</v>
      </c>
      <c r="D30" s="61" t="s">
        <v>9</v>
      </c>
      <c r="E30" s="87">
        <f t="shared" si="1"/>
        <v>27146.525000000005</v>
      </c>
      <c r="F30" s="87">
        <f t="shared" si="2"/>
        <v>1397.9103422619046</v>
      </c>
      <c r="G30" s="86">
        <f t="shared" si="3"/>
        <v>28544.43534226191</v>
      </c>
      <c r="H30" s="88">
        <f t="shared" si="4"/>
        <v>7600853.4347470263</v>
      </c>
    </row>
    <row r="31" spans="1:8" ht="14">
      <c r="A31" s="61">
        <v>8</v>
      </c>
      <c r="B31" s="61"/>
      <c r="C31" s="62">
        <f t="shared" ca="1" si="0"/>
        <v>44218</v>
      </c>
      <c r="D31" s="61" t="s">
        <v>10</v>
      </c>
      <c r="E31" s="87">
        <f t="shared" si="1"/>
        <v>27146.525000000005</v>
      </c>
      <c r="F31" s="87">
        <f t="shared" si="2"/>
        <v>1397.9103422619046</v>
      </c>
      <c r="G31" s="86">
        <f t="shared" si="3"/>
        <v>28544.43534226191</v>
      </c>
      <c r="H31" s="88">
        <f t="shared" si="4"/>
        <v>7572308.9994047647</v>
      </c>
    </row>
    <row r="32" spans="1:8" ht="14">
      <c r="A32" s="61">
        <v>9</v>
      </c>
      <c r="B32" s="61"/>
      <c r="C32" s="62">
        <f t="shared" ca="1" si="0"/>
        <v>44249</v>
      </c>
      <c r="D32" s="61" t="s">
        <v>11</v>
      </c>
      <c r="E32" s="87">
        <f t="shared" si="1"/>
        <v>27146.525000000005</v>
      </c>
      <c r="F32" s="87">
        <f t="shared" si="2"/>
        <v>1397.9103422619046</v>
      </c>
      <c r="G32" s="86">
        <f t="shared" si="3"/>
        <v>28544.43534226191</v>
      </c>
      <c r="H32" s="88">
        <f t="shared" si="4"/>
        <v>7543764.5640625032</v>
      </c>
    </row>
    <row r="33" spans="1:8" ht="14">
      <c r="A33" s="61">
        <v>10</v>
      </c>
      <c r="B33" s="61"/>
      <c r="C33" s="62">
        <f t="shared" ca="1" si="0"/>
        <v>44277</v>
      </c>
      <c r="D33" s="61" t="s">
        <v>12</v>
      </c>
      <c r="E33" s="87">
        <f t="shared" si="1"/>
        <v>27146.525000000005</v>
      </c>
      <c r="F33" s="87">
        <f t="shared" si="2"/>
        <v>1397.9103422619046</v>
      </c>
      <c r="G33" s="86">
        <f t="shared" si="3"/>
        <v>28544.43534226191</v>
      </c>
      <c r="H33" s="88">
        <f t="shared" si="4"/>
        <v>7515220.1287202416</v>
      </c>
    </row>
    <row r="34" spans="1:8" ht="14">
      <c r="A34" s="61">
        <v>11</v>
      </c>
      <c r="B34" s="61"/>
      <c r="C34" s="62">
        <f t="shared" ca="1" si="0"/>
        <v>44308</v>
      </c>
      <c r="D34" s="61" t="s">
        <v>13</v>
      </c>
      <c r="E34" s="87">
        <f t="shared" si="1"/>
        <v>27146.525000000005</v>
      </c>
      <c r="F34" s="87">
        <f t="shared" si="2"/>
        <v>1397.9103422619046</v>
      </c>
      <c r="G34" s="86">
        <f t="shared" ref="G34:G76" si="5">+SUM(E34:F34)</f>
        <v>28544.43534226191</v>
      </c>
      <c r="H34" s="88">
        <f t="shared" si="4"/>
        <v>7486675.69337798</v>
      </c>
    </row>
    <row r="35" spans="1:8" ht="14">
      <c r="A35" s="61">
        <v>12</v>
      </c>
      <c r="B35" s="61"/>
      <c r="C35" s="62">
        <f t="shared" ca="1" si="0"/>
        <v>44338</v>
      </c>
      <c r="D35" s="61" t="s">
        <v>14</v>
      </c>
      <c r="E35" s="87">
        <f t="shared" si="1"/>
        <v>27146.525000000005</v>
      </c>
      <c r="F35" s="87">
        <f t="shared" si="2"/>
        <v>1397.9103422619046</v>
      </c>
      <c r="G35" s="86">
        <f t="shared" si="5"/>
        <v>28544.43534226191</v>
      </c>
      <c r="H35" s="88">
        <f t="shared" si="4"/>
        <v>7458131.2580357185</v>
      </c>
    </row>
    <row r="36" spans="1:8" ht="14">
      <c r="A36" s="61"/>
      <c r="B36" s="66">
        <v>0.06</v>
      </c>
      <c r="C36" s="62" t="s">
        <v>189</v>
      </c>
      <c r="D36" s="61"/>
      <c r="E36" s="87"/>
      <c r="F36" s="87"/>
      <c r="G36" s="86"/>
      <c r="H36" s="88"/>
    </row>
    <row r="37" spans="1:8" ht="14">
      <c r="A37" s="61">
        <v>13</v>
      </c>
      <c r="B37" s="61"/>
      <c r="C37" s="62">
        <f ca="1">EDATE(C35,1)</f>
        <v>44369</v>
      </c>
      <c r="D37" s="61" t="s">
        <v>18</v>
      </c>
      <c r="E37" s="92">
        <f>($D$16*$B$36)/12</f>
        <v>37575.829999999994</v>
      </c>
      <c r="F37" s="92">
        <f>($D$17*B$36)/12</f>
        <v>1677.4924107142854</v>
      </c>
      <c r="G37" s="86">
        <f t="shared" si="5"/>
        <v>39253.322410714281</v>
      </c>
      <c r="H37" s="88">
        <f>H35-G37</f>
        <v>7418877.9356250046</v>
      </c>
    </row>
    <row r="38" spans="1:8" ht="14">
      <c r="A38" s="61">
        <v>14</v>
      </c>
      <c r="B38" s="61"/>
      <c r="C38" s="62">
        <f t="shared" ca="1" si="0"/>
        <v>44399</v>
      </c>
      <c r="D38" s="61" t="s">
        <v>19</v>
      </c>
      <c r="E38" s="92">
        <f t="shared" ref="E38:E48" si="6">($D$16*$B$36)/12</f>
        <v>37575.829999999994</v>
      </c>
      <c r="F38" s="92">
        <f t="shared" ref="F38:F48" si="7">($D$17*B$36)/12</f>
        <v>1677.4924107142854</v>
      </c>
      <c r="G38" s="86">
        <f t="shared" si="5"/>
        <v>39253.322410714281</v>
      </c>
      <c r="H38" s="88">
        <f t="shared" si="4"/>
        <v>7379624.6132142907</v>
      </c>
    </row>
    <row r="39" spans="1:8" ht="14">
      <c r="A39" s="61">
        <v>15</v>
      </c>
      <c r="B39" s="61"/>
      <c r="C39" s="62">
        <f t="shared" ca="1" si="0"/>
        <v>44430</v>
      </c>
      <c r="D39" s="61" t="s">
        <v>20</v>
      </c>
      <c r="E39" s="92">
        <f t="shared" si="6"/>
        <v>37575.829999999994</v>
      </c>
      <c r="F39" s="92">
        <f t="shared" si="7"/>
        <v>1677.4924107142854</v>
      </c>
      <c r="G39" s="86">
        <f t="shared" si="5"/>
        <v>39253.322410714281</v>
      </c>
      <c r="H39" s="88">
        <f t="shared" si="4"/>
        <v>7340371.2908035768</v>
      </c>
    </row>
    <row r="40" spans="1:8" ht="14">
      <c r="A40" s="61">
        <v>16</v>
      </c>
      <c r="B40" s="61"/>
      <c r="C40" s="62">
        <f t="shared" ca="1" si="0"/>
        <v>44461</v>
      </c>
      <c r="D40" s="61" t="s">
        <v>21</v>
      </c>
      <c r="E40" s="92">
        <f t="shared" si="6"/>
        <v>37575.829999999994</v>
      </c>
      <c r="F40" s="92">
        <f t="shared" si="7"/>
        <v>1677.4924107142854</v>
      </c>
      <c r="G40" s="86">
        <f t="shared" si="5"/>
        <v>39253.322410714281</v>
      </c>
      <c r="H40" s="88">
        <f t="shared" si="4"/>
        <v>7301117.9683928629</v>
      </c>
    </row>
    <row r="41" spans="1:8" ht="14">
      <c r="A41" s="61">
        <v>17</v>
      </c>
      <c r="B41" s="61"/>
      <c r="C41" s="62">
        <f t="shared" ca="1" si="0"/>
        <v>44491</v>
      </c>
      <c r="D41" s="61" t="s">
        <v>22</v>
      </c>
      <c r="E41" s="92">
        <f t="shared" si="6"/>
        <v>37575.829999999994</v>
      </c>
      <c r="F41" s="92">
        <f t="shared" si="7"/>
        <v>1677.4924107142854</v>
      </c>
      <c r="G41" s="86">
        <f t="shared" si="5"/>
        <v>39253.322410714281</v>
      </c>
      <c r="H41" s="88">
        <f t="shared" si="4"/>
        <v>7261864.6459821491</v>
      </c>
    </row>
    <row r="42" spans="1:8" ht="14">
      <c r="A42" s="61">
        <v>18</v>
      </c>
      <c r="B42" s="61"/>
      <c r="C42" s="62">
        <f t="shared" ca="1" si="0"/>
        <v>44522</v>
      </c>
      <c r="D42" s="61" t="s">
        <v>23</v>
      </c>
      <c r="E42" s="92">
        <f t="shared" si="6"/>
        <v>37575.829999999994</v>
      </c>
      <c r="F42" s="92">
        <f t="shared" si="7"/>
        <v>1677.4924107142854</v>
      </c>
      <c r="G42" s="86">
        <f t="shared" si="5"/>
        <v>39253.322410714281</v>
      </c>
      <c r="H42" s="88">
        <f t="shared" si="4"/>
        <v>7222611.3235714352</v>
      </c>
    </row>
    <row r="43" spans="1:8" ht="14">
      <c r="A43" s="61">
        <v>19</v>
      </c>
      <c r="B43" s="61"/>
      <c r="C43" s="62">
        <f t="shared" ca="1" si="0"/>
        <v>44552</v>
      </c>
      <c r="D43" s="61" t="s">
        <v>24</v>
      </c>
      <c r="E43" s="92">
        <f t="shared" si="6"/>
        <v>37575.829999999994</v>
      </c>
      <c r="F43" s="92">
        <f t="shared" si="7"/>
        <v>1677.4924107142854</v>
      </c>
      <c r="G43" s="86">
        <f t="shared" si="5"/>
        <v>39253.322410714281</v>
      </c>
      <c r="H43" s="88">
        <f t="shared" si="4"/>
        <v>7183358.0011607213</v>
      </c>
    </row>
    <row r="44" spans="1:8" ht="14">
      <c r="A44" s="61">
        <v>20</v>
      </c>
      <c r="B44" s="61"/>
      <c r="C44" s="62">
        <f t="shared" ca="1" si="0"/>
        <v>44583</v>
      </c>
      <c r="D44" s="61" t="s">
        <v>25</v>
      </c>
      <c r="E44" s="92">
        <f t="shared" si="6"/>
        <v>37575.829999999994</v>
      </c>
      <c r="F44" s="92">
        <f t="shared" si="7"/>
        <v>1677.4924107142854</v>
      </c>
      <c r="G44" s="86">
        <f t="shared" si="5"/>
        <v>39253.322410714281</v>
      </c>
      <c r="H44" s="88">
        <f t="shared" si="4"/>
        <v>7144104.6787500074</v>
      </c>
    </row>
    <row r="45" spans="1:8" ht="14">
      <c r="A45" s="61">
        <v>21</v>
      </c>
      <c r="B45" s="61"/>
      <c r="C45" s="62">
        <f t="shared" ca="1" si="0"/>
        <v>44614</v>
      </c>
      <c r="D45" s="61" t="s">
        <v>26</v>
      </c>
      <c r="E45" s="92">
        <f t="shared" si="6"/>
        <v>37575.829999999994</v>
      </c>
      <c r="F45" s="92">
        <f t="shared" si="7"/>
        <v>1677.4924107142854</v>
      </c>
      <c r="G45" s="86">
        <f t="shared" si="5"/>
        <v>39253.322410714281</v>
      </c>
      <c r="H45" s="88">
        <f t="shared" si="4"/>
        <v>7104851.3563392935</v>
      </c>
    </row>
    <row r="46" spans="1:8" ht="14">
      <c r="A46" s="61">
        <v>22</v>
      </c>
      <c r="B46" s="61"/>
      <c r="C46" s="62">
        <f t="shared" ca="1" si="0"/>
        <v>44642</v>
      </c>
      <c r="D46" s="61" t="s">
        <v>27</v>
      </c>
      <c r="E46" s="92">
        <f t="shared" si="6"/>
        <v>37575.829999999994</v>
      </c>
      <c r="F46" s="92">
        <f t="shared" si="7"/>
        <v>1677.4924107142854</v>
      </c>
      <c r="G46" s="86">
        <f t="shared" si="5"/>
        <v>39253.322410714281</v>
      </c>
      <c r="H46" s="88">
        <f t="shared" si="4"/>
        <v>7065598.0339285797</v>
      </c>
    </row>
    <row r="47" spans="1:8" ht="14">
      <c r="A47" s="61">
        <v>23</v>
      </c>
      <c r="B47" s="61"/>
      <c r="C47" s="62">
        <f t="shared" ca="1" si="0"/>
        <v>44673</v>
      </c>
      <c r="D47" s="61" t="s">
        <v>28</v>
      </c>
      <c r="E47" s="92">
        <f t="shared" si="6"/>
        <v>37575.829999999994</v>
      </c>
      <c r="F47" s="92">
        <f t="shared" si="7"/>
        <v>1677.4924107142854</v>
      </c>
      <c r="G47" s="86">
        <f t="shared" si="5"/>
        <v>39253.322410714281</v>
      </c>
      <c r="H47" s="88">
        <f t="shared" si="4"/>
        <v>7026344.7115178658</v>
      </c>
    </row>
    <row r="48" spans="1:8" ht="14">
      <c r="A48" s="61">
        <v>24</v>
      </c>
      <c r="B48" s="61"/>
      <c r="C48" s="62">
        <f t="shared" ca="1" si="0"/>
        <v>44703</v>
      </c>
      <c r="D48" s="61" t="s">
        <v>29</v>
      </c>
      <c r="E48" s="92">
        <f t="shared" si="6"/>
        <v>37575.829999999994</v>
      </c>
      <c r="F48" s="92">
        <f t="shared" si="7"/>
        <v>1677.4924107142854</v>
      </c>
      <c r="G48" s="86">
        <f t="shared" si="5"/>
        <v>39253.322410714281</v>
      </c>
      <c r="H48" s="88">
        <f t="shared" si="4"/>
        <v>6987091.3891071519</v>
      </c>
    </row>
    <row r="49" spans="1:8" ht="14">
      <c r="A49" s="61"/>
      <c r="B49" s="66">
        <v>7.0000000000000007E-2</v>
      </c>
      <c r="C49" s="62" t="s">
        <v>189</v>
      </c>
      <c r="D49" s="61"/>
      <c r="E49" s="92"/>
      <c r="F49" s="92"/>
      <c r="G49" s="86"/>
      <c r="H49" s="88"/>
    </row>
    <row r="50" spans="1:8" ht="14">
      <c r="A50" s="61">
        <v>25</v>
      </c>
      <c r="B50" s="61"/>
      <c r="C50" s="62">
        <f ca="1">EDATE(C48,1)</f>
        <v>44734</v>
      </c>
      <c r="D50" s="61" t="s">
        <v>40</v>
      </c>
      <c r="E50" s="92">
        <f>($D$16*$B$49)/12</f>
        <v>43838.468333333331</v>
      </c>
      <c r="F50" s="92">
        <f>($D$17*B$49)/12</f>
        <v>1957.0744791666666</v>
      </c>
      <c r="G50" s="86">
        <f t="shared" si="5"/>
        <v>45795.542812499996</v>
      </c>
      <c r="H50" s="88">
        <f>H48-G50</f>
        <v>6941295.8462946517</v>
      </c>
    </row>
    <row r="51" spans="1:8" ht="14">
      <c r="A51" s="61">
        <v>26</v>
      </c>
      <c r="B51" s="61"/>
      <c r="C51" s="62">
        <f t="shared" ca="1" si="0"/>
        <v>44764</v>
      </c>
      <c r="D51" s="61" t="s">
        <v>41</v>
      </c>
      <c r="E51" s="92">
        <f t="shared" ref="E51:E61" si="8">($D$16*$B$49)/12</f>
        <v>43838.468333333331</v>
      </c>
      <c r="F51" s="92">
        <f t="shared" ref="F51:F61" si="9">($D$17*B$49)/12</f>
        <v>1957.0744791666666</v>
      </c>
      <c r="G51" s="86">
        <f t="shared" si="5"/>
        <v>45795.542812499996</v>
      </c>
      <c r="H51" s="88">
        <f t="shared" si="4"/>
        <v>6895500.3034821516</v>
      </c>
    </row>
    <row r="52" spans="1:8" ht="14">
      <c r="A52" s="61">
        <v>27</v>
      </c>
      <c r="B52" s="61"/>
      <c r="C52" s="62">
        <f t="shared" ca="1" si="0"/>
        <v>44795</v>
      </c>
      <c r="D52" s="61" t="s">
        <v>42</v>
      </c>
      <c r="E52" s="92">
        <f t="shared" si="8"/>
        <v>43838.468333333331</v>
      </c>
      <c r="F52" s="92">
        <f t="shared" si="9"/>
        <v>1957.0744791666666</v>
      </c>
      <c r="G52" s="86">
        <f t="shared" si="5"/>
        <v>45795.542812499996</v>
      </c>
      <c r="H52" s="88">
        <f t="shared" si="4"/>
        <v>6849704.7606696514</v>
      </c>
    </row>
    <row r="53" spans="1:8" ht="14">
      <c r="A53" s="61">
        <v>28</v>
      </c>
      <c r="B53" s="61"/>
      <c r="C53" s="62">
        <f t="shared" ca="1" si="0"/>
        <v>44826</v>
      </c>
      <c r="D53" s="61" t="s">
        <v>43</v>
      </c>
      <c r="E53" s="92">
        <f t="shared" si="8"/>
        <v>43838.468333333331</v>
      </c>
      <c r="F53" s="92">
        <f t="shared" si="9"/>
        <v>1957.0744791666666</v>
      </c>
      <c r="G53" s="86">
        <f t="shared" si="5"/>
        <v>45795.542812499996</v>
      </c>
      <c r="H53" s="88">
        <f t="shared" si="4"/>
        <v>6803909.2178571513</v>
      </c>
    </row>
    <row r="54" spans="1:8" ht="14">
      <c r="A54" s="61">
        <v>29</v>
      </c>
      <c r="B54" s="61"/>
      <c r="C54" s="62">
        <f t="shared" ca="1" si="0"/>
        <v>44856</v>
      </c>
      <c r="D54" s="61" t="s">
        <v>44</v>
      </c>
      <c r="E54" s="92">
        <f t="shared" si="8"/>
        <v>43838.468333333331</v>
      </c>
      <c r="F54" s="92">
        <f t="shared" si="9"/>
        <v>1957.0744791666666</v>
      </c>
      <c r="G54" s="86">
        <f t="shared" si="5"/>
        <v>45795.542812499996</v>
      </c>
      <c r="H54" s="88">
        <f t="shared" si="4"/>
        <v>6758113.6750446511</v>
      </c>
    </row>
    <row r="55" spans="1:8" ht="14">
      <c r="A55" s="61">
        <v>30</v>
      </c>
      <c r="B55" s="61"/>
      <c r="C55" s="62">
        <f t="shared" ca="1" si="0"/>
        <v>44887</v>
      </c>
      <c r="D55" s="61" t="s">
        <v>45</v>
      </c>
      <c r="E55" s="92">
        <f t="shared" si="8"/>
        <v>43838.468333333331</v>
      </c>
      <c r="F55" s="92">
        <f t="shared" si="9"/>
        <v>1957.0744791666666</v>
      </c>
      <c r="G55" s="86">
        <f t="shared" si="5"/>
        <v>45795.542812499996</v>
      </c>
      <c r="H55" s="88">
        <f t="shared" si="4"/>
        <v>6712318.132232151</v>
      </c>
    </row>
    <row r="56" spans="1:8" ht="14">
      <c r="A56" s="61">
        <v>31</v>
      </c>
      <c r="B56" s="61"/>
      <c r="C56" s="62">
        <f t="shared" ca="1" si="0"/>
        <v>44917</v>
      </c>
      <c r="D56" s="61" t="s">
        <v>59</v>
      </c>
      <c r="E56" s="92">
        <f t="shared" si="8"/>
        <v>43838.468333333331</v>
      </c>
      <c r="F56" s="92">
        <f t="shared" si="9"/>
        <v>1957.0744791666666</v>
      </c>
      <c r="G56" s="86">
        <f t="shared" si="5"/>
        <v>45795.542812499996</v>
      </c>
      <c r="H56" s="88">
        <f t="shared" si="4"/>
        <v>6666522.5894196508</v>
      </c>
    </row>
    <row r="57" spans="1:8" ht="14">
      <c r="A57" s="61">
        <v>32</v>
      </c>
      <c r="B57" s="61"/>
      <c r="C57" s="62">
        <f t="shared" ca="1" si="0"/>
        <v>44948</v>
      </c>
      <c r="D57" s="61" t="s">
        <v>60</v>
      </c>
      <c r="E57" s="92">
        <f t="shared" si="8"/>
        <v>43838.468333333331</v>
      </c>
      <c r="F57" s="92">
        <f t="shared" si="9"/>
        <v>1957.0744791666666</v>
      </c>
      <c r="G57" s="86">
        <f t="shared" si="5"/>
        <v>45795.542812499996</v>
      </c>
      <c r="H57" s="88">
        <f t="shared" si="4"/>
        <v>6620727.0466071507</v>
      </c>
    </row>
    <row r="58" spans="1:8" ht="14">
      <c r="A58" s="61">
        <v>33</v>
      </c>
      <c r="B58" s="61"/>
      <c r="C58" s="62">
        <f t="shared" ca="1" si="0"/>
        <v>44979</v>
      </c>
      <c r="D58" s="61" t="s">
        <v>61</v>
      </c>
      <c r="E58" s="92">
        <f t="shared" si="8"/>
        <v>43838.468333333331</v>
      </c>
      <c r="F58" s="92">
        <f t="shared" si="9"/>
        <v>1957.0744791666666</v>
      </c>
      <c r="G58" s="86">
        <f t="shared" si="5"/>
        <v>45795.542812499996</v>
      </c>
      <c r="H58" s="88">
        <f t="shared" si="4"/>
        <v>6574931.5037946505</v>
      </c>
    </row>
    <row r="59" spans="1:8" ht="14">
      <c r="A59" s="61">
        <v>34</v>
      </c>
      <c r="B59" s="61"/>
      <c r="C59" s="62">
        <f t="shared" ca="1" si="0"/>
        <v>45007</v>
      </c>
      <c r="D59" s="61" t="s">
        <v>62</v>
      </c>
      <c r="E59" s="92">
        <f t="shared" si="8"/>
        <v>43838.468333333331</v>
      </c>
      <c r="F59" s="92">
        <f t="shared" si="9"/>
        <v>1957.0744791666666</v>
      </c>
      <c r="G59" s="86">
        <f t="shared" si="5"/>
        <v>45795.542812499996</v>
      </c>
      <c r="H59" s="88">
        <f t="shared" si="4"/>
        <v>6529135.9609821504</v>
      </c>
    </row>
    <row r="60" spans="1:8" ht="14">
      <c r="A60" s="61">
        <v>35</v>
      </c>
      <c r="B60" s="61"/>
      <c r="C60" s="62">
        <f t="shared" ca="1" si="0"/>
        <v>45038</v>
      </c>
      <c r="D60" s="61" t="s">
        <v>63</v>
      </c>
      <c r="E60" s="92">
        <f t="shared" si="8"/>
        <v>43838.468333333331</v>
      </c>
      <c r="F60" s="92">
        <f t="shared" si="9"/>
        <v>1957.0744791666666</v>
      </c>
      <c r="G60" s="86">
        <f t="shared" si="5"/>
        <v>45795.542812499996</v>
      </c>
      <c r="H60" s="88">
        <f t="shared" si="4"/>
        <v>6483340.4181696502</v>
      </c>
    </row>
    <row r="61" spans="1:8" ht="14">
      <c r="A61" s="61">
        <v>36</v>
      </c>
      <c r="B61" s="61"/>
      <c r="C61" s="62">
        <f t="shared" ca="1" si="0"/>
        <v>45068</v>
      </c>
      <c r="D61" s="61" t="s">
        <v>64</v>
      </c>
      <c r="E61" s="92">
        <f t="shared" si="8"/>
        <v>43838.468333333331</v>
      </c>
      <c r="F61" s="92">
        <f t="shared" si="9"/>
        <v>1957.0744791666666</v>
      </c>
      <c r="G61" s="86">
        <f t="shared" si="5"/>
        <v>45795.542812499996</v>
      </c>
      <c r="H61" s="88">
        <f t="shared" si="4"/>
        <v>6437544.8753571501</v>
      </c>
    </row>
    <row r="62" spans="1:8" ht="14">
      <c r="A62" s="61"/>
      <c r="B62" s="66">
        <v>0.08</v>
      </c>
      <c r="C62" s="62" t="s">
        <v>189</v>
      </c>
      <c r="D62" s="61"/>
      <c r="E62" s="92"/>
      <c r="F62" s="92"/>
      <c r="G62" s="86"/>
      <c r="H62" s="88"/>
    </row>
    <row r="63" spans="1:8" ht="14">
      <c r="A63" s="61">
        <v>37</v>
      </c>
      <c r="B63" s="61"/>
      <c r="C63" s="62">
        <f ca="1">EDATE(C61,1)</f>
        <v>45099</v>
      </c>
      <c r="D63" s="61" t="s">
        <v>65</v>
      </c>
      <c r="E63" s="92">
        <f>($D$16*$B$62)/12</f>
        <v>50101.106666666667</v>
      </c>
      <c r="F63" s="92">
        <f>($D$17*B$62)/12</f>
        <v>2236.6565476190476</v>
      </c>
      <c r="G63" s="86">
        <f t="shared" si="5"/>
        <v>52337.763214285711</v>
      </c>
      <c r="H63" s="88">
        <f>H61-G63</f>
        <v>6385207.1121428646</v>
      </c>
    </row>
    <row r="64" spans="1:8" ht="14">
      <c r="A64" s="61">
        <v>38</v>
      </c>
      <c r="B64" s="61"/>
      <c r="C64" s="62">
        <f t="shared" ca="1" si="0"/>
        <v>45129</v>
      </c>
      <c r="D64" s="61" t="s">
        <v>66</v>
      </c>
      <c r="E64" s="92">
        <f t="shared" ref="E64:E74" si="10">($D$16*$B$62)/12</f>
        <v>50101.106666666667</v>
      </c>
      <c r="F64" s="92">
        <f t="shared" ref="F64:F74" si="11">($D$17*B$62)/12</f>
        <v>2236.6565476190476</v>
      </c>
      <c r="G64" s="86">
        <f t="shared" si="5"/>
        <v>52337.763214285711</v>
      </c>
      <c r="H64" s="88">
        <f t="shared" si="4"/>
        <v>6332869.3489285791</v>
      </c>
    </row>
    <row r="65" spans="1:8" ht="14">
      <c r="A65" s="61">
        <v>39</v>
      </c>
      <c r="B65" s="61"/>
      <c r="C65" s="62">
        <f t="shared" ca="1" si="0"/>
        <v>45160</v>
      </c>
      <c r="D65" s="61" t="s">
        <v>67</v>
      </c>
      <c r="E65" s="92">
        <f t="shared" si="10"/>
        <v>50101.106666666667</v>
      </c>
      <c r="F65" s="92">
        <f t="shared" si="11"/>
        <v>2236.6565476190476</v>
      </c>
      <c r="G65" s="86">
        <f t="shared" si="5"/>
        <v>52337.763214285711</v>
      </c>
      <c r="H65" s="88">
        <f t="shared" si="4"/>
        <v>6280531.5857142936</v>
      </c>
    </row>
    <row r="66" spans="1:8" ht="14">
      <c r="A66" s="61">
        <v>40</v>
      </c>
      <c r="B66" s="61"/>
      <c r="C66" s="62">
        <f t="shared" ca="1" si="0"/>
        <v>45191</v>
      </c>
      <c r="D66" s="61" t="s">
        <v>68</v>
      </c>
      <c r="E66" s="92">
        <f t="shared" si="10"/>
        <v>50101.106666666667</v>
      </c>
      <c r="F66" s="92">
        <f t="shared" si="11"/>
        <v>2236.6565476190476</v>
      </c>
      <c r="G66" s="86">
        <f t="shared" si="5"/>
        <v>52337.763214285711</v>
      </c>
      <c r="H66" s="88">
        <f t="shared" si="4"/>
        <v>6228193.8225000082</v>
      </c>
    </row>
    <row r="67" spans="1:8" ht="14">
      <c r="A67" s="61">
        <v>41</v>
      </c>
      <c r="B67" s="61"/>
      <c r="C67" s="62">
        <f t="shared" ca="1" si="0"/>
        <v>45221</v>
      </c>
      <c r="D67" s="61" t="s">
        <v>69</v>
      </c>
      <c r="E67" s="92">
        <f t="shared" si="10"/>
        <v>50101.106666666667</v>
      </c>
      <c r="F67" s="92">
        <f t="shared" si="11"/>
        <v>2236.6565476190476</v>
      </c>
      <c r="G67" s="86">
        <f t="shared" si="5"/>
        <v>52337.763214285711</v>
      </c>
      <c r="H67" s="88">
        <f t="shared" si="4"/>
        <v>6175856.0592857227</v>
      </c>
    </row>
    <row r="68" spans="1:8" ht="14">
      <c r="A68" s="61">
        <v>42</v>
      </c>
      <c r="B68" s="61"/>
      <c r="C68" s="62">
        <f t="shared" ca="1" si="0"/>
        <v>45252</v>
      </c>
      <c r="D68" s="61" t="s">
        <v>70</v>
      </c>
      <c r="E68" s="92">
        <f t="shared" si="10"/>
        <v>50101.106666666667</v>
      </c>
      <c r="F68" s="92">
        <f t="shared" si="11"/>
        <v>2236.6565476190476</v>
      </c>
      <c r="G68" s="86">
        <f t="shared" si="5"/>
        <v>52337.763214285711</v>
      </c>
      <c r="H68" s="88">
        <f t="shared" si="4"/>
        <v>6123518.2960714372</v>
      </c>
    </row>
    <row r="69" spans="1:8" ht="14">
      <c r="A69" s="61">
        <v>43</v>
      </c>
      <c r="B69" s="61"/>
      <c r="C69" s="62">
        <f t="shared" ca="1" si="0"/>
        <v>45282</v>
      </c>
      <c r="D69" s="61" t="s">
        <v>71</v>
      </c>
      <c r="E69" s="92">
        <f t="shared" si="10"/>
        <v>50101.106666666667</v>
      </c>
      <c r="F69" s="92">
        <f t="shared" si="11"/>
        <v>2236.6565476190476</v>
      </c>
      <c r="G69" s="86">
        <f t="shared" si="5"/>
        <v>52337.763214285711</v>
      </c>
      <c r="H69" s="88">
        <f t="shared" si="4"/>
        <v>6071180.5328571517</v>
      </c>
    </row>
    <row r="70" spans="1:8" ht="14">
      <c r="A70" s="61">
        <v>44</v>
      </c>
      <c r="B70" s="61"/>
      <c r="C70" s="62">
        <f t="shared" ca="1" si="0"/>
        <v>45313</v>
      </c>
      <c r="D70" s="61" t="s">
        <v>72</v>
      </c>
      <c r="E70" s="92">
        <f t="shared" si="10"/>
        <v>50101.106666666667</v>
      </c>
      <c r="F70" s="92">
        <f t="shared" si="11"/>
        <v>2236.6565476190476</v>
      </c>
      <c r="G70" s="86">
        <f t="shared" si="5"/>
        <v>52337.763214285711</v>
      </c>
      <c r="H70" s="88">
        <f t="shared" si="4"/>
        <v>6018842.7696428662</v>
      </c>
    </row>
    <row r="71" spans="1:8" ht="14">
      <c r="A71" s="61">
        <v>45</v>
      </c>
      <c r="B71" s="61"/>
      <c r="C71" s="62">
        <f t="shared" ca="1" si="0"/>
        <v>45344</v>
      </c>
      <c r="D71" s="61" t="s">
        <v>73</v>
      </c>
      <c r="E71" s="92">
        <f t="shared" si="10"/>
        <v>50101.106666666667</v>
      </c>
      <c r="F71" s="92">
        <f t="shared" si="11"/>
        <v>2236.6565476190476</v>
      </c>
      <c r="G71" s="86">
        <f t="shared" si="5"/>
        <v>52337.763214285711</v>
      </c>
      <c r="H71" s="88">
        <f t="shared" si="4"/>
        <v>5966505.0064285807</v>
      </c>
    </row>
    <row r="72" spans="1:8" ht="14">
      <c r="A72" s="61">
        <v>46</v>
      </c>
      <c r="B72" s="61"/>
      <c r="C72" s="62">
        <f t="shared" ca="1" si="0"/>
        <v>45373</v>
      </c>
      <c r="D72" s="61" t="s">
        <v>74</v>
      </c>
      <c r="E72" s="92">
        <f t="shared" si="10"/>
        <v>50101.106666666667</v>
      </c>
      <c r="F72" s="92">
        <f t="shared" si="11"/>
        <v>2236.6565476190476</v>
      </c>
      <c r="G72" s="86">
        <f t="shared" si="5"/>
        <v>52337.763214285711</v>
      </c>
      <c r="H72" s="88">
        <f t="shared" si="4"/>
        <v>5914167.2432142952</v>
      </c>
    </row>
    <row r="73" spans="1:8" ht="14">
      <c r="A73" s="61">
        <v>47</v>
      </c>
      <c r="B73" s="61"/>
      <c r="C73" s="62">
        <f t="shared" ca="1" si="0"/>
        <v>45404</v>
      </c>
      <c r="D73" s="61" t="s">
        <v>75</v>
      </c>
      <c r="E73" s="92">
        <f t="shared" si="10"/>
        <v>50101.106666666667</v>
      </c>
      <c r="F73" s="92">
        <f t="shared" si="11"/>
        <v>2236.6565476190476</v>
      </c>
      <c r="G73" s="86">
        <f t="shared" si="5"/>
        <v>52337.763214285711</v>
      </c>
      <c r="H73" s="88">
        <f t="shared" si="4"/>
        <v>5861829.4800000098</v>
      </c>
    </row>
    <row r="74" spans="1:8" ht="14">
      <c r="A74" s="61">
        <v>48</v>
      </c>
      <c r="B74" s="61"/>
      <c r="C74" s="62">
        <f t="shared" ca="1" si="0"/>
        <v>45434</v>
      </c>
      <c r="D74" s="61" t="s">
        <v>76</v>
      </c>
      <c r="E74" s="92">
        <f t="shared" si="10"/>
        <v>50101.106666666667</v>
      </c>
      <c r="F74" s="92">
        <f t="shared" si="11"/>
        <v>2236.6565476190476</v>
      </c>
      <c r="G74" s="86">
        <f t="shared" si="5"/>
        <v>52337.763214285711</v>
      </c>
      <c r="H74" s="88">
        <f t="shared" si="4"/>
        <v>5809491.7167857243</v>
      </c>
    </row>
    <row r="75" spans="1:8" ht="14">
      <c r="A75" s="61"/>
      <c r="B75" s="66">
        <v>0.09</v>
      </c>
      <c r="C75" s="62" t="s">
        <v>189</v>
      </c>
      <c r="D75" s="61"/>
      <c r="E75" s="92"/>
      <c r="F75" s="92"/>
      <c r="G75" s="86"/>
      <c r="H75" s="88"/>
    </row>
    <row r="76" spans="1:8" ht="14">
      <c r="A76" s="61">
        <v>49</v>
      </c>
      <c r="B76" s="61"/>
      <c r="C76" s="62">
        <f ca="1">EDATE(C74,1)</f>
        <v>45465</v>
      </c>
      <c r="D76" s="61" t="s">
        <v>77</v>
      </c>
      <c r="E76" s="92">
        <f>($D$16*$B$75)/12</f>
        <v>56363.744999999995</v>
      </c>
      <c r="F76" s="92">
        <f>($D$17*B$75)/12</f>
        <v>2516.2386160714282</v>
      </c>
      <c r="G76" s="86">
        <f t="shared" si="5"/>
        <v>58879.983616071426</v>
      </c>
      <c r="H76" s="88">
        <f>H74-G76</f>
        <v>5750611.7331696525</v>
      </c>
    </row>
    <row r="77" spans="1:8" ht="14">
      <c r="A77" s="61">
        <v>50</v>
      </c>
      <c r="B77" s="61"/>
      <c r="C77" s="62">
        <f t="shared" ca="1" si="0"/>
        <v>45495</v>
      </c>
      <c r="D77" s="61" t="s">
        <v>78</v>
      </c>
      <c r="E77" s="92">
        <f t="shared" ref="E77:E87" si="12">($D$16*$B$75)/12</f>
        <v>56363.744999999995</v>
      </c>
      <c r="F77" s="92">
        <f t="shared" ref="F77:F87" si="13">($D$17*B$75)/12</f>
        <v>2516.2386160714282</v>
      </c>
      <c r="G77" s="86">
        <f t="shared" ref="G77:G88" si="14">+SUM(E77:F77)</f>
        <v>58879.983616071426</v>
      </c>
      <c r="H77" s="88">
        <f t="shared" si="4"/>
        <v>5691731.7495535808</v>
      </c>
    </row>
    <row r="78" spans="1:8" ht="14">
      <c r="A78" s="61">
        <v>51</v>
      </c>
      <c r="B78" s="61"/>
      <c r="C78" s="62">
        <f t="shared" ca="1" si="0"/>
        <v>45526</v>
      </c>
      <c r="D78" s="61" t="s">
        <v>79</v>
      </c>
      <c r="E78" s="92">
        <f t="shared" si="12"/>
        <v>56363.744999999995</v>
      </c>
      <c r="F78" s="92">
        <f t="shared" si="13"/>
        <v>2516.2386160714282</v>
      </c>
      <c r="G78" s="86">
        <f t="shared" si="14"/>
        <v>58879.983616071426</v>
      </c>
      <c r="H78" s="88">
        <f t="shared" si="4"/>
        <v>5632851.765937509</v>
      </c>
    </row>
    <row r="79" spans="1:8" ht="14">
      <c r="A79" s="61">
        <v>52</v>
      </c>
      <c r="B79" s="61"/>
      <c r="C79" s="62">
        <f t="shared" ca="1" si="0"/>
        <v>45557</v>
      </c>
      <c r="D79" s="61" t="s">
        <v>80</v>
      </c>
      <c r="E79" s="92">
        <f t="shared" si="12"/>
        <v>56363.744999999995</v>
      </c>
      <c r="F79" s="92">
        <f t="shared" si="13"/>
        <v>2516.2386160714282</v>
      </c>
      <c r="G79" s="86">
        <f t="shared" si="14"/>
        <v>58879.983616071426</v>
      </c>
      <c r="H79" s="88">
        <f t="shared" si="4"/>
        <v>5573971.7823214373</v>
      </c>
    </row>
    <row r="80" spans="1:8" ht="14">
      <c r="A80" s="61">
        <v>53</v>
      </c>
      <c r="B80" s="61"/>
      <c r="C80" s="62">
        <f t="shared" ca="1" si="0"/>
        <v>45587</v>
      </c>
      <c r="D80" s="61" t="s">
        <v>81</v>
      </c>
      <c r="E80" s="92">
        <f t="shared" si="12"/>
        <v>56363.744999999995</v>
      </c>
      <c r="F80" s="92">
        <f t="shared" si="13"/>
        <v>2516.2386160714282</v>
      </c>
      <c r="G80" s="86">
        <f t="shared" si="14"/>
        <v>58879.983616071426</v>
      </c>
      <c r="H80" s="88">
        <f t="shared" si="4"/>
        <v>5515091.7987053655</v>
      </c>
    </row>
    <row r="81" spans="1:8" ht="14">
      <c r="A81" s="61">
        <v>54</v>
      </c>
      <c r="B81" s="61"/>
      <c r="C81" s="62">
        <f t="shared" ca="1" si="0"/>
        <v>45618</v>
      </c>
      <c r="D81" s="61" t="s">
        <v>82</v>
      </c>
      <c r="E81" s="92">
        <f t="shared" si="12"/>
        <v>56363.744999999995</v>
      </c>
      <c r="F81" s="92">
        <f t="shared" si="13"/>
        <v>2516.2386160714282</v>
      </c>
      <c r="G81" s="86">
        <f t="shared" si="14"/>
        <v>58879.983616071426</v>
      </c>
      <c r="H81" s="88">
        <f t="shared" si="4"/>
        <v>5456211.8150892938</v>
      </c>
    </row>
    <row r="82" spans="1:8" ht="14">
      <c r="A82" s="61">
        <v>55</v>
      </c>
      <c r="B82" s="61"/>
      <c r="C82" s="62">
        <f t="shared" ca="1" si="0"/>
        <v>45648</v>
      </c>
      <c r="D82" s="61" t="s">
        <v>83</v>
      </c>
      <c r="E82" s="92">
        <f t="shared" si="12"/>
        <v>56363.744999999995</v>
      </c>
      <c r="F82" s="92">
        <f t="shared" si="13"/>
        <v>2516.2386160714282</v>
      </c>
      <c r="G82" s="86">
        <f t="shared" si="14"/>
        <v>58879.983616071426</v>
      </c>
      <c r="H82" s="88">
        <f t="shared" si="4"/>
        <v>5397331.831473222</v>
      </c>
    </row>
    <row r="83" spans="1:8" ht="14">
      <c r="A83" s="61">
        <v>56</v>
      </c>
      <c r="B83" s="66"/>
      <c r="C83" s="62">
        <f t="shared" ca="1" si="0"/>
        <v>45679</v>
      </c>
      <c r="D83" s="61" t="s">
        <v>84</v>
      </c>
      <c r="E83" s="92">
        <f t="shared" si="12"/>
        <v>56363.744999999995</v>
      </c>
      <c r="F83" s="92">
        <f t="shared" si="13"/>
        <v>2516.2386160714282</v>
      </c>
      <c r="G83" s="86">
        <f t="shared" si="14"/>
        <v>58879.983616071426</v>
      </c>
      <c r="H83" s="88">
        <f t="shared" si="4"/>
        <v>5338451.8478571502</v>
      </c>
    </row>
    <row r="84" spans="1:8" ht="14">
      <c r="A84" s="61">
        <v>57</v>
      </c>
      <c r="B84" s="66"/>
      <c r="C84" s="62">
        <f t="shared" ca="1" si="0"/>
        <v>45710</v>
      </c>
      <c r="D84" s="61" t="s">
        <v>85</v>
      </c>
      <c r="E84" s="92">
        <f t="shared" si="12"/>
        <v>56363.744999999995</v>
      </c>
      <c r="F84" s="92">
        <f t="shared" si="13"/>
        <v>2516.2386160714282</v>
      </c>
      <c r="G84" s="86">
        <f t="shared" si="14"/>
        <v>58879.983616071426</v>
      </c>
      <c r="H84" s="88">
        <f t="shared" si="4"/>
        <v>5279571.8642410785</v>
      </c>
    </row>
    <row r="85" spans="1:8" ht="14">
      <c r="A85" s="61">
        <v>58</v>
      </c>
      <c r="B85" s="66"/>
      <c r="C85" s="62">
        <f t="shared" ca="1" si="0"/>
        <v>45738</v>
      </c>
      <c r="D85" s="61" t="s">
        <v>86</v>
      </c>
      <c r="E85" s="92">
        <f t="shared" si="12"/>
        <v>56363.744999999995</v>
      </c>
      <c r="F85" s="92">
        <f t="shared" si="13"/>
        <v>2516.2386160714282</v>
      </c>
      <c r="G85" s="86">
        <f t="shared" si="14"/>
        <v>58879.983616071426</v>
      </c>
      <c r="H85" s="88">
        <f t="shared" si="4"/>
        <v>5220691.8806250067</v>
      </c>
    </row>
    <row r="86" spans="1:8" ht="14">
      <c r="A86" s="61">
        <v>59</v>
      </c>
      <c r="B86" s="66"/>
      <c r="C86" s="62">
        <f t="shared" ca="1" si="0"/>
        <v>45769</v>
      </c>
      <c r="D86" s="61" t="s">
        <v>87</v>
      </c>
      <c r="E86" s="92">
        <f t="shared" si="12"/>
        <v>56363.744999999995</v>
      </c>
      <c r="F86" s="92">
        <f t="shared" si="13"/>
        <v>2516.2386160714282</v>
      </c>
      <c r="G86" s="86">
        <f t="shared" si="14"/>
        <v>58879.983616071426</v>
      </c>
      <c r="H86" s="88">
        <f t="shared" si="4"/>
        <v>5161811.897008935</v>
      </c>
    </row>
    <row r="87" spans="1:8" ht="14">
      <c r="A87" s="61">
        <v>60</v>
      </c>
      <c r="B87" s="66"/>
      <c r="C87" s="62">
        <f t="shared" ca="1" si="0"/>
        <v>45799</v>
      </c>
      <c r="D87" s="61" t="s">
        <v>88</v>
      </c>
      <c r="E87" s="92">
        <f t="shared" si="12"/>
        <v>56363.744999999995</v>
      </c>
      <c r="F87" s="92">
        <f t="shared" si="13"/>
        <v>2516.2386160714282</v>
      </c>
      <c r="G87" s="86">
        <f t="shared" si="14"/>
        <v>58879.983616071426</v>
      </c>
      <c r="H87" s="88">
        <f t="shared" si="4"/>
        <v>5102931.9133928632</v>
      </c>
    </row>
    <row r="88" spans="1:8" ht="14">
      <c r="A88" s="61">
        <v>61</v>
      </c>
      <c r="B88" s="66">
        <f>1-SUM(B23:B87)</f>
        <v>0.65</v>
      </c>
      <c r="C88" s="62">
        <f t="shared" ca="1" si="0"/>
        <v>45830</v>
      </c>
      <c r="D88" s="61" t="s">
        <v>105</v>
      </c>
      <c r="E88" s="85">
        <f>$B88*D16</f>
        <v>4884857.9000000004</v>
      </c>
      <c r="F88" s="85">
        <f>$B88*D17</f>
        <v>218074.01339285713</v>
      </c>
      <c r="G88" s="86">
        <f t="shared" si="14"/>
        <v>5102931.9133928576</v>
      </c>
      <c r="H88" s="141">
        <f t="shared" si="4"/>
        <v>0</v>
      </c>
    </row>
    <row r="89" spans="1:8" ht="14">
      <c r="A89" s="166" t="s">
        <v>15</v>
      </c>
      <c r="B89" s="166"/>
      <c r="C89" s="166"/>
      <c r="D89" s="166"/>
      <c r="E89" s="67">
        <f>SUM(E22:E88)</f>
        <v>7515166.0000000019</v>
      </c>
      <c r="F89" s="67">
        <f t="shared" ref="F89:G89" si="15">SUM(F22:F88)</f>
        <v>335498.48214285704</v>
      </c>
      <c r="G89" s="67">
        <f t="shared" si="15"/>
        <v>7850664.4821428554</v>
      </c>
      <c r="H89" s="67"/>
    </row>
    <row r="90" spans="1:8" s="14" customFormat="1" ht="14">
      <c r="C90" s="28"/>
      <c r="D90" s="29"/>
      <c r="E90" s="30"/>
      <c r="F90" s="30"/>
      <c r="G90" s="30"/>
    </row>
    <row r="91" spans="1:8" s="14" customFormat="1" ht="14">
      <c r="A91" s="162" t="s">
        <v>136</v>
      </c>
      <c r="B91" s="162"/>
      <c r="C91" s="162"/>
      <c r="D91" s="162"/>
      <c r="E91" s="162"/>
      <c r="F91" s="162"/>
      <c r="G91" s="162"/>
      <c r="H91" s="162"/>
    </row>
    <row r="92" spans="1:8" s="14" customFormat="1" ht="29.25" customHeight="1">
      <c r="A92" s="164" t="s">
        <v>175</v>
      </c>
      <c r="B92" s="164"/>
      <c r="C92" s="164"/>
      <c r="D92" s="164"/>
      <c r="E92" s="164"/>
      <c r="F92" s="164"/>
      <c r="G92" s="164"/>
      <c r="H92" s="164"/>
    </row>
    <row r="93" spans="1:8" s="14" customFormat="1" ht="16.5" customHeight="1">
      <c r="A93" s="162" t="s">
        <v>176</v>
      </c>
      <c r="B93" s="162"/>
      <c r="C93" s="162"/>
      <c r="D93" s="162"/>
      <c r="E93" s="162"/>
      <c r="F93" s="162"/>
      <c r="G93" s="162"/>
      <c r="H93" s="162"/>
    </row>
    <row r="94" spans="1:8" s="14" customFormat="1" ht="16.5" customHeight="1">
      <c r="A94" s="162" t="s">
        <v>177</v>
      </c>
      <c r="B94" s="162"/>
      <c r="C94" s="162"/>
      <c r="D94" s="162"/>
      <c r="E94" s="162"/>
      <c r="F94" s="162"/>
      <c r="G94" s="162"/>
      <c r="H94" s="162"/>
    </row>
    <row r="95" spans="1:8" s="14" customFormat="1" ht="16.5" customHeight="1">
      <c r="A95" s="162" t="s">
        <v>178</v>
      </c>
      <c r="B95" s="162"/>
      <c r="C95" s="162"/>
      <c r="D95" s="162"/>
      <c r="E95" s="162"/>
      <c r="F95" s="162"/>
      <c r="G95" s="162"/>
      <c r="H95" s="162"/>
    </row>
    <row r="96" spans="1:8" s="14" customFormat="1" ht="107.25" customHeight="1">
      <c r="A96" s="162" t="s">
        <v>179</v>
      </c>
      <c r="B96" s="162"/>
      <c r="C96" s="162"/>
      <c r="D96" s="162"/>
      <c r="E96" s="162"/>
      <c r="F96" s="162"/>
      <c r="G96" s="162"/>
      <c r="H96" s="162"/>
    </row>
    <row r="97" spans="1:8" s="14" customFormat="1" ht="42" customHeight="1">
      <c r="A97" s="162" t="s">
        <v>180</v>
      </c>
      <c r="B97" s="162"/>
      <c r="C97" s="162"/>
      <c r="D97" s="162"/>
      <c r="E97" s="162"/>
      <c r="F97" s="162"/>
      <c r="G97" s="162"/>
      <c r="H97" s="162"/>
    </row>
    <row r="98" spans="1:8" s="14" customFormat="1" ht="17.25" customHeight="1">
      <c r="A98" s="162" t="s">
        <v>181</v>
      </c>
      <c r="B98" s="162"/>
      <c r="C98" s="162"/>
      <c r="D98" s="162"/>
      <c r="E98" s="162"/>
      <c r="F98" s="162"/>
      <c r="G98" s="162"/>
      <c r="H98" s="162"/>
    </row>
    <row r="99" spans="1:8" s="14" customFormat="1" ht="14">
      <c r="A99" s="162"/>
      <c r="B99" s="162"/>
      <c r="C99" s="162"/>
      <c r="D99" s="162"/>
      <c r="E99" s="162"/>
      <c r="F99" s="162"/>
      <c r="G99" s="162"/>
      <c r="H99" s="162"/>
    </row>
    <row r="100" spans="1:8" s="14" customFormat="1" ht="14">
      <c r="A100" s="14" t="s">
        <v>16</v>
      </c>
      <c r="D100" s="31"/>
      <c r="G100" s="15"/>
    </row>
    <row r="101" spans="1:8" s="14" customFormat="1" ht="14">
      <c r="D101" s="31"/>
      <c r="G101" s="15"/>
    </row>
    <row r="102" spans="1:8" s="14" customFormat="1" ht="15" customHeight="1">
      <c r="A102" s="32"/>
      <c r="B102" s="32"/>
      <c r="C102" s="32"/>
      <c r="D102" s="31"/>
      <c r="E102" s="32"/>
      <c r="F102" s="32"/>
      <c r="G102" s="33"/>
    </row>
    <row r="103" spans="1:8" s="14" customFormat="1" ht="14">
      <c r="A103" s="179" t="s">
        <v>163</v>
      </c>
      <c r="B103" s="179"/>
      <c r="C103" s="179"/>
      <c r="D103" s="31"/>
      <c r="E103" s="179" t="s">
        <v>17</v>
      </c>
      <c r="F103" s="179"/>
      <c r="G103" s="179"/>
    </row>
    <row r="104" spans="1:8" ht="14"/>
  </sheetData>
  <sheetProtection password="CAF1" sheet="1" objects="1" scenarios="1" selectLockedCells="1"/>
  <mergeCells count="20">
    <mergeCell ref="A103:C103"/>
    <mergeCell ref="E103:G103"/>
    <mergeCell ref="A94:H94"/>
    <mergeCell ref="A95:H95"/>
    <mergeCell ref="A96:H96"/>
    <mergeCell ref="A97:H97"/>
    <mergeCell ref="A98:H98"/>
    <mergeCell ref="A99:H99"/>
    <mergeCell ref="A93:H93"/>
    <mergeCell ref="H1:H2"/>
    <mergeCell ref="C5:H5"/>
    <mergeCell ref="C6:H6"/>
    <mergeCell ref="C7:H7"/>
    <mergeCell ref="C8:H8"/>
    <mergeCell ref="C9:H9"/>
    <mergeCell ref="C10:H10"/>
    <mergeCell ref="A21:G21"/>
    <mergeCell ref="A89:D89"/>
    <mergeCell ref="A91:H91"/>
    <mergeCell ref="A92:H92"/>
  </mergeCells>
  <hyperlinks>
    <hyperlink ref="C1" location="'DATA SHEET'!A1" display="HIGHLANDS PRIME, INC." xr:uid="{00000000-0004-0000-0F00-000000000000}"/>
    <hyperlink ref="J4" location="'DATA SHEET'!A1" display="Return to Data Sheet" xr:uid="{00000000-0004-0000-0F00-000001000000}"/>
  </hyperlinks>
  <pageMargins left="0.7" right="0.7" top="0.75" bottom="0.75" header="0.3" footer="0.3"/>
  <pageSetup orientation="portrait" horizontalDpi="4294967293" verticalDpi="4294967293"/>
  <ignoredErrors>
    <ignoredError sqref="D15" unlockedFormula="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6:L45"/>
  <sheetViews>
    <sheetView topLeftCell="A5" workbookViewId="0">
      <selection activeCell="E20" sqref="E20"/>
    </sheetView>
  </sheetViews>
  <sheetFormatPr baseColWidth="10" defaultColWidth="8.83203125" defaultRowHeight="16"/>
  <cols>
    <col min="1" max="1" width="4.33203125" style="103" customWidth="1"/>
    <col min="2" max="2" width="12.83203125" style="103" customWidth="1"/>
    <col min="3" max="3" width="16.5" style="103" customWidth="1"/>
    <col min="4" max="4" width="8.83203125" style="105"/>
    <col min="5" max="5" width="26.83203125" style="103" bestFit="1" customWidth="1"/>
    <col min="6" max="6" width="10.5" style="103" bestFit="1" customWidth="1"/>
    <col min="7" max="7" width="17.33203125" style="103" bestFit="1" customWidth="1"/>
    <col min="8" max="8" width="15.1640625" style="103" customWidth="1"/>
    <col min="9" max="9" width="8.83203125" style="103"/>
    <col min="10" max="10" width="0" style="103" hidden="1" customWidth="1"/>
    <col min="11" max="11" width="13.1640625" style="106" hidden="1" customWidth="1"/>
    <col min="12" max="12" width="0" style="106" hidden="1" customWidth="1"/>
    <col min="13" max="16384" width="8.83203125" style="103"/>
  </cols>
  <sheetData>
    <row r="6" spans="1:12">
      <c r="B6" s="104" t="s">
        <v>112</v>
      </c>
    </row>
    <row r="7" spans="1:12">
      <c r="B7" s="104" t="s">
        <v>113</v>
      </c>
    </row>
    <row r="8" spans="1:12" ht="17" thickBot="1">
      <c r="C8" s="107"/>
      <c r="E8" s="105"/>
      <c r="F8" s="105"/>
      <c r="G8" s="108" t="s">
        <v>92</v>
      </c>
    </row>
    <row r="9" spans="1:12" ht="29" thickBot="1">
      <c r="B9" s="109" t="s">
        <v>114</v>
      </c>
      <c r="C9" s="110" t="s">
        <v>37</v>
      </c>
      <c r="D9" s="111" t="s">
        <v>94</v>
      </c>
      <c r="E9" s="111" t="s">
        <v>38</v>
      </c>
      <c r="F9" s="112" t="s">
        <v>93</v>
      </c>
      <c r="G9" s="113" t="s">
        <v>115</v>
      </c>
      <c r="H9" s="140" t="s">
        <v>187</v>
      </c>
      <c r="K9" s="159" t="s">
        <v>116</v>
      </c>
      <c r="L9" s="160"/>
    </row>
    <row r="10" spans="1:12">
      <c r="B10" s="114" t="s">
        <v>117</v>
      </c>
      <c r="C10" s="115" t="s">
        <v>118</v>
      </c>
      <c r="D10" s="116"/>
      <c r="E10" s="116"/>
      <c r="F10" s="116"/>
      <c r="G10" s="117"/>
    </row>
    <row r="11" spans="1:12">
      <c r="A11" s="106"/>
      <c r="B11" s="118" t="s">
        <v>120</v>
      </c>
      <c r="C11" s="119" t="s">
        <v>121</v>
      </c>
      <c r="D11" s="120" t="s">
        <v>95</v>
      </c>
      <c r="E11" s="119" t="s">
        <v>183</v>
      </c>
      <c r="F11" s="121">
        <f>VLOOKUP($D11,'[6]pricelist comp'!E4:H48,4,0)</f>
        <v>68.900000000000006</v>
      </c>
      <c r="G11" s="122">
        <f>'[7]WESTCHASE (Suites 3)'!$G10</f>
        <v>9868600</v>
      </c>
      <c r="H11" s="139">
        <f>IF(I11="1BR",230000,360000)</f>
        <v>230000</v>
      </c>
      <c r="I11" s="123" t="s">
        <v>119</v>
      </c>
      <c r="K11" s="124">
        <f>'[6]pricelist comp'!AC4</f>
        <v>9868600</v>
      </c>
      <c r="L11" s="125">
        <f>G11-K11</f>
        <v>0</v>
      </c>
    </row>
    <row r="12" spans="1:12">
      <c r="A12" s="106"/>
      <c r="B12" s="126"/>
      <c r="C12" s="127"/>
      <c r="D12" s="128" t="s">
        <v>96</v>
      </c>
      <c r="E12" s="127" t="s">
        <v>183</v>
      </c>
      <c r="F12" s="129">
        <f>VLOOKUP($D12,'[6]pricelist comp'!E5:H49,4,0)</f>
        <v>67.900000000000006</v>
      </c>
      <c r="G12" s="130">
        <f>'[7]WESTCHASE (Suites 3)'!$G11</f>
        <v>9331700</v>
      </c>
      <c r="H12" s="139">
        <f t="shared" ref="H12:H33" si="0">IF(I12="1BR",230000,360000)</f>
        <v>230000</v>
      </c>
      <c r="I12" s="123" t="s">
        <v>119</v>
      </c>
      <c r="K12" s="124">
        <f>'[6]pricelist comp'!AC5</f>
        <v>9331700</v>
      </c>
      <c r="L12" s="125">
        <f t="shared" ref="L12:L33" si="1">G12-K12</f>
        <v>0</v>
      </c>
    </row>
    <row r="13" spans="1:12">
      <c r="A13" s="106"/>
      <c r="B13" s="126"/>
      <c r="C13" s="127"/>
      <c r="D13" s="128" t="s">
        <v>97</v>
      </c>
      <c r="E13" s="127" t="s">
        <v>183</v>
      </c>
      <c r="F13" s="129">
        <f>VLOOKUP($D13,'[6]pricelist comp'!E6:H50,4,0)</f>
        <v>67.900000000000006</v>
      </c>
      <c r="G13" s="130">
        <f>'[7]WESTCHASE (Suites 3)'!$G12</f>
        <v>9331700</v>
      </c>
      <c r="H13" s="139">
        <f t="shared" si="0"/>
        <v>230000</v>
      </c>
      <c r="I13" s="123" t="s">
        <v>119</v>
      </c>
      <c r="K13" s="124">
        <f>'[6]pricelist comp'!AC6</f>
        <v>9331700</v>
      </c>
      <c r="L13" s="125">
        <f t="shared" si="1"/>
        <v>0</v>
      </c>
    </row>
    <row r="14" spans="1:12">
      <c r="A14" s="106"/>
      <c r="B14" s="126"/>
      <c r="C14" s="127"/>
      <c r="D14" s="128" t="s">
        <v>98</v>
      </c>
      <c r="E14" s="127" t="s">
        <v>183</v>
      </c>
      <c r="F14" s="129">
        <f>VLOOKUP($D14,'[6]pricelist comp'!E7:H51,4,0)</f>
        <v>67.900000000000006</v>
      </c>
      <c r="G14" s="130">
        <f>'[7]WESTCHASE (Suites 3)'!$G13</f>
        <v>9331700</v>
      </c>
      <c r="H14" s="139">
        <f t="shared" si="0"/>
        <v>230000</v>
      </c>
      <c r="I14" s="123" t="s">
        <v>119</v>
      </c>
      <c r="K14" s="124">
        <f>'[6]pricelist comp'!AC7</f>
        <v>9331700</v>
      </c>
      <c r="L14" s="125">
        <f t="shared" si="1"/>
        <v>0</v>
      </c>
    </row>
    <row r="15" spans="1:12">
      <c r="A15" s="106"/>
      <c r="B15" s="126"/>
      <c r="C15" s="127"/>
      <c r="D15" s="128" t="s">
        <v>99</v>
      </c>
      <c r="E15" s="127" t="s">
        <v>184</v>
      </c>
      <c r="F15" s="129">
        <f>VLOOKUP($D15,'[6]pricelist comp'!E8:H52,4,0)</f>
        <v>102.86</v>
      </c>
      <c r="G15" s="130">
        <f>'[7]WESTCHASE (Suites 3)'!$G14</f>
        <v>14813000</v>
      </c>
      <c r="H15" s="139">
        <f t="shared" si="0"/>
        <v>360000</v>
      </c>
      <c r="I15" s="123" t="s">
        <v>122</v>
      </c>
      <c r="K15" s="124">
        <f>'[6]pricelist comp'!AC8</f>
        <v>14813000</v>
      </c>
      <c r="L15" s="125">
        <f t="shared" si="1"/>
        <v>0</v>
      </c>
    </row>
    <row r="16" spans="1:12">
      <c r="A16" s="106"/>
      <c r="B16" s="126"/>
      <c r="C16" s="127"/>
      <c r="D16" s="128" t="s">
        <v>185</v>
      </c>
      <c r="E16" s="127" t="s">
        <v>101</v>
      </c>
      <c r="F16" s="129">
        <f>'[7]WESTCHASE (Suites 3)'!$F$17</f>
        <v>35</v>
      </c>
      <c r="G16" s="130">
        <f>'[7]WESTCHASE (Suites 3)'!$M$17</f>
        <v>5495645</v>
      </c>
      <c r="H16" s="139">
        <f t="shared" si="0"/>
        <v>230000</v>
      </c>
      <c r="I16" s="123" t="s">
        <v>119</v>
      </c>
      <c r="K16" s="124"/>
      <c r="L16" s="125"/>
    </row>
    <row r="17" spans="1:12">
      <c r="A17" s="106"/>
      <c r="B17" s="131"/>
      <c r="C17" s="132"/>
      <c r="D17" s="133"/>
      <c r="E17" s="132"/>
      <c r="F17" s="134"/>
      <c r="G17" s="135"/>
      <c r="I17" s="123"/>
      <c r="K17" s="124">
        <f>'[6]pricelist comp'!AC12</f>
        <v>5385600</v>
      </c>
      <c r="L17" s="125">
        <f t="shared" si="1"/>
        <v>-5385600</v>
      </c>
    </row>
    <row r="18" spans="1:12">
      <c r="A18" s="106"/>
      <c r="B18" s="118" t="s">
        <v>123</v>
      </c>
      <c r="C18" s="119" t="s">
        <v>124</v>
      </c>
      <c r="D18" s="120" t="s">
        <v>90</v>
      </c>
      <c r="E18" s="119" t="s">
        <v>101</v>
      </c>
      <c r="F18" s="121">
        <f>VLOOKUP($D18,'[6]pricelist comp'!E13:H57,4,0)</f>
        <v>49.15</v>
      </c>
      <c r="G18" s="122">
        <f>'[7]WESTCHASE (Suites 3)'!$G19</f>
        <v>8473400</v>
      </c>
      <c r="H18" s="139">
        <f t="shared" si="0"/>
        <v>230000</v>
      </c>
      <c r="I18" s="123" t="s">
        <v>119</v>
      </c>
      <c r="K18" s="124">
        <f>'[6]pricelist comp'!AC13</f>
        <v>8473400</v>
      </c>
      <c r="L18" s="125">
        <f t="shared" si="1"/>
        <v>0</v>
      </c>
    </row>
    <row r="19" spans="1:12">
      <c r="A19" s="106"/>
      <c r="B19" s="126"/>
      <c r="C19" s="127"/>
      <c r="D19" s="128" t="s">
        <v>39</v>
      </c>
      <c r="E19" s="127" t="s">
        <v>101</v>
      </c>
      <c r="F19" s="129">
        <f>VLOOKUP($D19,'[6]pricelist comp'!E14:H58,4,0)</f>
        <v>48.15</v>
      </c>
      <c r="G19" s="130">
        <f>'[7]WESTCHASE (Suites 3)'!$G20</f>
        <v>7976800</v>
      </c>
      <c r="H19" s="139">
        <f t="shared" si="0"/>
        <v>230000</v>
      </c>
      <c r="I19" s="123" t="s">
        <v>119</v>
      </c>
      <c r="K19" s="124">
        <f>'[6]pricelist comp'!AC14</f>
        <v>7976800</v>
      </c>
      <c r="L19" s="125">
        <f t="shared" si="1"/>
        <v>0</v>
      </c>
    </row>
    <row r="20" spans="1:12">
      <c r="A20" s="106"/>
      <c r="B20" s="126"/>
      <c r="C20" s="127"/>
      <c r="D20" s="128" t="s">
        <v>91</v>
      </c>
      <c r="E20" s="127" t="s">
        <v>101</v>
      </c>
      <c r="F20" s="129">
        <f>VLOOKUP($D20,'[6]pricelist comp'!E16:H60,4,0)</f>
        <v>48.15</v>
      </c>
      <c r="G20" s="130">
        <f>'[7]WESTCHASE (Suites 3)'!$G22</f>
        <v>7976800</v>
      </c>
      <c r="H20" s="139">
        <f t="shared" si="0"/>
        <v>230000</v>
      </c>
      <c r="I20" s="123" t="s">
        <v>119</v>
      </c>
      <c r="K20" s="124">
        <f>'[6]pricelist comp'!AC16</f>
        <v>7976800</v>
      </c>
      <c r="L20" s="125">
        <f t="shared" si="1"/>
        <v>0</v>
      </c>
    </row>
    <row r="21" spans="1:12">
      <c r="A21" s="106"/>
      <c r="B21" s="126"/>
      <c r="C21" s="127"/>
      <c r="D21" s="128" t="s">
        <v>102</v>
      </c>
      <c r="E21" s="127" t="s">
        <v>100</v>
      </c>
      <c r="F21" s="129">
        <f>VLOOKUP($D21,'[6]pricelist comp'!E17:H61,4,0)</f>
        <v>69.37</v>
      </c>
      <c r="G21" s="130">
        <f>'[7]WESTCHASE (Suites 3)'!$G23</f>
        <v>12572000</v>
      </c>
      <c r="H21" s="139">
        <f t="shared" si="0"/>
        <v>360000</v>
      </c>
      <c r="I21" s="123" t="s">
        <v>122</v>
      </c>
      <c r="K21" s="124">
        <f>'[6]pricelist comp'!AC17</f>
        <v>12572000</v>
      </c>
      <c r="L21" s="125">
        <f t="shared" si="1"/>
        <v>0</v>
      </c>
    </row>
    <row r="22" spans="1:12">
      <c r="A22" s="106"/>
      <c r="B22" s="131"/>
      <c r="C22" s="132"/>
      <c r="D22" s="133"/>
      <c r="E22" s="132"/>
      <c r="F22" s="134"/>
      <c r="G22" s="135"/>
      <c r="I22" s="123"/>
      <c r="K22" s="124">
        <f>'[6]pricelist comp'!AC21</f>
        <v>5510300</v>
      </c>
      <c r="L22" s="125">
        <f t="shared" si="1"/>
        <v>-5510300</v>
      </c>
    </row>
    <row r="23" spans="1:12">
      <c r="A23" s="106"/>
      <c r="B23" s="118" t="s">
        <v>125</v>
      </c>
      <c r="C23" s="119" t="s">
        <v>126</v>
      </c>
      <c r="D23" s="120" t="s">
        <v>103</v>
      </c>
      <c r="E23" s="119" t="s">
        <v>101</v>
      </c>
      <c r="F23" s="121">
        <f>VLOOKUP($D23,'[6]pricelist comp'!E22:H66,4,0)</f>
        <v>49.15</v>
      </c>
      <c r="G23" s="122">
        <f>'[7]WESTCHASE (Suites 3)'!$G28</f>
        <v>8700400</v>
      </c>
      <c r="H23" s="139">
        <f t="shared" si="0"/>
        <v>230000</v>
      </c>
      <c r="I23" s="123" t="s">
        <v>119</v>
      </c>
      <c r="K23" s="124">
        <f>'[6]pricelist comp'!AC22</f>
        <v>8700400</v>
      </c>
      <c r="L23" s="125">
        <f t="shared" si="1"/>
        <v>0</v>
      </c>
    </row>
    <row r="24" spans="1:12">
      <c r="A24" s="106"/>
      <c r="B24" s="126"/>
      <c r="C24" s="127"/>
      <c r="D24" s="128" t="s">
        <v>107</v>
      </c>
      <c r="E24" s="127" t="s">
        <v>101</v>
      </c>
      <c r="F24" s="129">
        <f>VLOOKUP($D24,'[6]pricelist comp'!E25:H69,4,0)</f>
        <v>48.15</v>
      </c>
      <c r="G24" s="130">
        <f>'[7]WESTCHASE (Suites 3)'!$G31</f>
        <v>8115800</v>
      </c>
      <c r="H24" s="139">
        <f t="shared" si="0"/>
        <v>230000</v>
      </c>
      <c r="I24" s="123" t="s">
        <v>119</v>
      </c>
      <c r="K24" s="124">
        <f>'[6]pricelist comp'!AC25</f>
        <v>8115800</v>
      </c>
      <c r="L24" s="125">
        <f t="shared" si="1"/>
        <v>0</v>
      </c>
    </row>
    <row r="25" spans="1:12">
      <c r="A25" s="106"/>
      <c r="B25" s="126"/>
      <c r="C25" s="127"/>
      <c r="D25" s="128" t="s">
        <v>127</v>
      </c>
      <c r="E25" s="127" t="s">
        <v>100</v>
      </c>
      <c r="F25" s="129">
        <f>VLOOKUP($D25,'[6]pricelist comp'!E26:H70,4,0)</f>
        <v>69.37</v>
      </c>
      <c r="G25" s="130">
        <f>'[7]WESTCHASE (Suites 3)'!$G32</f>
        <v>13212800</v>
      </c>
      <c r="H25" s="139">
        <f t="shared" si="0"/>
        <v>360000</v>
      </c>
      <c r="I25" s="123" t="s">
        <v>122</v>
      </c>
      <c r="K25" s="124">
        <f>'[6]pricelist comp'!AC26</f>
        <v>13212800</v>
      </c>
      <c r="L25" s="125">
        <f t="shared" si="1"/>
        <v>0</v>
      </c>
    </row>
    <row r="26" spans="1:12">
      <c r="A26" s="106"/>
      <c r="B26" s="131"/>
      <c r="C26" s="132"/>
      <c r="D26" s="133"/>
      <c r="E26" s="132"/>
      <c r="F26" s="134"/>
      <c r="G26" s="135"/>
      <c r="I26" s="123"/>
      <c r="K26" s="124">
        <f>'[6]pricelist comp'!AC30</f>
        <v>5635000</v>
      </c>
      <c r="L26" s="125">
        <f t="shared" si="1"/>
        <v>-5635000</v>
      </c>
    </row>
    <row r="27" spans="1:12">
      <c r="A27" s="106"/>
      <c r="B27" s="118" t="s">
        <v>128</v>
      </c>
      <c r="C27" s="119" t="s">
        <v>129</v>
      </c>
      <c r="D27" s="120" t="s">
        <v>186</v>
      </c>
      <c r="E27" s="119" t="s">
        <v>101</v>
      </c>
      <c r="F27" s="121">
        <f>'[7]WESTCHASE (Suites 3)'!$F$40</f>
        <v>48.15</v>
      </c>
      <c r="G27" s="122">
        <f>'[7]WESTCHASE (Suites 3)'!$M$40</f>
        <v>8635040</v>
      </c>
      <c r="H27" s="139">
        <f t="shared" si="0"/>
        <v>230000</v>
      </c>
      <c r="I27" s="123" t="s">
        <v>119</v>
      </c>
      <c r="K27" s="124">
        <f>'[6]pricelist comp'!AC31</f>
        <v>8927400</v>
      </c>
      <c r="L27" s="125">
        <f t="shared" si="1"/>
        <v>-292360</v>
      </c>
    </row>
    <row r="28" spans="1:12">
      <c r="A28" s="106"/>
      <c r="B28" s="131"/>
      <c r="C28" s="132"/>
      <c r="D28" s="133"/>
      <c r="E28" s="132"/>
      <c r="F28" s="134"/>
      <c r="G28" s="135"/>
      <c r="I28" s="123"/>
      <c r="K28" s="124">
        <f>'[6]pricelist comp'!AC39</f>
        <v>5759700</v>
      </c>
      <c r="L28" s="125">
        <f t="shared" si="1"/>
        <v>-5759700</v>
      </c>
    </row>
    <row r="29" spans="1:12">
      <c r="A29" s="106"/>
      <c r="B29" s="118" t="s">
        <v>130</v>
      </c>
      <c r="C29" s="119" t="s">
        <v>131</v>
      </c>
      <c r="D29" s="120" t="s">
        <v>104</v>
      </c>
      <c r="E29" s="119" t="s">
        <v>101</v>
      </c>
      <c r="F29" s="121">
        <f>VLOOKUP($D29,'[6]pricelist comp'!E40:H84,4,0)</f>
        <v>49.15</v>
      </c>
      <c r="G29" s="122">
        <f>'[7]WESTCHASE (Suites 3)'!$G46</f>
        <v>11256900</v>
      </c>
      <c r="H29" s="139">
        <f t="shared" si="0"/>
        <v>230000</v>
      </c>
      <c r="I29" s="123" t="s">
        <v>119</v>
      </c>
      <c r="K29" s="124">
        <f>'[6]pricelist comp'!AC40</f>
        <v>11256900</v>
      </c>
      <c r="L29" s="125">
        <f t="shared" si="1"/>
        <v>0</v>
      </c>
    </row>
    <row r="30" spans="1:12">
      <c r="A30" s="106"/>
      <c r="B30" s="126"/>
      <c r="C30" s="127"/>
      <c r="D30" s="128" t="s">
        <v>108</v>
      </c>
      <c r="E30" s="127" t="s">
        <v>101</v>
      </c>
      <c r="F30" s="129">
        <f>VLOOKUP($D30,'[6]pricelist comp'!E41:H85,4,0)</f>
        <v>48.15</v>
      </c>
      <c r="G30" s="130">
        <f>'[7]WESTCHASE (Suites 3)'!$G47</f>
        <v>10910100</v>
      </c>
      <c r="H30" s="139">
        <f t="shared" si="0"/>
        <v>230000</v>
      </c>
      <c r="I30" s="123" t="s">
        <v>119</v>
      </c>
      <c r="K30" s="124">
        <f>'[6]pricelist comp'!AC41</f>
        <v>10910100</v>
      </c>
      <c r="L30" s="125">
        <f t="shared" si="1"/>
        <v>0</v>
      </c>
    </row>
    <row r="31" spans="1:12">
      <c r="A31" s="106"/>
      <c r="B31" s="126"/>
      <c r="C31" s="127"/>
      <c r="D31" s="128" t="s">
        <v>132</v>
      </c>
      <c r="E31" s="127" t="s">
        <v>101</v>
      </c>
      <c r="F31" s="129">
        <f>VLOOKUP($D31,'[6]pricelist comp'!E42:H86,4,0)</f>
        <v>48.15</v>
      </c>
      <c r="G31" s="130">
        <f>'[7]WESTCHASE (Suites 3)'!$G48</f>
        <v>10910100</v>
      </c>
      <c r="H31" s="139">
        <f t="shared" si="0"/>
        <v>230000</v>
      </c>
      <c r="I31" s="123" t="s">
        <v>119</v>
      </c>
      <c r="K31" s="124">
        <f>'[6]pricelist comp'!AC42</f>
        <v>10910100</v>
      </c>
      <c r="L31" s="125">
        <f t="shared" si="1"/>
        <v>0</v>
      </c>
    </row>
    <row r="32" spans="1:12">
      <c r="A32" s="106"/>
      <c r="B32" s="126"/>
      <c r="C32" s="127"/>
      <c r="D32" s="128" t="s">
        <v>133</v>
      </c>
      <c r="E32" s="127" t="s">
        <v>101</v>
      </c>
      <c r="F32" s="129">
        <f>VLOOKUP($D32,'[6]pricelist comp'!E43:H87,4,0)</f>
        <v>48.15</v>
      </c>
      <c r="G32" s="130">
        <f>'[7]WESTCHASE (Suites 3)'!$G49</f>
        <v>10910100</v>
      </c>
      <c r="H32" s="139">
        <f t="shared" si="0"/>
        <v>230000</v>
      </c>
      <c r="I32" s="123" t="s">
        <v>119</v>
      </c>
      <c r="K32" s="124">
        <f>'[6]pricelist comp'!AC43</f>
        <v>10910100</v>
      </c>
      <c r="L32" s="125">
        <f t="shared" si="1"/>
        <v>0</v>
      </c>
    </row>
    <row r="33" spans="1:12">
      <c r="A33" s="106"/>
      <c r="B33" s="126"/>
      <c r="C33" s="127"/>
      <c r="D33" s="128" t="s">
        <v>134</v>
      </c>
      <c r="E33" s="127" t="s">
        <v>100</v>
      </c>
      <c r="F33" s="129">
        <f>VLOOKUP($D33,'[6]pricelist comp'!E44:H88,4,0)</f>
        <v>69.37</v>
      </c>
      <c r="G33" s="130">
        <f>'[7]WESTCHASE (Suites 3)'!$G50</f>
        <v>15659600</v>
      </c>
      <c r="H33" s="139">
        <f t="shared" si="0"/>
        <v>360000</v>
      </c>
      <c r="I33" s="123" t="s">
        <v>122</v>
      </c>
      <c r="K33" s="124">
        <f>'[6]pricelist comp'!AC44</f>
        <v>15659600</v>
      </c>
      <c r="L33" s="125">
        <f t="shared" si="1"/>
        <v>0</v>
      </c>
    </row>
    <row r="34" spans="1:12">
      <c r="B34" s="136"/>
    </row>
    <row r="35" spans="1:12" ht="36.75" customHeight="1">
      <c r="B35" s="161" t="s">
        <v>135</v>
      </c>
      <c r="C35" s="161"/>
      <c r="D35" s="161"/>
      <c r="E35" s="161"/>
      <c r="F35" s="161"/>
      <c r="G35" s="161"/>
    </row>
    <row r="36" spans="1:12">
      <c r="B36" s="137"/>
      <c r="C36" s="137"/>
      <c r="D36" s="137"/>
      <c r="E36" s="137"/>
      <c r="F36" s="137"/>
      <c r="G36" s="136"/>
    </row>
    <row r="37" spans="1:12">
      <c r="B37" s="138" t="s">
        <v>136</v>
      </c>
      <c r="C37" s="137"/>
      <c r="D37" s="137"/>
      <c r="E37" s="137"/>
      <c r="F37" s="137"/>
      <c r="G37" s="136"/>
    </row>
    <row r="38" spans="1:12">
      <c r="B38" s="138" t="s">
        <v>137</v>
      </c>
      <c r="C38" s="137"/>
      <c r="D38" s="137"/>
      <c r="E38" s="137"/>
      <c r="F38" s="137"/>
      <c r="G38" s="136"/>
    </row>
    <row r="39" spans="1:12">
      <c r="B39" s="138" t="s">
        <v>138</v>
      </c>
      <c r="C39" s="137"/>
      <c r="D39" s="137"/>
      <c r="E39" s="137"/>
      <c r="F39" s="137"/>
      <c r="G39" s="136"/>
    </row>
    <row r="40" spans="1:12">
      <c r="B40" s="138" t="s">
        <v>139</v>
      </c>
      <c r="C40" s="137"/>
      <c r="D40" s="137"/>
      <c r="E40" s="137"/>
      <c r="F40" s="137"/>
      <c r="G40" s="136"/>
    </row>
    <row r="41" spans="1:12">
      <c r="B41" s="138" t="s">
        <v>140</v>
      </c>
      <c r="C41" s="137"/>
      <c r="D41" s="137"/>
      <c r="E41" s="137"/>
      <c r="F41" s="137"/>
      <c r="G41" s="136"/>
    </row>
    <row r="42" spans="1:12">
      <c r="B42" s="138" t="s">
        <v>141</v>
      </c>
      <c r="C42" s="137"/>
      <c r="D42" s="137"/>
      <c r="E42" s="137"/>
      <c r="F42" s="137"/>
      <c r="G42" s="136"/>
    </row>
    <row r="43" spans="1:12">
      <c r="B43" s="138" t="s">
        <v>142</v>
      </c>
      <c r="C43" s="137"/>
      <c r="D43" s="137"/>
      <c r="E43" s="137"/>
      <c r="F43" s="137"/>
      <c r="G43" s="136"/>
    </row>
    <row r="44" spans="1:12">
      <c r="B44" s="138" t="s">
        <v>143</v>
      </c>
      <c r="C44" s="137"/>
      <c r="D44" s="137"/>
      <c r="E44" s="137"/>
      <c r="F44" s="137"/>
      <c r="G44" s="136"/>
    </row>
    <row r="45" spans="1:12">
      <c r="B45" s="138" t="s">
        <v>144</v>
      </c>
      <c r="C45" s="137"/>
      <c r="D45" s="137"/>
      <c r="E45" s="137"/>
      <c r="F45" s="137"/>
      <c r="G45" s="136"/>
    </row>
  </sheetData>
  <sheetProtection password="CAF1" sheet="1" objects="1" scenarios="1" selectLockedCells="1" selectUnlockedCells="1"/>
  <mergeCells count="2">
    <mergeCell ref="K9:L9"/>
    <mergeCell ref="B35:G3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rgb="FFF7941D"/>
    <pageSetUpPr fitToPage="1"/>
  </sheetPr>
  <dimension ref="A1:L43"/>
  <sheetViews>
    <sheetView showGridLines="0" topLeftCell="A3" workbookViewId="0">
      <selection activeCell="D16" sqref="D16"/>
    </sheetView>
  </sheetViews>
  <sheetFormatPr baseColWidth="10" defaultColWidth="0" defaultRowHeight="14" zeroHeight="1"/>
  <cols>
    <col min="1" max="1" width="12.83203125" style="13" customWidth="1"/>
    <col min="2" max="2" width="11" style="13" customWidth="1"/>
    <col min="3" max="3" width="13.83203125" style="13" customWidth="1"/>
    <col min="4" max="4" width="13.5" style="35" bestFit="1" customWidth="1"/>
    <col min="5" max="5" width="13.5" style="13" bestFit="1" customWidth="1"/>
    <col min="6" max="6" width="14.83203125" style="13" bestFit="1" customWidth="1"/>
    <col min="7" max="7" width="13.5" style="13" bestFit="1" customWidth="1"/>
    <col min="8" max="8" width="16.5" style="13" bestFit="1" customWidth="1"/>
    <col min="9" max="12" width="9.1640625" style="13" customWidth="1"/>
    <col min="13" max="16384" width="9.1640625" style="13" hidden="1"/>
  </cols>
  <sheetData>
    <row r="1" spans="1:10" ht="12.75" customHeight="1">
      <c r="C1" s="34" t="s">
        <v>33</v>
      </c>
      <c r="H1" s="163" t="s">
        <v>50</v>
      </c>
    </row>
    <row r="2" spans="1:10" ht="12.75" customHeight="1">
      <c r="C2" s="36" t="s">
        <v>182</v>
      </c>
      <c r="H2" s="163"/>
    </row>
    <row r="3" spans="1:10">
      <c r="C3" s="36" t="s">
        <v>34</v>
      </c>
      <c r="J3" s="69" t="s">
        <v>111</v>
      </c>
    </row>
    <row r="4" spans="1:10"/>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row>
    <row r="9" spans="1:10">
      <c r="A9" s="41" t="s">
        <v>167</v>
      </c>
      <c r="B9" s="40"/>
      <c r="C9" s="175">
        <f>'DATA SHEET'!C13</f>
        <v>8473400</v>
      </c>
      <c r="D9" s="175"/>
      <c r="E9" s="175"/>
      <c r="F9" s="175"/>
      <c r="G9" s="175"/>
      <c r="H9" s="176"/>
    </row>
    <row r="10" spans="1:10">
      <c r="A10" s="42" t="s">
        <v>31</v>
      </c>
      <c r="B10" s="43"/>
      <c r="C10" s="177" t="str">
        <f>'DATA SHEET'!B17</f>
        <v>Cash: 80% DP, 20% after 60 months or upon turnover</v>
      </c>
      <c r="D10" s="177"/>
      <c r="E10" s="177"/>
      <c r="F10" s="177"/>
      <c r="G10" s="177"/>
      <c r="H10" s="178"/>
    </row>
    <row r="11" spans="1:10"/>
    <row r="12" spans="1:10">
      <c r="A12" s="36" t="s">
        <v>46</v>
      </c>
      <c r="B12" s="36"/>
    </row>
    <row r="13" spans="1:10">
      <c r="A13" s="14" t="s">
        <v>170</v>
      </c>
      <c r="D13" s="44">
        <f>(C9-650000)</f>
        <v>7823400</v>
      </c>
      <c r="E13" s="45" t="str">
        <f>LEFT(C8,9)</f>
        <v>1-Bedroom</v>
      </c>
    </row>
    <row r="14" spans="1:10">
      <c r="A14" s="46" t="s">
        <v>52</v>
      </c>
      <c r="B14" s="47"/>
      <c r="C14" s="101">
        <v>0.15</v>
      </c>
      <c r="D14" s="48">
        <f>IF(C14&lt;=15%,D13*C14,"BEYOND MAX")</f>
        <v>1173510</v>
      </c>
      <c r="E14" s="35"/>
    </row>
    <row r="15" spans="1:10">
      <c r="A15" s="46" t="s">
        <v>191</v>
      </c>
      <c r="B15" s="47"/>
      <c r="C15" s="101">
        <v>0.02</v>
      </c>
      <c r="D15" s="48">
        <f>IF(C15&lt;=2%,((D13-D14)*C15),"BEYOND MAX DISC.")</f>
        <v>132997.79999999999</v>
      </c>
      <c r="E15" s="35"/>
    </row>
    <row r="16" spans="1:10">
      <c r="A16" s="46" t="s">
        <v>192</v>
      </c>
      <c r="B16" s="47"/>
      <c r="C16" s="101"/>
      <c r="D16" s="143">
        <f>VLOOKUP('DATA SHEET'!C10,'WESTCHASE PL'!$D$11:$H$33,5,0)</f>
        <v>230000</v>
      </c>
      <c r="E16" s="35"/>
    </row>
    <row r="17" spans="1:8">
      <c r="A17" s="14" t="s">
        <v>171</v>
      </c>
      <c r="B17" s="14"/>
      <c r="C17" s="14"/>
      <c r="D17" s="49">
        <f>D13-SUM(D14:D16)</f>
        <v>6286892.2000000002</v>
      </c>
      <c r="E17" s="50"/>
    </row>
    <row r="18" spans="1:8">
      <c r="A18" s="47" t="s">
        <v>109</v>
      </c>
      <c r="B18" s="47"/>
      <c r="D18" s="51">
        <v>650000</v>
      </c>
      <c r="E18" s="50"/>
    </row>
    <row r="19" spans="1:8">
      <c r="A19" s="52" t="s">
        <v>172</v>
      </c>
      <c r="B19" s="15"/>
      <c r="C19" s="15"/>
      <c r="D19" s="53">
        <f>+SUM(D17:D18)</f>
        <v>6936892.2000000002</v>
      </c>
      <c r="E19" s="50"/>
    </row>
    <row r="20" spans="1:8">
      <c r="A20" s="54" t="s">
        <v>154</v>
      </c>
      <c r="B20" s="54"/>
      <c r="C20" s="16">
        <v>0.05</v>
      </c>
      <c r="D20" s="55">
        <f>(D17/1.12)*C20</f>
        <v>280664.83035714284</v>
      </c>
      <c r="E20" s="50"/>
    </row>
    <row r="21" spans="1:8" ht="15" thickBot="1">
      <c r="A21" s="15" t="s">
        <v>47</v>
      </c>
      <c r="B21" s="15"/>
      <c r="C21" s="15"/>
      <c r="D21" s="56">
        <f>+SUM(D19:D20)</f>
        <v>7217557.0303571429</v>
      </c>
      <c r="E21" s="35"/>
    </row>
    <row r="22" spans="1:8" ht="15" thickTop="1"/>
    <row r="23" spans="1:8">
      <c r="A23" s="57" t="s">
        <v>32</v>
      </c>
      <c r="B23" s="57" t="s">
        <v>155</v>
      </c>
      <c r="C23" s="57" t="s">
        <v>2</v>
      </c>
      <c r="D23" s="57" t="s">
        <v>156</v>
      </c>
      <c r="E23" s="57" t="s">
        <v>157</v>
      </c>
      <c r="F23" s="58" t="s">
        <v>158</v>
      </c>
      <c r="G23" s="59" t="s">
        <v>159</v>
      </c>
      <c r="H23" s="57" t="s">
        <v>160</v>
      </c>
    </row>
    <row r="24" spans="1:8">
      <c r="A24" s="165" t="s">
        <v>162</v>
      </c>
      <c r="B24" s="165"/>
      <c r="C24" s="165"/>
      <c r="D24" s="165"/>
      <c r="E24" s="165"/>
      <c r="F24" s="165"/>
      <c r="G24" s="165"/>
      <c r="H24" s="60">
        <f>+D21</f>
        <v>7217557.0303571429</v>
      </c>
    </row>
    <row r="25" spans="1:8" ht="13.5" customHeight="1">
      <c r="A25" s="61">
        <v>0</v>
      </c>
      <c r="B25" s="61"/>
      <c r="C25" s="61" t="s">
        <v>36</v>
      </c>
      <c r="D25" s="62">
        <f ca="1">'DATA SHEET'!C8</f>
        <v>43973</v>
      </c>
      <c r="E25" s="63">
        <f>IF(E13="1-Bedroom",50000,100000)</f>
        <v>50000</v>
      </c>
      <c r="F25" s="63"/>
      <c r="G25" s="64">
        <f>+SUM(E25:F25)</f>
        <v>50000</v>
      </c>
      <c r="H25" s="65">
        <f>D21-G25</f>
        <v>7167557.0303571429</v>
      </c>
    </row>
    <row r="26" spans="1:8">
      <c r="A26" s="61">
        <v>1</v>
      </c>
      <c r="B26" s="66">
        <v>0.8</v>
      </c>
      <c r="C26" s="61" t="s">
        <v>161</v>
      </c>
      <c r="D26" s="62">
        <f ca="1">EDATE(D25,1)</f>
        <v>44004</v>
      </c>
      <c r="E26" s="63">
        <f>(D19*80%)-E25</f>
        <v>5499513.7600000007</v>
      </c>
      <c r="F26" s="63">
        <f>(D20*80%)</f>
        <v>224531.86428571428</v>
      </c>
      <c r="G26" s="64">
        <f t="shared" ref="G26:G27" si="0">+SUM(E26:F26)</f>
        <v>5724045.6242857147</v>
      </c>
      <c r="H26" s="65">
        <f>H25-G26</f>
        <v>1443511.4060714282</v>
      </c>
    </row>
    <row r="27" spans="1:8">
      <c r="A27" s="61">
        <v>60</v>
      </c>
      <c r="B27" s="66">
        <v>0.2</v>
      </c>
      <c r="C27" s="61" t="s">
        <v>105</v>
      </c>
      <c r="D27" s="62">
        <f ca="1">D26+(60*30)</f>
        <v>45804</v>
      </c>
      <c r="E27" s="63">
        <f>D19*0.2</f>
        <v>1387378.4400000002</v>
      </c>
      <c r="F27" s="63">
        <f>D20*0.2</f>
        <v>56132.966071428571</v>
      </c>
      <c r="G27" s="64">
        <f t="shared" si="0"/>
        <v>1443511.4060714287</v>
      </c>
      <c r="H27" s="65">
        <f>H26-G27</f>
        <v>0</v>
      </c>
    </row>
    <row r="28" spans="1:8">
      <c r="A28" s="166" t="s">
        <v>15</v>
      </c>
      <c r="B28" s="166"/>
      <c r="C28" s="166"/>
      <c r="D28" s="166"/>
      <c r="E28" s="67">
        <f>SUM(E25:E27)</f>
        <v>6936892.2000000011</v>
      </c>
      <c r="F28" s="67">
        <f t="shared" ref="F28:G28" si="1">SUM(F25:F27)</f>
        <v>280664.83035714284</v>
      </c>
      <c r="G28" s="67">
        <f t="shared" si="1"/>
        <v>7217557.0303571429</v>
      </c>
      <c r="H28" s="68"/>
    </row>
    <row r="29" spans="1:8" s="14" customFormat="1">
      <c r="C29" s="28"/>
      <c r="D29" s="29"/>
      <c r="E29" s="30"/>
      <c r="F29" s="30"/>
      <c r="G29" s="30"/>
    </row>
    <row r="30" spans="1:8" s="14" customFormat="1">
      <c r="A30" s="162" t="s">
        <v>136</v>
      </c>
      <c r="B30" s="162"/>
      <c r="C30" s="162"/>
      <c r="D30" s="162"/>
      <c r="E30" s="162"/>
      <c r="F30" s="162"/>
      <c r="G30" s="162"/>
      <c r="H30" s="162"/>
    </row>
    <row r="31" spans="1:8" s="14" customFormat="1" ht="29.25" customHeight="1">
      <c r="A31" s="164" t="s">
        <v>175</v>
      </c>
      <c r="B31" s="164"/>
      <c r="C31" s="164"/>
      <c r="D31" s="164"/>
      <c r="E31" s="164"/>
      <c r="F31" s="164"/>
      <c r="G31" s="164"/>
      <c r="H31" s="164"/>
    </row>
    <row r="32" spans="1:8" s="14" customFormat="1" ht="16.5" customHeight="1">
      <c r="A32" s="162" t="s">
        <v>176</v>
      </c>
      <c r="B32" s="162"/>
      <c r="C32" s="162"/>
      <c r="D32" s="162"/>
      <c r="E32" s="162"/>
      <c r="F32" s="162"/>
      <c r="G32" s="162"/>
      <c r="H32" s="162"/>
    </row>
    <row r="33" spans="1:8" s="14" customFormat="1" ht="16.5" customHeight="1">
      <c r="A33" s="162" t="s">
        <v>177</v>
      </c>
      <c r="B33" s="162"/>
      <c r="C33" s="162"/>
      <c r="D33" s="162"/>
      <c r="E33" s="162"/>
      <c r="F33" s="162"/>
      <c r="G33" s="162"/>
      <c r="H33" s="162"/>
    </row>
    <row r="34" spans="1:8" s="14" customFormat="1" ht="16.5" customHeight="1">
      <c r="A34" s="162" t="s">
        <v>178</v>
      </c>
      <c r="B34" s="162"/>
      <c r="C34" s="162"/>
      <c r="D34" s="162"/>
      <c r="E34" s="162"/>
      <c r="F34" s="162"/>
      <c r="G34" s="162"/>
      <c r="H34" s="162"/>
    </row>
    <row r="35" spans="1:8" s="14" customFormat="1" ht="118.5" customHeight="1">
      <c r="A35" s="162" t="s">
        <v>179</v>
      </c>
      <c r="B35" s="162"/>
      <c r="C35" s="162"/>
      <c r="D35" s="162"/>
      <c r="E35" s="162"/>
      <c r="F35" s="162"/>
      <c r="G35" s="162"/>
      <c r="H35" s="162"/>
    </row>
    <row r="36" spans="1:8" s="14" customFormat="1" ht="42" customHeight="1">
      <c r="A36" s="162" t="s">
        <v>180</v>
      </c>
      <c r="B36" s="162"/>
      <c r="C36" s="162"/>
      <c r="D36" s="162"/>
      <c r="E36" s="162"/>
      <c r="F36" s="162"/>
      <c r="G36" s="162"/>
      <c r="H36" s="162"/>
    </row>
    <row r="37" spans="1:8" s="14" customFormat="1" ht="29.25" customHeight="1">
      <c r="A37" s="162" t="s">
        <v>181</v>
      </c>
      <c r="B37" s="162"/>
      <c r="C37" s="162"/>
      <c r="D37" s="162"/>
      <c r="E37" s="162"/>
      <c r="F37" s="162"/>
      <c r="G37" s="162"/>
      <c r="H37" s="162"/>
    </row>
    <row r="38" spans="1:8" s="14" customFormat="1">
      <c r="A38" s="162"/>
      <c r="B38" s="162"/>
      <c r="C38" s="162"/>
      <c r="D38" s="162"/>
      <c r="E38" s="162"/>
      <c r="F38" s="162"/>
      <c r="G38" s="162"/>
      <c r="H38" s="162"/>
    </row>
    <row r="39" spans="1:8" s="14" customFormat="1">
      <c r="A39" s="14" t="s">
        <v>16</v>
      </c>
      <c r="D39" s="31"/>
      <c r="G39" s="15"/>
    </row>
    <row r="40" spans="1:8" s="14" customFormat="1">
      <c r="D40" s="31"/>
      <c r="G40" s="15"/>
    </row>
    <row r="41" spans="1:8" s="14" customFormat="1" ht="15" customHeight="1">
      <c r="A41" s="32"/>
      <c r="B41" s="32"/>
      <c r="C41" s="32"/>
      <c r="D41" s="31"/>
      <c r="E41" s="32"/>
      <c r="F41" s="32"/>
      <c r="G41" s="33"/>
    </row>
    <row r="42" spans="1:8" s="14" customFormat="1">
      <c r="A42" s="179" t="s">
        <v>163</v>
      </c>
      <c r="B42" s="179"/>
      <c r="C42" s="179"/>
      <c r="D42" s="31"/>
      <c r="E42" s="179" t="s">
        <v>17</v>
      </c>
      <c r="F42" s="179"/>
      <c r="G42" s="179"/>
    </row>
    <row r="43" spans="1:8" s="14" customFormat="1">
      <c r="D43" s="31"/>
      <c r="G43" s="15"/>
    </row>
  </sheetData>
  <sheetProtection password="CAF1" sheet="1" objects="1" scenarios="1" selectLockedCells="1"/>
  <sortState ref="A19:E88">
    <sortCondition ref="A51:A80" customList="1,2,3,4,5"/>
  </sortState>
  <mergeCells count="20">
    <mergeCell ref="A36:H36"/>
    <mergeCell ref="A37:H37"/>
    <mergeCell ref="A38:H38"/>
    <mergeCell ref="A42:C42"/>
    <mergeCell ref="E42:G42"/>
    <mergeCell ref="A34:H34"/>
    <mergeCell ref="A35:H35"/>
    <mergeCell ref="H1:H2"/>
    <mergeCell ref="A30:H30"/>
    <mergeCell ref="A31:H31"/>
    <mergeCell ref="A32:H32"/>
    <mergeCell ref="A33:H33"/>
    <mergeCell ref="A24:G24"/>
    <mergeCell ref="A28:D28"/>
    <mergeCell ref="C5:H5"/>
    <mergeCell ref="C6:H6"/>
    <mergeCell ref="C7:H7"/>
    <mergeCell ref="C8:H8"/>
    <mergeCell ref="C9:H9"/>
    <mergeCell ref="C10:H10"/>
  </mergeCells>
  <hyperlinks>
    <hyperlink ref="C1" location="'DATA SHEET'!A1" display="HIGHLANDS PRIME, INC." xr:uid="{00000000-0004-0000-0200-000000000000}"/>
    <hyperlink ref="J3" location="'DATA SHEET'!A1" display="Return to Data Sheet" xr:uid="{00000000-0004-0000-0200-000001000000}"/>
  </hyperlinks>
  <printOptions horizontalCentered="1"/>
  <pageMargins left="0.7" right="0.7" top="0.75" bottom="0.5" header="0.3" footer="0.3"/>
  <pageSetup paperSize="258" scale="82" orientation="portrait" r:id="rId1"/>
  <headerFooter>
    <oddFooter>&amp;L&amp;8A project of HIGHLANDS PRIME, INC. Horizon Terraces HLURB License To Sell No. 032272&amp;R&amp;8Page &amp;P of &amp;N</oddFooter>
  </headerFooter>
  <ignoredErrors>
    <ignoredError sqref="D20" formula="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7941D"/>
    <pageSetUpPr fitToPage="1"/>
  </sheetPr>
  <dimension ref="A1:L92"/>
  <sheetViews>
    <sheetView showGridLines="0" workbookViewId="0">
      <selection activeCell="D16" sqref="D16"/>
    </sheetView>
  </sheetViews>
  <sheetFormatPr baseColWidth="10" defaultColWidth="0" defaultRowHeight="14" zeroHeight="1"/>
  <cols>
    <col min="1" max="1" width="12.5" style="13" customWidth="1"/>
    <col min="2" max="2" width="11.33203125" style="13" customWidth="1"/>
    <col min="3" max="3" width="24.1640625" style="13" customWidth="1"/>
    <col min="4" max="4" width="13.5" style="35" customWidth="1"/>
    <col min="5" max="5" width="13.5" style="13" bestFit="1" customWidth="1"/>
    <col min="6" max="6" width="13.6640625" style="13" bestFit="1" customWidth="1"/>
    <col min="7" max="7" width="13.5" style="36" bestFit="1" customWidth="1"/>
    <col min="8" max="8" width="16.5" style="13" bestFit="1" customWidth="1"/>
    <col min="9" max="12" width="9.1640625" style="13" customWidth="1"/>
    <col min="13" max="16384" width="9.1640625" style="13" hidden="1"/>
  </cols>
  <sheetData>
    <row r="1" spans="1:10" ht="12.75" customHeight="1">
      <c r="C1" s="34" t="s">
        <v>33</v>
      </c>
      <c r="H1" s="163" t="s">
        <v>50</v>
      </c>
    </row>
    <row r="2" spans="1:10" ht="12.75" customHeight="1">
      <c r="C2" s="36" t="s">
        <v>182</v>
      </c>
      <c r="H2" s="163"/>
    </row>
    <row r="3" spans="1:10">
      <c r="C3" s="36" t="s">
        <v>34</v>
      </c>
      <c r="J3" s="69" t="s">
        <v>111</v>
      </c>
    </row>
    <row r="4" spans="1:10"/>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row>
    <row r="9" spans="1:10">
      <c r="A9" s="41" t="s">
        <v>167</v>
      </c>
      <c r="B9" s="40"/>
      <c r="C9" s="175">
        <f>'DATA SHEET'!C13</f>
        <v>8473400</v>
      </c>
      <c r="D9" s="175"/>
      <c r="E9" s="175"/>
      <c r="F9" s="175"/>
      <c r="G9" s="175"/>
      <c r="H9" s="176"/>
    </row>
    <row r="10" spans="1:10">
      <c r="A10" s="42" t="s">
        <v>31</v>
      </c>
      <c r="B10" s="43"/>
      <c r="C10" s="177" t="str">
        <f>+'DATA SHEET'!B18</f>
        <v>5% DP, 25% over 48 months, 70% Lumpsum</v>
      </c>
      <c r="D10" s="177"/>
      <c r="E10" s="177"/>
      <c r="F10" s="177"/>
      <c r="G10" s="177"/>
      <c r="H10" s="178"/>
    </row>
    <row r="11" spans="1:10"/>
    <row r="12" spans="1:10">
      <c r="A12" s="36" t="s">
        <v>46</v>
      </c>
      <c r="B12" s="36"/>
    </row>
    <row r="13" spans="1:10">
      <c r="A13" s="14" t="s">
        <v>170</v>
      </c>
      <c r="D13" s="44">
        <f>(C9-650000)</f>
        <v>7823400</v>
      </c>
      <c r="E13" s="45" t="str">
        <f>LEFT(C8,9)</f>
        <v>1-Bedroom</v>
      </c>
    </row>
    <row r="14" spans="1:10">
      <c r="A14" s="46" t="s">
        <v>52</v>
      </c>
      <c r="B14" s="47"/>
      <c r="C14" s="101">
        <v>5.0000000000000001E-3</v>
      </c>
      <c r="D14" s="48">
        <f>IF(C14&lt;=0.5%,D13*C14,"BEYOND MAX")</f>
        <v>39117</v>
      </c>
      <c r="E14" s="45"/>
    </row>
    <row r="15" spans="1:10">
      <c r="A15" s="46" t="s">
        <v>191</v>
      </c>
      <c r="B15" s="47"/>
      <c r="C15" s="101">
        <v>0.01</v>
      </c>
      <c r="D15" s="48">
        <f>IF(C15&lt;=1%,((D13-D14)*C15),"BEYOND MAX DISC.")</f>
        <v>77842.83</v>
      </c>
      <c r="E15" s="35"/>
    </row>
    <row r="16" spans="1:10">
      <c r="A16" s="46" t="s">
        <v>192</v>
      </c>
      <c r="B16" s="47"/>
      <c r="C16" s="101"/>
      <c r="D16" s="143">
        <f>VLOOKUP('DATA SHEET'!C10,'WESTCHASE PL'!$D$11:$H$33,5,0)</f>
        <v>230000</v>
      </c>
      <c r="E16" s="35"/>
    </row>
    <row r="17" spans="1:8">
      <c r="A17" s="14" t="s">
        <v>171</v>
      </c>
      <c r="B17" s="14"/>
      <c r="C17" s="14"/>
      <c r="D17" s="49">
        <f>D13-SUM(D14:D16)</f>
        <v>7476440.1699999999</v>
      </c>
      <c r="E17" s="50"/>
    </row>
    <row r="18" spans="1:8">
      <c r="A18" s="47" t="s">
        <v>109</v>
      </c>
      <c r="B18" s="47"/>
      <c r="D18" s="51">
        <v>650000</v>
      </c>
      <c r="E18" s="50"/>
    </row>
    <row r="19" spans="1:8">
      <c r="A19" s="52" t="s">
        <v>172</v>
      </c>
      <c r="B19" s="15"/>
      <c r="C19" s="15"/>
      <c r="D19" s="53">
        <f>+SUM(D17:D18)</f>
        <v>8126440.1699999999</v>
      </c>
      <c r="E19" s="50"/>
    </row>
    <row r="20" spans="1:8">
      <c r="A20" s="54" t="s">
        <v>154</v>
      </c>
      <c r="B20" s="54"/>
      <c r="C20" s="16">
        <v>0.05</v>
      </c>
      <c r="D20" s="55">
        <f>(D17/1.12)*C20</f>
        <v>333769.65044642857</v>
      </c>
      <c r="E20" s="50"/>
    </row>
    <row r="21" spans="1:8" ht="15" thickBot="1">
      <c r="A21" s="15" t="s">
        <v>47</v>
      </c>
      <c r="B21" s="15"/>
      <c r="C21" s="15"/>
      <c r="D21" s="56">
        <f>+SUM(D19:D20)</f>
        <v>8460209.8204464279</v>
      </c>
      <c r="E21" s="35"/>
    </row>
    <row r="22" spans="1:8" ht="15" thickTop="1"/>
    <row r="23" spans="1:8">
      <c r="A23" s="57" t="s">
        <v>32</v>
      </c>
      <c r="B23" s="57" t="s">
        <v>155</v>
      </c>
      <c r="C23" s="57" t="s">
        <v>2</v>
      </c>
      <c r="D23" s="57" t="s">
        <v>156</v>
      </c>
      <c r="E23" s="57" t="s">
        <v>157</v>
      </c>
      <c r="F23" s="57" t="s">
        <v>158</v>
      </c>
      <c r="G23" s="59" t="s">
        <v>159</v>
      </c>
      <c r="H23" s="57" t="s">
        <v>160</v>
      </c>
    </row>
    <row r="24" spans="1:8">
      <c r="A24" s="165" t="s">
        <v>162</v>
      </c>
      <c r="B24" s="165"/>
      <c r="C24" s="165"/>
      <c r="D24" s="165"/>
      <c r="E24" s="165"/>
      <c r="F24" s="165"/>
      <c r="G24" s="165"/>
      <c r="H24" s="60">
        <f>+D21</f>
        <v>8460209.8204464279</v>
      </c>
    </row>
    <row r="25" spans="1:8" ht="13.5" customHeight="1">
      <c r="A25" s="61">
        <v>0</v>
      </c>
      <c r="B25" s="61"/>
      <c r="C25" s="61" t="s">
        <v>36</v>
      </c>
      <c r="D25" s="62">
        <f ca="1">'DATA SHEET'!C8</f>
        <v>43973</v>
      </c>
      <c r="E25" s="63">
        <f>IF(E13="1-Bedroom",50000,100000)</f>
        <v>50000</v>
      </c>
      <c r="F25" s="63"/>
      <c r="G25" s="64">
        <f>+SUM(E25:F25)</f>
        <v>50000</v>
      </c>
      <c r="H25" s="65">
        <f>D21-G25</f>
        <v>8410209.8204464279</v>
      </c>
    </row>
    <row r="26" spans="1:8">
      <c r="A26" s="61">
        <f>+A25+1</f>
        <v>1</v>
      </c>
      <c r="B26" s="66">
        <v>0.05</v>
      </c>
      <c r="C26" s="61" t="s">
        <v>161</v>
      </c>
      <c r="D26" s="62">
        <f ca="1">EDATE(D25,1)</f>
        <v>44004</v>
      </c>
      <c r="E26" s="63">
        <f>(($D$19*5%)-$E$25)</f>
        <v>356322.0085</v>
      </c>
      <c r="F26" s="63">
        <f>(($D$20*5%))</f>
        <v>16688.482522321428</v>
      </c>
      <c r="G26" s="64">
        <f t="shared" ref="G26:G76" si="0">+SUM(E26:F26)</f>
        <v>373010.4910223214</v>
      </c>
      <c r="H26" s="65">
        <f>H25-G26</f>
        <v>8037199.3294241065</v>
      </c>
    </row>
    <row r="27" spans="1:8">
      <c r="A27" s="61"/>
      <c r="B27" s="66">
        <v>0.25</v>
      </c>
      <c r="C27" s="61" t="s">
        <v>165</v>
      </c>
      <c r="D27" s="62"/>
      <c r="E27" s="63"/>
      <c r="F27" s="63"/>
      <c r="G27" s="64"/>
      <c r="H27" s="65"/>
    </row>
    <row r="28" spans="1:8">
      <c r="A28" s="61">
        <f>+A26+1</f>
        <v>2</v>
      </c>
      <c r="B28" s="61"/>
      <c r="C28" s="61" t="s">
        <v>3</v>
      </c>
      <c r="D28" s="62">
        <f ca="1">EDATE(D26,1)</f>
        <v>44034</v>
      </c>
      <c r="E28" s="63">
        <f>($D$19*0.25)/48</f>
        <v>42325.209218750002</v>
      </c>
      <c r="F28" s="63">
        <f>($D$20*0.25/48)</f>
        <v>1738.3835960751487</v>
      </c>
      <c r="G28" s="64">
        <f t="shared" si="0"/>
        <v>44063.592814825148</v>
      </c>
      <c r="H28" s="65">
        <f>H26-G28</f>
        <v>7993135.736609281</v>
      </c>
    </row>
    <row r="29" spans="1:8">
      <c r="A29" s="61">
        <f t="shared" ref="A29:A76" si="1">+A28+1</f>
        <v>3</v>
      </c>
      <c r="B29" s="61"/>
      <c r="C29" s="61" t="s">
        <v>4</v>
      </c>
      <c r="D29" s="62">
        <f ca="1">EDATE(D28,1)</f>
        <v>44065</v>
      </c>
      <c r="E29" s="63">
        <f t="shared" ref="E29:E75" si="2">($D$19*0.25)/48</f>
        <v>42325.209218750002</v>
      </c>
      <c r="F29" s="63">
        <f t="shared" ref="F29:F75" si="3">($D$20*0.25/48)</f>
        <v>1738.3835960751487</v>
      </c>
      <c r="G29" s="64">
        <f t="shared" si="0"/>
        <v>44063.592814825148</v>
      </c>
      <c r="H29" s="65">
        <f t="shared" ref="H29:H76" si="4">H28-G29</f>
        <v>7949072.1437944556</v>
      </c>
    </row>
    <row r="30" spans="1:8">
      <c r="A30" s="61">
        <f t="shared" si="1"/>
        <v>4</v>
      </c>
      <c r="B30" s="61"/>
      <c r="C30" s="61" t="s">
        <v>5</v>
      </c>
      <c r="D30" s="62">
        <f t="shared" ref="D30:D76" ca="1" si="5">EDATE(D29,1)</f>
        <v>44096</v>
      </c>
      <c r="E30" s="63">
        <f t="shared" si="2"/>
        <v>42325.209218750002</v>
      </c>
      <c r="F30" s="63">
        <f t="shared" si="3"/>
        <v>1738.3835960751487</v>
      </c>
      <c r="G30" s="64">
        <f t="shared" si="0"/>
        <v>44063.592814825148</v>
      </c>
      <c r="H30" s="65">
        <f t="shared" si="4"/>
        <v>7905008.5509796301</v>
      </c>
    </row>
    <row r="31" spans="1:8">
      <c r="A31" s="61">
        <f t="shared" si="1"/>
        <v>5</v>
      </c>
      <c r="B31" s="61"/>
      <c r="C31" s="61" t="s">
        <v>6</v>
      </c>
      <c r="D31" s="62">
        <f t="shared" ca="1" si="5"/>
        <v>44126</v>
      </c>
      <c r="E31" s="63">
        <f t="shared" si="2"/>
        <v>42325.209218750002</v>
      </c>
      <c r="F31" s="63">
        <f t="shared" si="3"/>
        <v>1738.3835960751487</v>
      </c>
      <c r="G31" s="64">
        <f t="shared" si="0"/>
        <v>44063.592814825148</v>
      </c>
      <c r="H31" s="65">
        <f t="shared" si="4"/>
        <v>7860944.9581648046</v>
      </c>
    </row>
    <row r="32" spans="1:8">
      <c r="A32" s="61">
        <f t="shared" si="1"/>
        <v>6</v>
      </c>
      <c r="B32" s="61"/>
      <c r="C32" s="61" t="s">
        <v>7</v>
      </c>
      <c r="D32" s="62">
        <f t="shared" ca="1" si="5"/>
        <v>44157</v>
      </c>
      <c r="E32" s="63">
        <f t="shared" si="2"/>
        <v>42325.209218750002</v>
      </c>
      <c r="F32" s="63">
        <f t="shared" si="3"/>
        <v>1738.3835960751487</v>
      </c>
      <c r="G32" s="64">
        <f t="shared" si="0"/>
        <v>44063.592814825148</v>
      </c>
      <c r="H32" s="65">
        <f t="shared" si="4"/>
        <v>7816881.3653499791</v>
      </c>
    </row>
    <row r="33" spans="1:8">
      <c r="A33" s="61">
        <f t="shared" si="1"/>
        <v>7</v>
      </c>
      <c r="B33" s="61"/>
      <c r="C33" s="61" t="s">
        <v>8</v>
      </c>
      <c r="D33" s="62">
        <f t="shared" ca="1" si="5"/>
        <v>44187</v>
      </c>
      <c r="E33" s="63">
        <f t="shared" si="2"/>
        <v>42325.209218750002</v>
      </c>
      <c r="F33" s="63">
        <f t="shared" si="3"/>
        <v>1738.3835960751487</v>
      </c>
      <c r="G33" s="64">
        <f t="shared" si="0"/>
        <v>44063.592814825148</v>
      </c>
      <c r="H33" s="65">
        <f t="shared" si="4"/>
        <v>7772817.7725351537</v>
      </c>
    </row>
    <row r="34" spans="1:8">
      <c r="A34" s="61">
        <f t="shared" si="1"/>
        <v>8</v>
      </c>
      <c r="B34" s="61"/>
      <c r="C34" s="61" t="s">
        <v>9</v>
      </c>
      <c r="D34" s="62">
        <f t="shared" ca="1" si="5"/>
        <v>44218</v>
      </c>
      <c r="E34" s="63">
        <f t="shared" si="2"/>
        <v>42325.209218750002</v>
      </c>
      <c r="F34" s="63">
        <f t="shared" si="3"/>
        <v>1738.3835960751487</v>
      </c>
      <c r="G34" s="64">
        <f t="shared" si="0"/>
        <v>44063.592814825148</v>
      </c>
      <c r="H34" s="65">
        <f t="shared" si="4"/>
        <v>7728754.1797203282</v>
      </c>
    </row>
    <row r="35" spans="1:8">
      <c r="A35" s="61">
        <f t="shared" si="1"/>
        <v>9</v>
      </c>
      <c r="B35" s="61"/>
      <c r="C35" s="61" t="s">
        <v>10</v>
      </c>
      <c r="D35" s="62">
        <f t="shared" ca="1" si="5"/>
        <v>44249</v>
      </c>
      <c r="E35" s="63">
        <f t="shared" si="2"/>
        <v>42325.209218750002</v>
      </c>
      <c r="F35" s="63">
        <f t="shared" si="3"/>
        <v>1738.3835960751487</v>
      </c>
      <c r="G35" s="64">
        <f t="shared" si="0"/>
        <v>44063.592814825148</v>
      </c>
      <c r="H35" s="65">
        <f t="shared" si="4"/>
        <v>7684690.5869055027</v>
      </c>
    </row>
    <row r="36" spans="1:8">
      <c r="A36" s="61">
        <f t="shared" si="1"/>
        <v>10</v>
      </c>
      <c r="B36" s="61"/>
      <c r="C36" s="61" t="s">
        <v>11</v>
      </c>
      <c r="D36" s="62">
        <f t="shared" ca="1" si="5"/>
        <v>44277</v>
      </c>
      <c r="E36" s="63">
        <f t="shared" si="2"/>
        <v>42325.209218750002</v>
      </c>
      <c r="F36" s="63">
        <f t="shared" si="3"/>
        <v>1738.3835960751487</v>
      </c>
      <c r="G36" s="64">
        <f t="shared" si="0"/>
        <v>44063.592814825148</v>
      </c>
      <c r="H36" s="65">
        <f t="shared" si="4"/>
        <v>7640626.9940906772</v>
      </c>
    </row>
    <row r="37" spans="1:8">
      <c r="A37" s="61">
        <f t="shared" si="1"/>
        <v>11</v>
      </c>
      <c r="B37" s="61"/>
      <c r="C37" s="61" t="s">
        <v>12</v>
      </c>
      <c r="D37" s="62">
        <f t="shared" ca="1" si="5"/>
        <v>44308</v>
      </c>
      <c r="E37" s="63">
        <f t="shared" si="2"/>
        <v>42325.209218750002</v>
      </c>
      <c r="F37" s="63">
        <f t="shared" si="3"/>
        <v>1738.3835960751487</v>
      </c>
      <c r="G37" s="64">
        <f t="shared" si="0"/>
        <v>44063.592814825148</v>
      </c>
      <c r="H37" s="65">
        <f t="shared" si="4"/>
        <v>7596563.4012758518</v>
      </c>
    </row>
    <row r="38" spans="1:8">
      <c r="A38" s="61">
        <f t="shared" si="1"/>
        <v>12</v>
      </c>
      <c r="B38" s="61"/>
      <c r="C38" s="61" t="s">
        <v>13</v>
      </c>
      <c r="D38" s="62">
        <f t="shared" ca="1" si="5"/>
        <v>44338</v>
      </c>
      <c r="E38" s="63">
        <f t="shared" si="2"/>
        <v>42325.209218750002</v>
      </c>
      <c r="F38" s="63">
        <f t="shared" si="3"/>
        <v>1738.3835960751487</v>
      </c>
      <c r="G38" s="64">
        <f t="shared" si="0"/>
        <v>44063.592814825148</v>
      </c>
      <c r="H38" s="65">
        <f t="shared" si="4"/>
        <v>7552499.8084610263</v>
      </c>
    </row>
    <row r="39" spans="1:8">
      <c r="A39" s="61">
        <f t="shared" si="1"/>
        <v>13</v>
      </c>
      <c r="B39" s="61"/>
      <c r="C39" s="61" t="s">
        <v>14</v>
      </c>
      <c r="D39" s="62">
        <f t="shared" ca="1" si="5"/>
        <v>44369</v>
      </c>
      <c r="E39" s="63">
        <f t="shared" si="2"/>
        <v>42325.209218750002</v>
      </c>
      <c r="F39" s="63">
        <f t="shared" si="3"/>
        <v>1738.3835960751487</v>
      </c>
      <c r="G39" s="64">
        <f t="shared" si="0"/>
        <v>44063.592814825148</v>
      </c>
      <c r="H39" s="65">
        <f t="shared" si="4"/>
        <v>7508436.2156462008</v>
      </c>
    </row>
    <row r="40" spans="1:8">
      <c r="A40" s="61">
        <f t="shared" si="1"/>
        <v>14</v>
      </c>
      <c r="B40" s="61"/>
      <c r="C40" s="61" t="s">
        <v>18</v>
      </c>
      <c r="D40" s="62">
        <f t="shared" ca="1" si="5"/>
        <v>44399</v>
      </c>
      <c r="E40" s="63">
        <f t="shared" si="2"/>
        <v>42325.209218750002</v>
      </c>
      <c r="F40" s="63">
        <f t="shared" si="3"/>
        <v>1738.3835960751487</v>
      </c>
      <c r="G40" s="64">
        <f t="shared" si="0"/>
        <v>44063.592814825148</v>
      </c>
      <c r="H40" s="65">
        <f t="shared" si="4"/>
        <v>7464372.6228313753</v>
      </c>
    </row>
    <row r="41" spans="1:8">
      <c r="A41" s="61">
        <f t="shared" si="1"/>
        <v>15</v>
      </c>
      <c r="B41" s="61"/>
      <c r="C41" s="61" t="s">
        <v>19</v>
      </c>
      <c r="D41" s="62">
        <f t="shared" ca="1" si="5"/>
        <v>44430</v>
      </c>
      <c r="E41" s="63">
        <f t="shared" si="2"/>
        <v>42325.209218750002</v>
      </c>
      <c r="F41" s="63">
        <f t="shared" si="3"/>
        <v>1738.3835960751487</v>
      </c>
      <c r="G41" s="64">
        <f t="shared" si="0"/>
        <v>44063.592814825148</v>
      </c>
      <c r="H41" s="65">
        <f t="shared" si="4"/>
        <v>7420309.0300165499</v>
      </c>
    </row>
    <row r="42" spans="1:8">
      <c r="A42" s="61">
        <f t="shared" si="1"/>
        <v>16</v>
      </c>
      <c r="B42" s="61"/>
      <c r="C42" s="61" t="s">
        <v>20</v>
      </c>
      <c r="D42" s="62">
        <f t="shared" ca="1" si="5"/>
        <v>44461</v>
      </c>
      <c r="E42" s="63">
        <f t="shared" si="2"/>
        <v>42325.209218750002</v>
      </c>
      <c r="F42" s="63">
        <f t="shared" si="3"/>
        <v>1738.3835960751487</v>
      </c>
      <c r="G42" s="64">
        <f t="shared" si="0"/>
        <v>44063.592814825148</v>
      </c>
      <c r="H42" s="65">
        <f t="shared" si="4"/>
        <v>7376245.4372017244</v>
      </c>
    </row>
    <row r="43" spans="1:8">
      <c r="A43" s="61">
        <f t="shared" si="1"/>
        <v>17</v>
      </c>
      <c r="B43" s="61"/>
      <c r="C43" s="61" t="s">
        <v>21</v>
      </c>
      <c r="D43" s="62">
        <f t="shared" ca="1" si="5"/>
        <v>44491</v>
      </c>
      <c r="E43" s="63">
        <f t="shared" si="2"/>
        <v>42325.209218750002</v>
      </c>
      <c r="F43" s="63">
        <f t="shared" si="3"/>
        <v>1738.3835960751487</v>
      </c>
      <c r="G43" s="64">
        <f t="shared" si="0"/>
        <v>44063.592814825148</v>
      </c>
      <c r="H43" s="65">
        <f t="shared" si="4"/>
        <v>7332181.8443868989</v>
      </c>
    </row>
    <row r="44" spans="1:8">
      <c r="A44" s="61">
        <f t="shared" si="1"/>
        <v>18</v>
      </c>
      <c r="B44" s="61"/>
      <c r="C44" s="61" t="s">
        <v>22</v>
      </c>
      <c r="D44" s="62">
        <f t="shared" ca="1" si="5"/>
        <v>44522</v>
      </c>
      <c r="E44" s="63">
        <f t="shared" si="2"/>
        <v>42325.209218750002</v>
      </c>
      <c r="F44" s="63">
        <f t="shared" si="3"/>
        <v>1738.3835960751487</v>
      </c>
      <c r="G44" s="64">
        <f t="shared" si="0"/>
        <v>44063.592814825148</v>
      </c>
      <c r="H44" s="65">
        <f t="shared" si="4"/>
        <v>7288118.2515720734</v>
      </c>
    </row>
    <row r="45" spans="1:8">
      <c r="A45" s="61">
        <f t="shared" si="1"/>
        <v>19</v>
      </c>
      <c r="B45" s="61"/>
      <c r="C45" s="61" t="s">
        <v>23</v>
      </c>
      <c r="D45" s="62">
        <f t="shared" ca="1" si="5"/>
        <v>44552</v>
      </c>
      <c r="E45" s="63">
        <f t="shared" si="2"/>
        <v>42325.209218750002</v>
      </c>
      <c r="F45" s="63">
        <f t="shared" si="3"/>
        <v>1738.3835960751487</v>
      </c>
      <c r="G45" s="64">
        <f t="shared" si="0"/>
        <v>44063.592814825148</v>
      </c>
      <c r="H45" s="65">
        <f t="shared" si="4"/>
        <v>7244054.658757248</v>
      </c>
    </row>
    <row r="46" spans="1:8">
      <c r="A46" s="61">
        <f t="shared" si="1"/>
        <v>20</v>
      </c>
      <c r="B46" s="61"/>
      <c r="C46" s="61" t="s">
        <v>24</v>
      </c>
      <c r="D46" s="62">
        <f t="shared" ca="1" si="5"/>
        <v>44583</v>
      </c>
      <c r="E46" s="63">
        <f t="shared" si="2"/>
        <v>42325.209218750002</v>
      </c>
      <c r="F46" s="63">
        <f t="shared" si="3"/>
        <v>1738.3835960751487</v>
      </c>
      <c r="G46" s="64">
        <f t="shared" si="0"/>
        <v>44063.592814825148</v>
      </c>
      <c r="H46" s="65">
        <f t="shared" si="4"/>
        <v>7199991.0659424225</v>
      </c>
    </row>
    <row r="47" spans="1:8">
      <c r="A47" s="61">
        <f t="shared" si="1"/>
        <v>21</v>
      </c>
      <c r="B47" s="61"/>
      <c r="C47" s="61" t="s">
        <v>25</v>
      </c>
      <c r="D47" s="62">
        <f t="shared" ca="1" si="5"/>
        <v>44614</v>
      </c>
      <c r="E47" s="63">
        <f t="shared" si="2"/>
        <v>42325.209218750002</v>
      </c>
      <c r="F47" s="63">
        <f t="shared" si="3"/>
        <v>1738.3835960751487</v>
      </c>
      <c r="G47" s="64">
        <f t="shared" si="0"/>
        <v>44063.592814825148</v>
      </c>
      <c r="H47" s="65">
        <f t="shared" si="4"/>
        <v>7155927.473127597</v>
      </c>
    </row>
    <row r="48" spans="1:8">
      <c r="A48" s="61">
        <f t="shared" si="1"/>
        <v>22</v>
      </c>
      <c r="B48" s="61"/>
      <c r="C48" s="61" t="s">
        <v>26</v>
      </c>
      <c r="D48" s="62">
        <f t="shared" ca="1" si="5"/>
        <v>44642</v>
      </c>
      <c r="E48" s="63">
        <f t="shared" si="2"/>
        <v>42325.209218750002</v>
      </c>
      <c r="F48" s="63">
        <f t="shared" si="3"/>
        <v>1738.3835960751487</v>
      </c>
      <c r="G48" s="64">
        <f t="shared" si="0"/>
        <v>44063.592814825148</v>
      </c>
      <c r="H48" s="65">
        <f t="shared" si="4"/>
        <v>7111863.8803127715</v>
      </c>
    </row>
    <row r="49" spans="1:8">
      <c r="A49" s="61">
        <f t="shared" si="1"/>
        <v>23</v>
      </c>
      <c r="B49" s="61"/>
      <c r="C49" s="61" t="s">
        <v>27</v>
      </c>
      <c r="D49" s="62">
        <f t="shared" ca="1" si="5"/>
        <v>44673</v>
      </c>
      <c r="E49" s="63">
        <f t="shared" si="2"/>
        <v>42325.209218750002</v>
      </c>
      <c r="F49" s="63">
        <f t="shared" si="3"/>
        <v>1738.3835960751487</v>
      </c>
      <c r="G49" s="64">
        <f t="shared" si="0"/>
        <v>44063.592814825148</v>
      </c>
      <c r="H49" s="65">
        <f t="shared" si="4"/>
        <v>7067800.2874979461</v>
      </c>
    </row>
    <row r="50" spans="1:8">
      <c r="A50" s="61">
        <f t="shared" si="1"/>
        <v>24</v>
      </c>
      <c r="B50" s="61"/>
      <c r="C50" s="61" t="s">
        <v>28</v>
      </c>
      <c r="D50" s="62">
        <f t="shared" ca="1" si="5"/>
        <v>44703</v>
      </c>
      <c r="E50" s="63">
        <f t="shared" si="2"/>
        <v>42325.209218750002</v>
      </c>
      <c r="F50" s="63">
        <f t="shared" si="3"/>
        <v>1738.3835960751487</v>
      </c>
      <c r="G50" s="64">
        <f t="shared" si="0"/>
        <v>44063.592814825148</v>
      </c>
      <c r="H50" s="65">
        <f t="shared" si="4"/>
        <v>7023736.6946831206</v>
      </c>
    </row>
    <row r="51" spans="1:8">
      <c r="A51" s="61">
        <f t="shared" si="1"/>
        <v>25</v>
      </c>
      <c r="B51" s="61"/>
      <c r="C51" s="61" t="s">
        <v>29</v>
      </c>
      <c r="D51" s="62">
        <f t="shared" ca="1" si="5"/>
        <v>44734</v>
      </c>
      <c r="E51" s="63">
        <f t="shared" si="2"/>
        <v>42325.209218750002</v>
      </c>
      <c r="F51" s="63">
        <f t="shared" si="3"/>
        <v>1738.3835960751487</v>
      </c>
      <c r="G51" s="64">
        <f t="shared" si="0"/>
        <v>44063.592814825148</v>
      </c>
      <c r="H51" s="65">
        <f t="shared" si="4"/>
        <v>6979673.1018682951</v>
      </c>
    </row>
    <row r="52" spans="1:8">
      <c r="A52" s="61">
        <f t="shared" si="1"/>
        <v>26</v>
      </c>
      <c r="B52" s="61"/>
      <c r="C52" s="61" t="s">
        <v>40</v>
      </c>
      <c r="D52" s="62">
        <f t="shared" ca="1" si="5"/>
        <v>44764</v>
      </c>
      <c r="E52" s="63">
        <f t="shared" si="2"/>
        <v>42325.209218750002</v>
      </c>
      <c r="F52" s="63">
        <f t="shared" si="3"/>
        <v>1738.3835960751487</v>
      </c>
      <c r="G52" s="64">
        <f t="shared" si="0"/>
        <v>44063.592814825148</v>
      </c>
      <c r="H52" s="65">
        <f t="shared" si="4"/>
        <v>6935609.5090534696</v>
      </c>
    </row>
    <row r="53" spans="1:8">
      <c r="A53" s="61">
        <f t="shared" si="1"/>
        <v>27</v>
      </c>
      <c r="B53" s="61"/>
      <c r="C53" s="61" t="s">
        <v>41</v>
      </c>
      <c r="D53" s="62">
        <f t="shared" ca="1" si="5"/>
        <v>44795</v>
      </c>
      <c r="E53" s="63">
        <f t="shared" si="2"/>
        <v>42325.209218750002</v>
      </c>
      <c r="F53" s="63">
        <f t="shared" si="3"/>
        <v>1738.3835960751487</v>
      </c>
      <c r="G53" s="64">
        <f t="shared" si="0"/>
        <v>44063.592814825148</v>
      </c>
      <c r="H53" s="65">
        <f t="shared" si="4"/>
        <v>6891545.9162386442</v>
      </c>
    </row>
    <row r="54" spans="1:8">
      <c r="A54" s="61">
        <f t="shared" si="1"/>
        <v>28</v>
      </c>
      <c r="B54" s="61"/>
      <c r="C54" s="61" t="s">
        <v>42</v>
      </c>
      <c r="D54" s="62">
        <f t="shared" ca="1" si="5"/>
        <v>44826</v>
      </c>
      <c r="E54" s="63">
        <f t="shared" si="2"/>
        <v>42325.209218750002</v>
      </c>
      <c r="F54" s="63">
        <f t="shared" si="3"/>
        <v>1738.3835960751487</v>
      </c>
      <c r="G54" s="64">
        <f t="shared" si="0"/>
        <v>44063.592814825148</v>
      </c>
      <c r="H54" s="65">
        <f t="shared" si="4"/>
        <v>6847482.3234238187</v>
      </c>
    </row>
    <row r="55" spans="1:8">
      <c r="A55" s="61">
        <f t="shared" si="1"/>
        <v>29</v>
      </c>
      <c r="B55" s="61"/>
      <c r="C55" s="61" t="s">
        <v>43</v>
      </c>
      <c r="D55" s="62">
        <f t="shared" ca="1" si="5"/>
        <v>44856</v>
      </c>
      <c r="E55" s="63">
        <f t="shared" si="2"/>
        <v>42325.209218750002</v>
      </c>
      <c r="F55" s="63">
        <f t="shared" si="3"/>
        <v>1738.3835960751487</v>
      </c>
      <c r="G55" s="64">
        <f t="shared" si="0"/>
        <v>44063.592814825148</v>
      </c>
      <c r="H55" s="65">
        <f t="shared" si="4"/>
        <v>6803418.7306089932</v>
      </c>
    </row>
    <row r="56" spans="1:8">
      <c r="A56" s="61">
        <f t="shared" si="1"/>
        <v>30</v>
      </c>
      <c r="B56" s="61"/>
      <c r="C56" s="61" t="s">
        <v>44</v>
      </c>
      <c r="D56" s="62">
        <f t="shared" ca="1" si="5"/>
        <v>44887</v>
      </c>
      <c r="E56" s="63">
        <f t="shared" si="2"/>
        <v>42325.209218750002</v>
      </c>
      <c r="F56" s="63">
        <f t="shared" si="3"/>
        <v>1738.3835960751487</v>
      </c>
      <c r="G56" s="64">
        <f t="shared" si="0"/>
        <v>44063.592814825148</v>
      </c>
      <c r="H56" s="65">
        <f t="shared" si="4"/>
        <v>6759355.1377941677</v>
      </c>
    </row>
    <row r="57" spans="1:8">
      <c r="A57" s="61">
        <f t="shared" si="1"/>
        <v>31</v>
      </c>
      <c r="B57" s="61"/>
      <c r="C57" s="61" t="s">
        <v>45</v>
      </c>
      <c r="D57" s="62">
        <f t="shared" ca="1" si="5"/>
        <v>44917</v>
      </c>
      <c r="E57" s="63">
        <f t="shared" si="2"/>
        <v>42325.209218750002</v>
      </c>
      <c r="F57" s="63">
        <f t="shared" si="3"/>
        <v>1738.3835960751487</v>
      </c>
      <c r="G57" s="64">
        <f t="shared" si="0"/>
        <v>44063.592814825148</v>
      </c>
      <c r="H57" s="65">
        <f t="shared" si="4"/>
        <v>6715291.5449793423</v>
      </c>
    </row>
    <row r="58" spans="1:8">
      <c r="A58" s="61">
        <f t="shared" si="1"/>
        <v>32</v>
      </c>
      <c r="B58" s="61"/>
      <c r="C58" s="61" t="s">
        <v>59</v>
      </c>
      <c r="D58" s="62">
        <f t="shared" ca="1" si="5"/>
        <v>44948</v>
      </c>
      <c r="E58" s="63">
        <f t="shared" si="2"/>
        <v>42325.209218750002</v>
      </c>
      <c r="F58" s="63">
        <f t="shared" si="3"/>
        <v>1738.3835960751487</v>
      </c>
      <c r="G58" s="64">
        <f t="shared" si="0"/>
        <v>44063.592814825148</v>
      </c>
      <c r="H58" s="65">
        <f t="shared" si="4"/>
        <v>6671227.9521645168</v>
      </c>
    </row>
    <row r="59" spans="1:8">
      <c r="A59" s="61">
        <f t="shared" si="1"/>
        <v>33</v>
      </c>
      <c r="B59" s="61"/>
      <c r="C59" s="61" t="s">
        <v>60</v>
      </c>
      <c r="D59" s="62">
        <f t="shared" ca="1" si="5"/>
        <v>44979</v>
      </c>
      <c r="E59" s="63">
        <f t="shared" si="2"/>
        <v>42325.209218750002</v>
      </c>
      <c r="F59" s="63">
        <f t="shared" si="3"/>
        <v>1738.3835960751487</v>
      </c>
      <c r="G59" s="64">
        <f t="shared" si="0"/>
        <v>44063.592814825148</v>
      </c>
      <c r="H59" s="65">
        <f t="shared" si="4"/>
        <v>6627164.3593496913</v>
      </c>
    </row>
    <row r="60" spans="1:8">
      <c r="A60" s="61">
        <f t="shared" si="1"/>
        <v>34</v>
      </c>
      <c r="B60" s="61"/>
      <c r="C60" s="61" t="s">
        <v>61</v>
      </c>
      <c r="D60" s="62">
        <f t="shared" ca="1" si="5"/>
        <v>45007</v>
      </c>
      <c r="E60" s="63">
        <f t="shared" si="2"/>
        <v>42325.209218750002</v>
      </c>
      <c r="F60" s="63">
        <f t="shared" si="3"/>
        <v>1738.3835960751487</v>
      </c>
      <c r="G60" s="64">
        <f t="shared" si="0"/>
        <v>44063.592814825148</v>
      </c>
      <c r="H60" s="65">
        <f t="shared" si="4"/>
        <v>6583100.7665348658</v>
      </c>
    </row>
    <row r="61" spans="1:8">
      <c r="A61" s="61">
        <f t="shared" si="1"/>
        <v>35</v>
      </c>
      <c r="B61" s="61"/>
      <c r="C61" s="61" t="s">
        <v>62</v>
      </c>
      <c r="D61" s="62">
        <f t="shared" ca="1" si="5"/>
        <v>45038</v>
      </c>
      <c r="E61" s="63">
        <f t="shared" si="2"/>
        <v>42325.209218750002</v>
      </c>
      <c r="F61" s="63">
        <f t="shared" si="3"/>
        <v>1738.3835960751487</v>
      </c>
      <c r="G61" s="64">
        <f t="shared" si="0"/>
        <v>44063.592814825148</v>
      </c>
      <c r="H61" s="65">
        <f t="shared" si="4"/>
        <v>6539037.1737200404</v>
      </c>
    </row>
    <row r="62" spans="1:8">
      <c r="A62" s="61">
        <f t="shared" si="1"/>
        <v>36</v>
      </c>
      <c r="B62" s="61"/>
      <c r="C62" s="61" t="s">
        <v>63</v>
      </c>
      <c r="D62" s="62">
        <f t="shared" ca="1" si="5"/>
        <v>45068</v>
      </c>
      <c r="E62" s="63">
        <f t="shared" si="2"/>
        <v>42325.209218750002</v>
      </c>
      <c r="F62" s="63">
        <f t="shared" si="3"/>
        <v>1738.3835960751487</v>
      </c>
      <c r="G62" s="64">
        <f t="shared" si="0"/>
        <v>44063.592814825148</v>
      </c>
      <c r="H62" s="65">
        <f t="shared" si="4"/>
        <v>6494973.5809052149</v>
      </c>
    </row>
    <row r="63" spans="1:8">
      <c r="A63" s="61">
        <f t="shared" si="1"/>
        <v>37</v>
      </c>
      <c r="B63" s="61"/>
      <c r="C63" s="61" t="s">
        <v>64</v>
      </c>
      <c r="D63" s="62">
        <f t="shared" ca="1" si="5"/>
        <v>45099</v>
      </c>
      <c r="E63" s="63">
        <f t="shared" si="2"/>
        <v>42325.209218750002</v>
      </c>
      <c r="F63" s="63">
        <f t="shared" si="3"/>
        <v>1738.3835960751487</v>
      </c>
      <c r="G63" s="64">
        <f t="shared" si="0"/>
        <v>44063.592814825148</v>
      </c>
      <c r="H63" s="65">
        <f t="shared" si="4"/>
        <v>6450909.9880903894</v>
      </c>
    </row>
    <row r="64" spans="1:8">
      <c r="A64" s="61">
        <f t="shared" si="1"/>
        <v>38</v>
      </c>
      <c r="B64" s="61"/>
      <c r="C64" s="61" t="s">
        <v>65</v>
      </c>
      <c r="D64" s="62">
        <f t="shared" ca="1" si="5"/>
        <v>45129</v>
      </c>
      <c r="E64" s="63">
        <f t="shared" si="2"/>
        <v>42325.209218750002</v>
      </c>
      <c r="F64" s="63">
        <f t="shared" si="3"/>
        <v>1738.3835960751487</v>
      </c>
      <c r="G64" s="64">
        <f t="shared" si="0"/>
        <v>44063.592814825148</v>
      </c>
      <c r="H64" s="65">
        <f t="shared" si="4"/>
        <v>6406846.3952755639</v>
      </c>
    </row>
    <row r="65" spans="1:8">
      <c r="A65" s="61">
        <f t="shared" si="1"/>
        <v>39</v>
      </c>
      <c r="B65" s="61"/>
      <c r="C65" s="61" t="s">
        <v>66</v>
      </c>
      <c r="D65" s="62">
        <f t="shared" ca="1" si="5"/>
        <v>45160</v>
      </c>
      <c r="E65" s="63">
        <f t="shared" si="2"/>
        <v>42325.209218750002</v>
      </c>
      <c r="F65" s="63">
        <f t="shared" si="3"/>
        <v>1738.3835960751487</v>
      </c>
      <c r="G65" s="64">
        <f t="shared" si="0"/>
        <v>44063.592814825148</v>
      </c>
      <c r="H65" s="65">
        <f t="shared" si="4"/>
        <v>6362782.8024607385</v>
      </c>
    </row>
    <row r="66" spans="1:8">
      <c r="A66" s="61">
        <f t="shared" si="1"/>
        <v>40</v>
      </c>
      <c r="B66" s="61"/>
      <c r="C66" s="61" t="s">
        <v>67</v>
      </c>
      <c r="D66" s="62">
        <f t="shared" ca="1" si="5"/>
        <v>45191</v>
      </c>
      <c r="E66" s="63">
        <f t="shared" si="2"/>
        <v>42325.209218750002</v>
      </c>
      <c r="F66" s="63">
        <f t="shared" si="3"/>
        <v>1738.3835960751487</v>
      </c>
      <c r="G66" s="64">
        <f t="shared" si="0"/>
        <v>44063.592814825148</v>
      </c>
      <c r="H66" s="65">
        <f t="shared" si="4"/>
        <v>6318719.209645913</v>
      </c>
    </row>
    <row r="67" spans="1:8">
      <c r="A67" s="61">
        <f t="shared" si="1"/>
        <v>41</v>
      </c>
      <c r="B67" s="61"/>
      <c r="C67" s="61" t="s">
        <v>68</v>
      </c>
      <c r="D67" s="62">
        <f t="shared" ca="1" si="5"/>
        <v>45221</v>
      </c>
      <c r="E67" s="63">
        <f t="shared" si="2"/>
        <v>42325.209218750002</v>
      </c>
      <c r="F67" s="63">
        <f t="shared" si="3"/>
        <v>1738.3835960751487</v>
      </c>
      <c r="G67" s="64">
        <f t="shared" si="0"/>
        <v>44063.592814825148</v>
      </c>
      <c r="H67" s="65">
        <f t="shared" si="4"/>
        <v>6274655.6168310875</v>
      </c>
    </row>
    <row r="68" spans="1:8">
      <c r="A68" s="61">
        <f t="shared" si="1"/>
        <v>42</v>
      </c>
      <c r="B68" s="61"/>
      <c r="C68" s="61" t="s">
        <v>69</v>
      </c>
      <c r="D68" s="62">
        <f t="shared" ca="1" si="5"/>
        <v>45252</v>
      </c>
      <c r="E68" s="63">
        <f t="shared" si="2"/>
        <v>42325.209218750002</v>
      </c>
      <c r="F68" s="63">
        <f t="shared" si="3"/>
        <v>1738.3835960751487</v>
      </c>
      <c r="G68" s="64">
        <f t="shared" si="0"/>
        <v>44063.592814825148</v>
      </c>
      <c r="H68" s="65">
        <f t="shared" si="4"/>
        <v>6230592.024016262</v>
      </c>
    </row>
    <row r="69" spans="1:8">
      <c r="A69" s="61">
        <f t="shared" si="1"/>
        <v>43</v>
      </c>
      <c r="B69" s="61"/>
      <c r="C69" s="61" t="s">
        <v>70</v>
      </c>
      <c r="D69" s="62">
        <f t="shared" ca="1" si="5"/>
        <v>45282</v>
      </c>
      <c r="E69" s="63">
        <f t="shared" si="2"/>
        <v>42325.209218750002</v>
      </c>
      <c r="F69" s="63">
        <f t="shared" si="3"/>
        <v>1738.3835960751487</v>
      </c>
      <c r="G69" s="64">
        <f t="shared" si="0"/>
        <v>44063.592814825148</v>
      </c>
      <c r="H69" s="65">
        <f t="shared" si="4"/>
        <v>6186528.4312014366</v>
      </c>
    </row>
    <row r="70" spans="1:8">
      <c r="A70" s="61">
        <f t="shared" si="1"/>
        <v>44</v>
      </c>
      <c r="B70" s="61"/>
      <c r="C70" s="61" t="s">
        <v>71</v>
      </c>
      <c r="D70" s="62">
        <f t="shared" ca="1" si="5"/>
        <v>45313</v>
      </c>
      <c r="E70" s="63">
        <f t="shared" si="2"/>
        <v>42325.209218750002</v>
      </c>
      <c r="F70" s="63">
        <f t="shared" si="3"/>
        <v>1738.3835960751487</v>
      </c>
      <c r="G70" s="64">
        <f t="shared" si="0"/>
        <v>44063.592814825148</v>
      </c>
      <c r="H70" s="65">
        <f t="shared" si="4"/>
        <v>6142464.8383866111</v>
      </c>
    </row>
    <row r="71" spans="1:8">
      <c r="A71" s="61">
        <f t="shared" si="1"/>
        <v>45</v>
      </c>
      <c r="B71" s="61"/>
      <c r="C71" s="61" t="s">
        <v>72</v>
      </c>
      <c r="D71" s="62">
        <f t="shared" ca="1" si="5"/>
        <v>45344</v>
      </c>
      <c r="E71" s="63">
        <f t="shared" si="2"/>
        <v>42325.209218750002</v>
      </c>
      <c r="F71" s="63">
        <f t="shared" si="3"/>
        <v>1738.3835960751487</v>
      </c>
      <c r="G71" s="64">
        <f t="shared" si="0"/>
        <v>44063.592814825148</v>
      </c>
      <c r="H71" s="65">
        <f t="shared" si="4"/>
        <v>6098401.2455717856</v>
      </c>
    </row>
    <row r="72" spans="1:8">
      <c r="A72" s="61">
        <f t="shared" si="1"/>
        <v>46</v>
      </c>
      <c r="B72" s="61"/>
      <c r="C72" s="61" t="s">
        <v>73</v>
      </c>
      <c r="D72" s="62">
        <f t="shared" ca="1" si="5"/>
        <v>45373</v>
      </c>
      <c r="E72" s="63">
        <f t="shared" si="2"/>
        <v>42325.209218750002</v>
      </c>
      <c r="F72" s="63">
        <f t="shared" si="3"/>
        <v>1738.3835960751487</v>
      </c>
      <c r="G72" s="64">
        <f t="shared" si="0"/>
        <v>44063.592814825148</v>
      </c>
      <c r="H72" s="65">
        <f t="shared" si="4"/>
        <v>6054337.6527569601</v>
      </c>
    </row>
    <row r="73" spans="1:8">
      <c r="A73" s="61">
        <f t="shared" si="1"/>
        <v>47</v>
      </c>
      <c r="B73" s="61"/>
      <c r="C73" s="61" t="s">
        <v>74</v>
      </c>
      <c r="D73" s="62">
        <f t="shared" ca="1" si="5"/>
        <v>45404</v>
      </c>
      <c r="E73" s="63">
        <f t="shared" si="2"/>
        <v>42325.209218750002</v>
      </c>
      <c r="F73" s="63">
        <f t="shared" si="3"/>
        <v>1738.3835960751487</v>
      </c>
      <c r="G73" s="64">
        <f t="shared" si="0"/>
        <v>44063.592814825148</v>
      </c>
      <c r="H73" s="65">
        <f t="shared" si="4"/>
        <v>6010274.0599421347</v>
      </c>
    </row>
    <row r="74" spans="1:8">
      <c r="A74" s="61">
        <f t="shared" si="1"/>
        <v>48</v>
      </c>
      <c r="B74" s="61"/>
      <c r="C74" s="61" t="s">
        <v>75</v>
      </c>
      <c r="D74" s="62">
        <f t="shared" ca="1" si="5"/>
        <v>45434</v>
      </c>
      <c r="E74" s="63">
        <f t="shared" si="2"/>
        <v>42325.209218750002</v>
      </c>
      <c r="F74" s="63">
        <f t="shared" si="3"/>
        <v>1738.3835960751487</v>
      </c>
      <c r="G74" s="64">
        <f t="shared" si="0"/>
        <v>44063.592814825148</v>
      </c>
      <c r="H74" s="65">
        <f t="shared" si="4"/>
        <v>5966210.4671273092</v>
      </c>
    </row>
    <row r="75" spans="1:8">
      <c r="A75" s="61">
        <f t="shared" si="1"/>
        <v>49</v>
      </c>
      <c r="B75" s="61"/>
      <c r="C75" s="61" t="s">
        <v>76</v>
      </c>
      <c r="D75" s="62">
        <f t="shared" ca="1" si="5"/>
        <v>45465</v>
      </c>
      <c r="E75" s="63">
        <f t="shared" si="2"/>
        <v>42325.209218750002</v>
      </c>
      <c r="F75" s="63">
        <f t="shared" si="3"/>
        <v>1738.3835960751487</v>
      </c>
      <c r="G75" s="64">
        <f t="shared" si="0"/>
        <v>44063.592814825148</v>
      </c>
      <c r="H75" s="65">
        <f t="shared" si="4"/>
        <v>5922146.8743124837</v>
      </c>
    </row>
    <row r="76" spans="1:8">
      <c r="A76" s="61">
        <f t="shared" si="1"/>
        <v>50</v>
      </c>
      <c r="B76" s="66">
        <v>0.7</v>
      </c>
      <c r="C76" s="61" t="s">
        <v>105</v>
      </c>
      <c r="D76" s="62">
        <f t="shared" ca="1" si="5"/>
        <v>45495</v>
      </c>
      <c r="E76" s="63">
        <f>$D$19*70%</f>
        <v>5688508.1189999999</v>
      </c>
      <c r="F76" s="63">
        <f>$D$20*70%</f>
        <v>233638.75531249997</v>
      </c>
      <c r="G76" s="64">
        <f t="shared" si="0"/>
        <v>5922146.8743124995</v>
      </c>
      <c r="H76" s="65">
        <f t="shared" si="4"/>
        <v>-1.5832483768463135E-8</v>
      </c>
    </row>
    <row r="77" spans="1:8">
      <c r="A77" s="166" t="s">
        <v>15</v>
      </c>
      <c r="B77" s="166"/>
      <c r="C77" s="166"/>
      <c r="D77" s="166"/>
      <c r="E77" s="67">
        <f>SUM(E25:E76)</f>
        <v>8126440.1699999981</v>
      </c>
      <c r="F77" s="67">
        <f t="shared" ref="F77:G77" si="6">SUM(F25:F76)</f>
        <v>333769.65044642845</v>
      </c>
      <c r="G77" s="67">
        <f t="shared" si="6"/>
        <v>8460209.8204464279</v>
      </c>
      <c r="H77" s="68"/>
    </row>
    <row r="78" spans="1:8" s="14" customFormat="1">
      <c r="C78" s="28"/>
      <c r="D78" s="29"/>
      <c r="E78" s="30"/>
      <c r="F78" s="30"/>
      <c r="G78" s="30"/>
    </row>
    <row r="79" spans="1:8" s="14" customFormat="1">
      <c r="A79" s="162" t="s">
        <v>136</v>
      </c>
      <c r="B79" s="162"/>
      <c r="C79" s="162"/>
      <c r="D79" s="162"/>
      <c r="E79" s="162"/>
      <c r="F79" s="162"/>
      <c r="G79" s="162"/>
      <c r="H79" s="162"/>
    </row>
    <row r="80" spans="1:8" s="14" customFormat="1" ht="29.25" customHeight="1">
      <c r="A80" s="164" t="s">
        <v>175</v>
      </c>
      <c r="B80" s="164"/>
      <c r="C80" s="164"/>
      <c r="D80" s="164"/>
      <c r="E80" s="164"/>
      <c r="F80" s="164"/>
      <c r="G80" s="164"/>
      <c r="H80" s="164"/>
    </row>
    <row r="81" spans="1:8" s="14" customFormat="1" ht="16.5" customHeight="1">
      <c r="A81" s="162" t="s">
        <v>176</v>
      </c>
      <c r="B81" s="162"/>
      <c r="C81" s="162"/>
      <c r="D81" s="162"/>
      <c r="E81" s="162"/>
      <c r="F81" s="162"/>
      <c r="G81" s="162"/>
      <c r="H81" s="162"/>
    </row>
    <row r="82" spans="1:8" s="14" customFormat="1" ht="16.5" customHeight="1">
      <c r="A82" s="162" t="s">
        <v>177</v>
      </c>
      <c r="B82" s="162"/>
      <c r="C82" s="162"/>
      <c r="D82" s="162"/>
      <c r="E82" s="162"/>
      <c r="F82" s="162"/>
      <c r="G82" s="162"/>
      <c r="H82" s="162"/>
    </row>
    <row r="83" spans="1:8" s="14" customFormat="1" ht="16.5" customHeight="1">
      <c r="A83" s="162" t="s">
        <v>178</v>
      </c>
      <c r="B83" s="162"/>
      <c r="C83" s="162"/>
      <c r="D83" s="162"/>
      <c r="E83" s="162"/>
      <c r="F83" s="162"/>
      <c r="G83" s="162"/>
      <c r="H83" s="162"/>
    </row>
    <row r="84" spans="1:8" s="14" customFormat="1" ht="107.25" customHeight="1">
      <c r="A84" s="162" t="s">
        <v>179</v>
      </c>
      <c r="B84" s="162"/>
      <c r="C84" s="162"/>
      <c r="D84" s="162"/>
      <c r="E84" s="162"/>
      <c r="F84" s="162"/>
      <c r="G84" s="162"/>
      <c r="H84" s="162"/>
    </row>
    <row r="85" spans="1:8" s="14" customFormat="1" ht="42" customHeight="1">
      <c r="A85" s="162" t="s">
        <v>180</v>
      </c>
      <c r="B85" s="162"/>
      <c r="C85" s="162"/>
      <c r="D85" s="162"/>
      <c r="E85" s="162"/>
      <c r="F85" s="162"/>
      <c r="G85" s="162"/>
      <c r="H85" s="162"/>
    </row>
    <row r="86" spans="1:8" s="14" customFormat="1" ht="17.25" customHeight="1">
      <c r="A86" s="162" t="s">
        <v>181</v>
      </c>
      <c r="B86" s="162"/>
      <c r="C86" s="162"/>
      <c r="D86" s="162"/>
      <c r="E86" s="162"/>
      <c r="F86" s="162"/>
      <c r="G86" s="162"/>
      <c r="H86" s="162"/>
    </row>
    <row r="87" spans="1:8" s="14" customFormat="1">
      <c r="A87" s="162"/>
      <c r="B87" s="162"/>
      <c r="C87" s="162"/>
      <c r="D87" s="162"/>
      <c r="E87" s="162"/>
      <c r="F87" s="162"/>
      <c r="G87" s="162"/>
      <c r="H87" s="162"/>
    </row>
    <row r="88" spans="1:8" s="14" customFormat="1">
      <c r="A88" s="14" t="s">
        <v>16</v>
      </c>
      <c r="D88" s="31"/>
      <c r="G88" s="15"/>
    </row>
    <row r="89" spans="1:8" s="14" customFormat="1">
      <c r="D89" s="31"/>
      <c r="G89" s="15"/>
    </row>
    <row r="90" spans="1:8" s="14" customFormat="1" ht="15" customHeight="1">
      <c r="A90" s="32"/>
      <c r="B90" s="32"/>
      <c r="C90" s="32"/>
      <c r="D90" s="31"/>
      <c r="E90" s="32"/>
      <c r="F90" s="32"/>
      <c r="G90" s="33"/>
    </row>
    <row r="91" spans="1:8" s="14" customFormat="1">
      <c r="A91" s="179" t="s">
        <v>163</v>
      </c>
      <c r="B91" s="179"/>
      <c r="C91" s="179"/>
      <c r="D91" s="31"/>
      <c r="E91" s="179" t="s">
        <v>17</v>
      </c>
      <c r="F91" s="179"/>
      <c r="G91" s="179"/>
    </row>
    <row r="92" spans="1:8" s="14" customFormat="1">
      <c r="D92" s="31"/>
      <c r="G92" s="15"/>
    </row>
  </sheetData>
  <sheetProtection password="CAF1" sheet="1" objects="1" scenarios="1" selectLockedCells="1"/>
  <mergeCells count="20">
    <mergeCell ref="A85:H85"/>
    <mergeCell ref="A86:H86"/>
    <mergeCell ref="A87:H87"/>
    <mergeCell ref="A91:C91"/>
    <mergeCell ref="E91:G91"/>
    <mergeCell ref="A83:H83"/>
    <mergeCell ref="A84:H84"/>
    <mergeCell ref="H1:H2"/>
    <mergeCell ref="C5:H5"/>
    <mergeCell ref="C6:H6"/>
    <mergeCell ref="C7:H7"/>
    <mergeCell ref="C8:H8"/>
    <mergeCell ref="C9:H9"/>
    <mergeCell ref="A79:H79"/>
    <mergeCell ref="A80:H80"/>
    <mergeCell ref="A81:H81"/>
    <mergeCell ref="A82:H82"/>
    <mergeCell ref="C10:H10"/>
    <mergeCell ref="A24:G24"/>
    <mergeCell ref="A77:D77"/>
  </mergeCells>
  <hyperlinks>
    <hyperlink ref="J3" location="'DATA SHEET'!A1" display="Return to Data Sheet" xr:uid="{00000000-0004-0000-0300-000000000000}"/>
    <hyperlink ref="C1" location="'DATA SHEET'!A1" display="HIGHLANDS PRIME, INC." xr:uid="{00000000-0004-0000-0300-000001000000}"/>
  </hyperlinks>
  <printOptions horizontalCentered="1"/>
  <pageMargins left="0.70866141732283472" right="0.70866141732283472" top="0.74803149606299213" bottom="0.51181102362204722" header="0.31496062992125984" footer="0.31496062992125984"/>
  <pageSetup scale="61" orientation="portrait" r:id="rId1"/>
  <headerFooter>
    <oddFooter>&amp;L&amp;8A project of HIGHLANDS PRIME, INC. Horizon Terraces HLURB License To Sell No. 032272&amp;R&amp;8Page &amp;P of &amp;N</oddFooter>
  </headerFooter>
  <ignoredErrors>
    <ignoredError sqref="D20" formula="1"/>
    <ignoredError sqref="D16" unlockedFormula="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rgb="FFF7941D"/>
    <pageSetUpPr fitToPage="1"/>
  </sheetPr>
  <dimension ref="A1:L101"/>
  <sheetViews>
    <sheetView showGridLines="0" topLeftCell="A9" workbookViewId="0">
      <selection activeCell="D15" sqref="D15"/>
    </sheetView>
  </sheetViews>
  <sheetFormatPr baseColWidth="10" defaultColWidth="0" defaultRowHeight="15" zeroHeight="1"/>
  <cols>
    <col min="1" max="1" width="12.6640625" style="13" customWidth="1"/>
    <col min="2" max="2" width="11.5" style="13" customWidth="1"/>
    <col min="3" max="3" width="23.5" style="13" customWidth="1"/>
    <col min="4" max="4" width="13.5" style="35" bestFit="1" customWidth="1"/>
    <col min="5" max="5" width="14" style="13" customWidth="1"/>
    <col min="6" max="6" width="14.83203125" style="13" bestFit="1" customWidth="1"/>
    <col min="7" max="7" width="13.5" style="36" bestFit="1" customWidth="1"/>
    <col min="8" max="8" width="16.5" style="13" bestFit="1" customWidth="1"/>
    <col min="9" max="9" width="9.1640625" style="13" customWidth="1"/>
    <col min="10" max="12" width="9.1640625" style="70" customWidth="1"/>
    <col min="13" max="16384" width="9.1640625" style="70" hidden="1"/>
  </cols>
  <sheetData>
    <row r="1" spans="1:10">
      <c r="C1" s="34" t="s">
        <v>33</v>
      </c>
      <c r="H1" s="163" t="s">
        <v>50</v>
      </c>
    </row>
    <row r="2" spans="1:10">
      <c r="C2" s="36" t="s">
        <v>182</v>
      </c>
      <c r="H2" s="163"/>
    </row>
    <row r="3" spans="1:10">
      <c r="C3" s="36" t="s">
        <v>34</v>
      </c>
      <c r="J3" s="69" t="s">
        <v>111</v>
      </c>
    </row>
    <row r="4" spans="1:10"/>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row>
    <row r="9" spans="1:10">
      <c r="A9" s="41" t="s">
        <v>167</v>
      </c>
      <c r="B9" s="40"/>
      <c r="C9" s="175">
        <f>'DATA SHEET'!C13</f>
        <v>8473400</v>
      </c>
      <c r="D9" s="175"/>
      <c r="E9" s="175"/>
      <c r="F9" s="175"/>
      <c r="G9" s="175"/>
      <c r="H9" s="176"/>
    </row>
    <row r="10" spans="1:10">
      <c r="A10" s="42" t="s">
        <v>31</v>
      </c>
      <c r="B10" s="43"/>
      <c r="C10" s="177" t="str">
        <f>'DATA SHEET'!B19</f>
        <v>100% over 60 months</v>
      </c>
      <c r="D10" s="177"/>
      <c r="E10" s="177"/>
      <c r="F10" s="177"/>
      <c r="G10" s="177"/>
      <c r="H10" s="178"/>
    </row>
    <row r="11" spans="1:10"/>
    <row r="12" spans="1:10">
      <c r="A12" s="36" t="s">
        <v>46</v>
      </c>
      <c r="B12" s="36"/>
    </row>
    <row r="13" spans="1:10" s="13" customFormat="1" ht="14">
      <c r="A13" s="14" t="s">
        <v>170</v>
      </c>
      <c r="D13" s="44">
        <f>(C9-650000)</f>
        <v>7823400</v>
      </c>
      <c r="E13" s="45" t="str">
        <f>LEFT(C8,9)</f>
        <v>1-Bedroom</v>
      </c>
      <c r="G13" s="36"/>
    </row>
    <row r="14" spans="1:10" s="13" customFormat="1" ht="14">
      <c r="A14" s="46" t="s">
        <v>191</v>
      </c>
      <c r="B14" s="47"/>
      <c r="C14" s="101">
        <v>0.01</v>
      </c>
      <c r="D14" s="48">
        <f>IF(C14&lt;=1%,(D13*C14),"BEYOND MAX DISC.")</f>
        <v>78234</v>
      </c>
      <c r="E14" s="35"/>
      <c r="G14" s="36"/>
    </row>
    <row r="15" spans="1:10" s="13" customFormat="1" ht="14">
      <c r="A15" s="46" t="s">
        <v>192</v>
      </c>
      <c r="B15" s="47"/>
      <c r="C15" s="101"/>
      <c r="D15" s="143">
        <f>VLOOKUP('DATA SHEET'!C10,'WESTCHASE PL'!$D$11:$H$33,5,0)</f>
        <v>230000</v>
      </c>
      <c r="E15" s="35"/>
      <c r="G15" s="36"/>
    </row>
    <row r="16" spans="1:10" s="13" customFormat="1" ht="14">
      <c r="A16" s="14" t="s">
        <v>171</v>
      </c>
      <c r="B16" s="14"/>
      <c r="C16" s="14"/>
      <c r="D16" s="49">
        <f>D13-SUM(D14:D15)</f>
        <v>7515166</v>
      </c>
      <c r="E16" s="50"/>
      <c r="G16" s="36"/>
    </row>
    <row r="17" spans="1:8" s="13" customFormat="1" ht="14">
      <c r="A17" s="47" t="s">
        <v>109</v>
      </c>
      <c r="B17" s="47"/>
      <c r="D17" s="51">
        <v>650000</v>
      </c>
      <c r="E17" s="50"/>
      <c r="G17" s="36"/>
    </row>
    <row r="18" spans="1:8" s="13" customFormat="1" ht="14">
      <c r="A18" s="52" t="s">
        <v>172</v>
      </c>
      <c r="B18" s="15"/>
      <c r="C18" s="15"/>
      <c r="D18" s="53">
        <f>+SUM(D16:D17)</f>
        <v>8165166</v>
      </c>
      <c r="E18" s="50"/>
      <c r="G18" s="36"/>
    </row>
    <row r="19" spans="1:8" s="13" customFormat="1" ht="14">
      <c r="A19" s="54" t="s">
        <v>154</v>
      </c>
      <c r="B19" s="54"/>
      <c r="C19" s="16">
        <v>0.05</v>
      </c>
      <c r="D19" s="55">
        <f>(D16/1.12)*C19</f>
        <v>335498.4821428571</v>
      </c>
      <c r="E19" s="50"/>
      <c r="G19" s="36"/>
    </row>
    <row r="20" spans="1:8" s="13" customFormat="1" thickBot="1">
      <c r="A20" s="15" t="s">
        <v>47</v>
      </c>
      <c r="B20" s="15"/>
      <c r="C20" s="15"/>
      <c r="D20" s="56">
        <f>+SUM(D18:D19)</f>
        <v>8500664.4821428563</v>
      </c>
      <c r="E20" s="35"/>
      <c r="G20" s="36"/>
    </row>
    <row r="21" spans="1:8" ht="16" thickTop="1"/>
    <row r="22" spans="1:8">
      <c r="A22" s="57" t="s">
        <v>32</v>
      </c>
      <c r="B22" s="57" t="s">
        <v>155</v>
      </c>
      <c r="C22" s="57" t="s">
        <v>2</v>
      </c>
      <c r="D22" s="57" t="s">
        <v>156</v>
      </c>
      <c r="E22" s="57" t="s">
        <v>157</v>
      </c>
      <c r="F22" s="58" t="s">
        <v>158</v>
      </c>
      <c r="G22" s="59" t="s">
        <v>159</v>
      </c>
      <c r="H22" s="57" t="s">
        <v>160</v>
      </c>
    </row>
    <row r="23" spans="1:8" s="13" customFormat="1" ht="14">
      <c r="A23" s="165" t="s">
        <v>162</v>
      </c>
      <c r="B23" s="165"/>
      <c r="C23" s="165"/>
      <c r="D23" s="165"/>
      <c r="E23" s="165"/>
      <c r="F23" s="165"/>
      <c r="G23" s="165"/>
      <c r="H23" s="60">
        <f>+D20</f>
        <v>8500664.4821428563</v>
      </c>
    </row>
    <row r="24" spans="1:8">
      <c r="A24" s="61">
        <v>0</v>
      </c>
      <c r="B24" s="61"/>
      <c r="C24" s="61" t="s">
        <v>36</v>
      </c>
      <c r="D24" s="62">
        <f ca="1">'DATA SHEET'!C8</f>
        <v>43973</v>
      </c>
      <c r="E24" s="63">
        <f>IF(E13="1-Bedroom",50000,100000)</f>
        <v>50000</v>
      </c>
      <c r="F24" s="63"/>
      <c r="G24" s="64">
        <f>+SUM(E24:F24)</f>
        <v>50000</v>
      </c>
      <c r="H24" s="65">
        <f>D20-G24</f>
        <v>8450664.4821428563</v>
      </c>
    </row>
    <row r="25" spans="1:8">
      <c r="A25" s="61"/>
      <c r="B25" s="66">
        <v>1</v>
      </c>
      <c r="C25" s="61" t="s">
        <v>164</v>
      </c>
      <c r="D25" s="62"/>
      <c r="E25" s="63"/>
      <c r="F25" s="63"/>
      <c r="G25" s="64"/>
      <c r="H25" s="65"/>
    </row>
    <row r="26" spans="1:8">
      <c r="A26" s="61">
        <v>1</v>
      </c>
      <c r="B26" s="61"/>
      <c r="C26" s="61" t="s">
        <v>3</v>
      </c>
      <c r="D26" s="62">
        <f ca="1">EDATE(D24,1)</f>
        <v>44004</v>
      </c>
      <c r="E26" s="63">
        <f t="shared" ref="E26:E57" si="0">($D$18-$E$24)/60</f>
        <v>135252.76666666666</v>
      </c>
      <c r="F26" s="63">
        <f>($D$19)/60</f>
        <v>5591.6413690476184</v>
      </c>
      <c r="G26" s="64">
        <f>+SUM(E26:F26)</f>
        <v>140844.4080357143</v>
      </c>
      <c r="H26" s="65">
        <f>H24-G26</f>
        <v>8309820.0741071422</v>
      </c>
    </row>
    <row r="27" spans="1:8">
      <c r="A27" s="61">
        <f>+A26+1</f>
        <v>2</v>
      </c>
      <c r="B27" s="61"/>
      <c r="C27" s="61" t="s">
        <v>4</v>
      </c>
      <c r="D27" s="62">
        <f t="shared" ref="D27:D85" ca="1" si="1">EDATE(D26,1)</f>
        <v>44034</v>
      </c>
      <c r="E27" s="63">
        <f t="shared" si="0"/>
        <v>135252.76666666666</v>
      </c>
      <c r="F27" s="63">
        <f t="shared" ref="F27:F85" si="2">($D$19)/60</f>
        <v>5591.6413690476184</v>
      </c>
      <c r="G27" s="64">
        <f>+SUM(E27:F27)</f>
        <v>140844.4080357143</v>
      </c>
      <c r="H27" s="65">
        <f>H26-G27</f>
        <v>8168975.666071428</v>
      </c>
    </row>
    <row r="28" spans="1:8">
      <c r="A28" s="61">
        <f t="shared" ref="A28:A85" si="3">+A27+1</f>
        <v>3</v>
      </c>
      <c r="B28" s="61"/>
      <c r="C28" s="61" t="s">
        <v>5</v>
      </c>
      <c r="D28" s="62">
        <f t="shared" ca="1" si="1"/>
        <v>44065</v>
      </c>
      <c r="E28" s="63">
        <f t="shared" si="0"/>
        <v>135252.76666666666</v>
      </c>
      <c r="F28" s="63">
        <f t="shared" si="2"/>
        <v>5591.6413690476184</v>
      </c>
      <c r="G28" s="64">
        <f t="shared" ref="G28:G85" si="4">+SUM(E28:F28)</f>
        <v>140844.4080357143</v>
      </c>
      <c r="H28" s="65">
        <f t="shared" ref="H28:H85" si="5">H27-G28</f>
        <v>8028131.2580357138</v>
      </c>
    </row>
    <row r="29" spans="1:8">
      <c r="A29" s="61">
        <f t="shared" si="3"/>
        <v>4</v>
      </c>
      <c r="B29" s="61"/>
      <c r="C29" s="61" t="s">
        <v>6</v>
      </c>
      <c r="D29" s="62">
        <f t="shared" ca="1" si="1"/>
        <v>44096</v>
      </c>
      <c r="E29" s="63">
        <f t="shared" si="0"/>
        <v>135252.76666666666</v>
      </c>
      <c r="F29" s="63">
        <f t="shared" si="2"/>
        <v>5591.6413690476184</v>
      </c>
      <c r="G29" s="64">
        <f t="shared" si="4"/>
        <v>140844.4080357143</v>
      </c>
      <c r="H29" s="65">
        <f t="shared" si="5"/>
        <v>7887286.8499999996</v>
      </c>
    </row>
    <row r="30" spans="1:8">
      <c r="A30" s="61">
        <f t="shared" si="3"/>
        <v>5</v>
      </c>
      <c r="B30" s="61"/>
      <c r="C30" s="61" t="s">
        <v>7</v>
      </c>
      <c r="D30" s="62">
        <f t="shared" ca="1" si="1"/>
        <v>44126</v>
      </c>
      <c r="E30" s="63">
        <f t="shared" si="0"/>
        <v>135252.76666666666</v>
      </c>
      <c r="F30" s="63">
        <f t="shared" si="2"/>
        <v>5591.6413690476184</v>
      </c>
      <c r="G30" s="64">
        <f t="shared" si="4"/>
        <v>140844.4080357143</v>
      </c>
      <c r="H30" s="65">
        <f t="shared" si="5"/>
        <v>7746442.4419642854</v>
      </c>
    </row>
    <row r="31" spans="1:8">
      <c r="A31" s="61">
        <f t="shared" si="3"/>
        <v>6</v>
      </c>
      <c r="B31" s="61"/>
      <c r="C31" s="61" t="s">
        <v>8</v>
      </c>
      <c r="D31" s="62">
        <f t="shared" ca="1" si="1"/>
        <v>44157</v>
      </c>
      <c r="E31" s="63">
        <f t="shared" si="0"/>
        <v>135252.76666666666</v>
      </c>
      <c r="F31" s="63">
        <f t="shared" si="2"/>
        <v>5591.6413690476184</v>
      </c>
      <c r="G31" s="64">
        <f t="shared" si="4"/>
        <v>140844.4080357143</v>
      </c>
      <c r="H31" s="65">
        <f t="shared" si="5"/>
        <v>7605598.0339285713</v>
      </c>
    </row>
    <row r="32" spans="1:8">
      <c r="A32" s="61">
        <f t="shared" si="3"/>
        <v>7</v>
      </c>
      <c r="B32" s="61"/>
      <c r="C32" s="61" t="s">
        <v>9</v>
      </c>
      <c r="D32" s="62">
        <f t="shared" ca="1" si="1"/>
        <v>44187</v>
      </c>
      <c r="E32" s="63">
        <f t="shared" si="0"/>
        <v>135252.76666666666</v>
      </c>
      <c r="F32" s="63">
        <f t="shared" si="2"/>
        <v>5591.6413690476184</v>
      </c>
      <c r="G32" s="64">
        <f t="shared" si="4"/>
        <v>140844.4080357143</v>
      </c>
      <c r="H32" s="65">
        <f t="shared" si="5"/>
        <v>7464753.6258928571</v>
      </c>
    </row>
    <row r="33" spans="1:8">
      <c r="A33" s="61">
        <f t="shared" si="3"/>
        <v>8</v>
      </c>
      <c r="B33" s="61"/>
      <c r="C33" s="61" t="s">
        <v>10</v>
      </c>
      <c r="D33" s="62">
        <f t="shared" ca="1" si="1"/>
        <v>44218</v>
      </c>
      <c r="E33" s="63">
        <f t="shared" si="0"/>
        <v>135252.76666666666</v>
      </c>
      <c r="F33" s="63">
        <f t="shared" si="2"/>
        <v>5591.6413690476184</v>
      </c>
      <c r="G33" s="64">
        <f t="shared" si="4"/>
        <v>140844.4080357143</v>
      </c>
      <c r="H33" s="65">
        <f t="shared" si="5"/>
        <v>7323909.2178571429</v>
      </c>
    </row>
    <row r="34" spans="1:8">
      <c r="A34" s="61">
        <f t="shared" si="3"/>
        <v>9</v>
      </c>
      <c r="B34" s="61"/>
      <c r="C34" s="61" t="s">
        <v>11</v>
      </c>
      <c r="D34" s="62">
        <f t="shared" ca="1" si="1"/>
        <v>44249</v>
      </c>
      <c r="E34" s="63">
        <f t="shared" si="0"/>
        <v>135252.76666666666</v>
      </c>
      <c r="F34" s="63">
        <f t="shared" si="2"/>
        <v>5591.6413690476184</v>
      </c>
      <c r="G34" s="64">
        <f t="shared" si="4"/>
        <v>140844.4080357143</v>
      </c>
      <c r="H34" s="65">
        <f t="shared" si="5"/>
        <v>7183064.8098214287</v>
      </c>
    </row>
    <row r="35" spans="1:8">
      <c r="A35" s="61">
        <f t="shared" si="3"/>
        <v>10</v>
      </c>
      <c r="B35" s="61"/>
      <c r="C35" s="61" t="s">
        <v>12</v>
      </c>
      <c r="D35" s="62">
        <f t="shared" ca="1" si="1"/>
        <v>44277</v>
      </c>
      <c r="E35" s="63">
        <f t="shared" si="0"/>
        <v>135252.76666666666</v>
      </c>
      <c r="F35" s="63">
        <f t="shared" si="2"/>
        <v>5591.6413690476184</v>
      </c>
      <c r="G35" s="64">
        <f t="shared" si="4"/>
        <v>140844.4080357143</v>
      </c>
      <c r="H35" s="65">
        <f t="shared" si="5"/>
        <v>7042220.4017857146</v>
      </c>
    </row>
    <row r="36" spans="1:8">
      <c r="A36" s="61">
        <f t="shared" si="3"/>
        <v>11</v>
      </c>
      <c r="B36" s="61"/>
      <c r="C36" s="61" t="s">
        <v>13</v>
      </c>
      <c r="D36" s="62">
        <f t="shared" ca="1" si="1"/>
        <v>44308</v>
      </c>
      <c r="E36" s="63">
        <f t="shared" si="0"/>
        <v>135252.76666666666</v>
      </c>
      <c r="F36" s="63">
        <f t="shared" si="2"/>
        <v>5591.6413690476184</v>
      </c>
      <c r="G36" s="64">
        <f t="shared" si="4"/>
        <v>140844.4080357143</v>
      </c>
      <c r="H36" s="65">
        <f t="shared" si="5"/>
        <v>6901375.9937500004</v>
      </c>
    </row>
    <row r="37" spans="1:8">
      <c r="A37" s="61">
        <f t="shared" si="3"/>
        <v>12</v>
      </c>
      <c r="B37" s="61"/>
      <c r="C37" s="61" t="s">
        <v>14</v>
      </c>
      <c r="D37" s="62">
        <f t="shared" ca="1" si="1"/>
        <v>44338</v>
      </c>
      <c r="E37" s="63">
        <f t="shared" si="0"/>
        <v>135252.76666666666</v>
      </c>
      <c r="F37" s="63">
        <f t="shared" si="2"/>
        <v>5591.6413690476184</v>
      </c>
      <c r="G37" s="64">
        <f t="shared" si="4"/>
        <v>140844.4080357143</v>
      </c>
      <c r="H37" s="65">
        <f t="shared" si="5"/>
        <v>6760531.5857142862</v>
      </c>
    </row>
    <row r="38" spans="1:8">
      <c r="A38" s="61">
        <f t="shared" si="3"/>
        <v>13</v>
      </c>
      <c r="B38" s="61"/>
      <c r="C38" s="61" t="s">
        <v>18</v>
      </c>
      <c r="D38" s="62">
        <f t="shared" ca="1" si="1"/>
        <v>44369</v>
      </c>
      <c r="E38" s="63">
        <f t="shared" si="0"/>
        <v>135252.76666666666</v>
      </c>
      <c r="F38" s="63">
        <f t="shared" si="2"/>
        <v>5591.6413690476184</v>
      </c>
      <c r="G38" s="64">
        <f t="shared" si="4"/>
        <v>140844.4080357143</v>
      </c>
      <c r="H38" s="65">
        <f t="shared" si="5"/>
        <v>6619687.177678572</v>
      </c>
    </row>
    <row r="39" spans="1:8">
      <c r="A39" s="61">
        <f t="shared" si="3"/>
        <v>14</v>
      </c>
      <c r="B39" s="61"/>
      <c r="C39" s="61" t="s">
        <v>19</v>
      </c>
      <c r="D39" s="62">
        <f t="shared" ca="1" si="1"/>
        <v>44399</v>
      </c>
      <c r="E39" s="63">
        <f t="shared" si="0"/>
        <v>135252.76666666666</v>
      </c>
      <c r="F39" s="63">
        <f t="shared" si="2"/>
        <v>5591.6413690476184</v>
      </c>
      <c r="G39" s="64">
        <f t="shared" si="4"/>
        <v>140844.4080357143</v>
      </c>
      <c r="H39" s="65">
        <f t="shared" si="5"/>
        <v>6478842.7696428578</v>
      </c>
    </row>
    <row r="40" spans="1:8">
      <c r="A40" s="61">
        <f t="shared" si="3"/>
        <v>15</v>
      </c>
      <c r="B40" s="61"/>
      <c r="C40" s="61" t="s">
        <v>20</v>
      </c>
      <c r="D40" s="62">
        <f t="shared" ca="1" si="1"/>
        <v>44430</v>
      </c>
      <c r="E40" s="63">
        <f t="shared" si="0"/>
        <v>135252.76666666666</v>
      </c>
      <c r="F40" s="63">
        <f t="shared" si="2"/>
        <v>5591.6413690476184</v>
      </c>
      <c r="G40" s="64">
        <f t="shared" si="4"/>
        <v>140844.4080357143</v>
      </c>
      <c r="H40" s="65">
        <f t="shared" si="5"/>
        <v>6337998.3616071437</v>
      </c>
    </row>
    <row r="41" spans="1:8">
      <c r="A41" s="61">
        <f t="shared" si="3"/>
        <v>16</v>
      </c>
      <c r="B41" s="61"/>
      <c r="C41" s="61" t="s">
        <v>21</v>
      </c>
      <c r="D41" s="62">
        <f t="shared" ca="1" si="1"/>
        <v>44461</v>
      </c>
      <c r="E41" s="63">
        <f t="shared" si="0"/>
        <v>135252.76666666666</v>
      </c>
      <c r="F41" s="63">
        <f t="shared" si="2"/>
        <v>5591.6413690476184</v>
      </c>
      <c r="G41" s="64">
        <f t="shared" si="4"/>
        <v>140844.4080357143</v>
      </c>
      <c r="H41" s="65">
        <f t="shared" si="5"/>
        <v>6197153.9535714295</v>
      </c>
    </row>
    <row r="42" spans="1:8">
      <c r="A42" s="61">
        <f t="shared" si="3"/>
        <v>17</v>
      </c>
      <c r="B42" s="61"/>
      <c r="C42" s="61" t="s">
        <v>22</v>
      </c>
      <c r="D42" s="62">
        <f t="shared" ca="1" si="1"/>
        <v>44491</v>
      </c>
      <c r="E42" s="63">
        <f t="shared" si="0"/>
        <v>135252.76666666666</v>
      </c>
      <c r="F42" s="63">
        <f t="shared" si="2"/>
        <v>5591.6413690476184</v>
      </c>
      <c r="G42" s="64">
        <f t="shared" si="4"/>
        <v>140844.4080357143</v>
      </c>
      <c r="H42" s="65">
        <f t="shared" si="5"/>
        <v>6056309.5455357153</v>
      </c>
    </row>
    <row r="43" spans="1:8">
      <c r="A43" s="61">
        <f t="shared" si="3"/>
        <v>18</v>
      </c>
      <c r="B43" s="61"/>
      <c r="C43" s="61" t="s">
        <v>23</v>
      </c>
      <c r="D43" s="62">
        <f t="shared" ca="1" si="1"/>
        <v>44522</v>
      </c>
      <c r="E43" s="63">
        <f t="shared" si="0"/>
        <v>135252.76666666666</v>
      </c>
      <c r="F43" s="63">
        <f t="shared" si="2"/>
        <v>5591.6413690476184</v>
      </c>
      <c r="G43" s="64">
        <f t="shared" si="4"/>
        <v>140844.4080357143</v>
      </c>
      <c r="H43" s="65">
        <f t="shared" si="5"/>
        <v>5915465.1375000011</v>
      </c>
    </row>
    <row r="44" spans="1:8">
      <c r="A44" s="61">
        <f t="shared" si="3"/>
        <v>19</v>
      </c>
      <c r="B44" s="61"/>
      <c r="C44" s="61" t="s">
        <v>24</v>
      </c>
      <c r="D44" s="62">
        <f t="shared" ca="1" si="1"/>
        <v>44552</v>
      </c>
      <c r="E44" s="63">
        <f t="shared" si="0"/>
        <v>135252.76666666666</v>
      </c>
      <c r="F44" s="63">
        <f t="shared" si="2"/>
        <v>5591.6413690476184</v>
      </c>
      <c r="G44" s="64">
        <f t="shared" si="4"/>
        <v>140844.4080357143</v>
      </c>
      <c r="H44" s="65">
        <f t="shared" si="5"/>
        <v>5774620.7294642869</v>
      </c>
    </row>
    <row r="45" spans="1:8">
      <c r="A45" s="61">
        <f t="shared" si="3"/>
        <v>20</v>
      </c>
      <c r="B45" s="61"/>
      <c r="C45" s="61" t="s">
        <v>25</v>
      </c>
      <c r="D45" s="62">
        <f t="shared" ca="1" si="1"/>
        <v>44583</v>
      </c>
      <c r="E45" s="63">
        <f t="shared" si="0"/>
        <v>135252.76666666666</v>
      </c>
      <c r="F45" s="63">
        <f t="shared" si="2"/>
        <v>5591.6413690476184</v>
      </c>
      <c r="G45" s="64">
        <f t="shared" si="4"/>
        <v>140844.4080357143</v>
      </c>
      <c r="H45" s="65">
        <f t="shared" si="5"/>
        <v>5633776.3214285728</v>
      </c>
    </row>
    <row r="46" spans="1:8">
      <c r="A46" s="61">
        <f t="shared" si="3"/>
        <v>21</v>
      </c>
      <c r="B46" s="61"/>
      <c r="C46" s="61" t="s">
        <v>26</v>
      </c>
      <c r="D46" s="62">
        <f t="shared" ca="1" si="1"/>
        <v>44614</v>
      </c>
      <c r="E46" s="63">
        <f t="shared" si="0"/>
        <v>135252.76666666666</v>
      </c>
      <c r="F46" s="63">
        <f t="shared" si="2"/>
        <v>5591.6413690476184</v>
      </c>
      <c r="G46" s="64">
        <f t="shared" si="4"/>
        <v>140844.4080357143</v>
      </c>
      <c r="H46" s="65">
        <f t="shared" si="5"/>
        <v>5492931.9133928586</v>
      </c>
    </row>
    <row r="47" spans="1:8">
      <c r="A47" s="61">
        <f t="shared" si="3"/>
        <v>22</v>
      </c>
      <c r="B47" s="61"/>
      <c r="C47" s="61" t="s">
        <v>27</v>
      </c>
      <c r="D47" s="62">
        <f t="shared" ca="1" si="1"/>
        <v>44642</v>
      </c>
      <c r="E47" s="63">
        <f t="shared" si="0"/>
        <v>135252.76666666666</v>
      </c>
      <c r="F47" s="63">
        <f t="shared" si="2"/>
        <v>5591.6413690476184</v>
      </c>
      <c r="G47" s="64">
        <f t="shared" si="4"/>
        <v>140844.4080357143</v>
      </c>
      <c r="H47" s="65">
        <f t="shared" si="5"/>
        <v>5352087.5053571444</v>
      </c>
    </row>
    <row r="48" spans="1:8">
      <c r="A48" s="61">
        <f t="shared" si="3"/>
        <v>23</v>
      </c>
      <c r="B48" s="61"/>
      <c r="C48" s="61" t="s">
        <v>28</v>
      </c>
      <c r="D48" s="62">
        <f t="shared" ca="1" si="1"/>
        <v>44673</v>
      </c>
      <c r="E48" s="63">
        <f t="shared" si="0"/>
        <v>135252.76666666666</v>
      </c>
      <c r="F48" s="63">
        <f t="shared" si="2"/>
        <v>5591.6413690476184</v>
      </c>
      <c r="G48" s="64">
        <f t="shared" si="4"/>
        <v>140844.4080357143</v>
      </c>
      <c r="H48" s="65">
        <f t="shared" si="5"/>
        <v>5211243.0973214302</v>
      </c>
    </row>
    <row r="49" spans="1:8">
      <c r="A49" s="61">
        <f t="shared" si="3"/>
        <v>24</v>
      </c>
      <c r="B49" s="61"/>
      <c r="C49" s="61" t="s">
        <v>29</v>
      </c>
      <c r="D49" s="62">
        <f t="shared" ca="1" si="1"/>
        <v>44703</v>
      </c>
      <c r="E49" s="63">
        <f t="shared" si="0"/>
        <v>135252.76666666666</v>
      </c>
      <c r="F49" s="63">
        <f t="shared" si="2"/>
        <v>5591.6413690476184</v>
      </c>
      <c r="G49" s="64">
        <f t="shared" si="4"/>
        <v>140844.4080357143</v>
      </c>
      <c r="H49" s="65">
        <f t="shared" si="5"/>
        <v>5070398.689285716</v>
      </c>
    </row>
    <row r="50" spans="1:8">
      <c r="A50" s="61">
        <f t="shared" si="3"/>
        <v>25</v>
      </c>
      <c r="B50" s="61"/>
      <c r="C50" s="61" t="s">
        <v>40</v>
      </c>
      <c r="D50" s="62">
        <f t="shared" ca="1" si="1"/>
        <v>44734</v>
      </c>
      <c r="E50" s="63">
        <f t="shared" si="0"/>
        <v>135252.76666666666</v>
      </c>
      <c r="F50" s="63">
        <f t="shared" si="2"/>
        <v>5591.6413690476184</v>
      </c>
      <c r="G50" s="64">
        <f t="shared" si="4"/>
        <v>140844.4080357143</v>
      </c>
      <c r="H50" s="65">
        <f t="shared" si="5"/>
        <v>4929554.2812500019</v>
      </c>
    </row>
    <row r="51" spans="1:8">
      <c r="A51" s="61">
        <f t="shared" si="3"/>
        <v>26</v>
      </c>
      <c r="B51" s="61"/>
      <c r="C51" s="61" t="s">
        <v>41</v>
      </c>
      <c r="D51" s="62">
        <f t="shared" ca="1" si="1"/>
        <v>44764</v>
      </c>
      <c r="E51" s="63">
        <f t="shared" si="0"/>
        <v>135252.76666666666</v>
      </c>
      <c r="F51" s="63">
        <f t="shared" si="2"/>
        <v>5591.6413690476184</v>
      </c>
      <c r="G51" s="64">
        <f t="shared" si="4"/>
        <v>140844.4080357143</v>
      </c>
      <c r="H51" s="65">
        <f t="shared" si="5"/>
        <v>4788709.8732142877</v>
      </c>
    </row>
    <row r="52" spans="1:8">
      <c r="A52" s="61">
        <f t="shared" si="3"/>
        <v>27</v>
      </c>
      <c r="B52" s="61"/>
      <c r="C52" s="61" t="s">
        <v>42</v>
      </c>
      <c r="D52" s="62">
        <f t="shared" ca="1" si="1"/>
        <v>44795</v>
      </c>
      <c r="E52" s="63">
        <f t="shared" si="0"/>
        <v>135252.76666666666</v>
      </c>
      <c r="F52" s="63">
        <f t="shared" si="2"/>
        <v>5591.6413690476184</v>
      </c>
      <c r="G52" s="64">
        <f t="shared" si="4"/>
        <v>140844.4080357143</v>
      </c>
      <c r="H52" s="65">
        <f t="shared" si="5"/>
        <v>4647865.4651785735</v>
      </c>
    </row>
    <row r="53" spans="1:8">
      <c r="A53" s="61">
        <f t="shared" si="3"/>
        <v>28</v>
      </c>
      <c r="B53" s="61"/>
      <c r="C53" s="61" t="s">
        <v>43</v>
      </c>
      <c r="D53" s="62">
        <f t="shared" ca="1" si="1"/>
        <v>44826</v>
      </c>
      <c r="E53" s="63">
        <f t="shared" si="0"/>
        <v>135252.76666666666</v>
      </c>
      <c r="F53" s="63">
        <f t="shared" si="2"/>
        <v>5591.6413690476184</v>
      </c>
      <c r="G53" s="64">
        <f t="shared" si="4"/>
        <v>140844.4080357143</v>
      </c>
      <c r="H53" s="65">
        <f t="shared" si="5"/>
        <v>4507021.0571428593</v>
      </c>
    </row>
    <row r="54" spans="1:8">
      <c r="A54" s="61">
        <f t="shared" si="3"/>
        <v>29</v>
      </c>
      <c r="B54" s="61"/>
      <c r="C54" s="61" t="s">
        <v>44</v>
      </c>
      <c r="D54" s="62">
        <f t="shared" ca="1" si="1"/>
        <v>44856</v>
      </c>
      <c r="E54" s="63">
        <f t="shared" si="0"/>
        <v>135252.76666666666</v>
      </c>
      <c r="F54" s="63">
        <f t="shared" si="2"/>
        <v>5591.6413690476184</v>
      </c>
      <c r="G54" s="64">
        <f t="shared" si="4"/>
        <v>140844.4080357143</v>
      </c>
      <c r="H54" s="65">
        <f t="shared" si="5"/>
        <v>4366176.6491071451</v>
      </c>
    </row>
    <row r="55" spans="1:8">
      <c r="A55" s="61">
        <f t="shared" si="3"/>
        <v>30</v>
      </c>
      <c r="B55" s="61"/>
      <c r="C55" s="61" t="s">
        <v>45</v>
      </c>
      <c r="D55" s="62">
        <f t="shared" ca="1" si="1"/>
        <v>44887</v>
      </c>
      <c r="E55" s="63">
        <f t="shared" si="0"/>
        <v>135252.76666666666</v>
      </c>
      <c r="F55" s="63">
        <f t="shared" si="2"/>
        <v>5591.6413690476184</v>
      </c>
      <c r="G55" s="64">
        <f t="shared" si="4"/>
        <v>140844.4080357143</v>
      </c>
      <c r="H55" s="65">
        <f t="shared" si="5"/>
        <v>4225332.241071431</v>
      </c>
    </row>
    <row r="56" spans="1:8">
      <c r="A56" s="61">
        <f t="shared" si="3"/>
        <v>31</v>
      </c>
      <c r="B56" s="61"/>
      <c r="C56" s="61" t="s">
        <v>59</v>
      </c>
      <c r="D56" s="62">
        <f t="shared" ca="1" si="1"/>
        <v>44917</v>
      </c>
      <c r="E56" s="63">
        <f t="shared" si="0"/>
        <v>135252.76666666666</v>
      </c>
      <c r="F56" s="63">
        <f t="shared" si="2"/>
        <v>5591.6413690476184</v>
      </c>
      <c r="G56" s="64">
        <f t="shared" si="4"/>
        <v>140844.4080357143</v>
      </c>
      <c r="H56" s="65">
        <f t="shared" si="5"/>
        <v>4084487.8330357168</v>
      </c>
    </row>
    <row r="57" spans="1:8">
      <c r="A57" s="61">
        <f t="shared" si="3"/>
        <v>32</v>
      </c>
      <c r="B57" s="61"/>
      <c r="C57" s="61" t="s">
        <v>60</v>
      </c>
      <c r="D57" s="62">
        <f t="shared" ca="1" si="1"/>
        <v>44948</v>
      </c>
      <c r="E57" s="63">
        <f t="shared" si="0"/>
        <v>135252.76666666666</v>
      </c>
      <c r="F57" s="63">
        <f t="shared" si="2"/>
        <v>5591.6413690476184</v>
      </c>
      <c r="G57" s="64">
        <f t="shared" si="4"/>
        <v>140844.4080357143</v>
      </c>
      <c r="H57" s="65">
        <f t="shared" si="5"/>
        <v>3943643.4250000026</v>
      </c>
    </row>
    <row r="58" spans="1:8">
      <c r="A58" s="61">
        <f t="shared" si="3"/>
        <v>33</v>
      </c>
      <c r="B58" s="61"/>
      <c r="C58" s="61" t="s">
        <v>61</v>
      </c>
      <c r="D58" s="62">
        <f t="shared" ca="1" si="1"/>
        <v>44979</v>
      </c>
      <c r="E58" s="63">
        <f t="shared" ref="E58:E85" si="6">($D$18-$E$24)/60</f>
        <v>135252.76666666666</v>
      </c>
      <c r="F58" s="63">
        <f t="shared" si="2"/>
        <v>5591.6413690476184</v>
      </c>
      <c r="G58" s="64">
        <f t="shared" si="4"/>
        <v>140844.4080357143</v>
      </c>
      <c r="H58" s="65">
        <f t="shared" si="5"/>
        <v>3802799.0169642884</v>
      </c>
    </row>
    <row r="59" spans="1:8">
      <c r="A59" s="61">
        <f t="shared" si="3"/>
        <v>34</v>
      </c>
      <c r="B59" s="61"/>
      <c r="C59" s="61" t="s">
        <v>62</v>
      </c>
      <c r="D59" s="62">
        <f t="shared" ca="1" si="1"/>
        <v>45007</v>
      </c>
      <c r="E59" s="63">
        <f t="shared" si="6"/>
        <v>135252.76666666666</v>
      </c>
      <c r="F59" s="63">
        <f t="shared" si="2"/>
        <v>5591.6413690476184</v>
      </c>
      <c r="G59" s="64">
        <f t="shared" si="4"/>
        <v>140844.4080357143</v>
      </c>
      <c r="H59" s="65">
        <f t="shared" si="5"/>
        <v>3661954.6089285742</v>
      </c>
    </row>
    <row r="60" spans="1:8">
      <c r="A60" s="61">
        <f t="shared" si="3"/>
        <v>35</v>
      </c>
      <c r="B60" s="61"/>
      <c r="C60" s="61" t="s">
        <v>63</v>
      </c>
      <c r="D60" s="62">
        <f t="shared" ca="1" si="1"/>
        <v>45038</v>
      </c>
      <c r="E60" s="63">
        <f t="shared" si="6"/>
        <v>135252.76666666666</v>
      </c>
      <c r="F60" s="63">
        <f t="shared" si="2"/>
        <v>5591.6413690476184</v>
      </c>
      <c r="G60" s="64">
        <f t="shared" si="4"/>
        <v>140844.4080357143</v>
      </c>
      <c r="H60" s="65">
        <f t="shared" si="5"/>
        <v>3521110.2008928601</v>
      </c>
    </row>
    <row r="61" spans="1:8">
      <c r="A61" s="61">
        <f t="shared" si="3"/>
        <v>36</v>
      </c>
      <c r="B61" s="61"/>
      <c r="C61" s="61" t="s">
        <v>64</v>
      </c>
      <c r="D61" s="62">
        <f t="shared" ca="1" si="1"/>
        <v>45068</v>
      </c>
      <c r="E61" s="63">
        <f t="shared" si="6"/>
        <v>135252.76666666666</v>
      </c>
      <c r="F61" s="63">
        <f t="shared" si="2"/>
        <v>5591.6413690476184</v>
      </c>
      <c r="G61" s="64">
        <f t="shared" si="4"/>
        <v>140844.4080357143</v>
      </c>
      <c r="H61" s="65">
        <f t="shared" si="5"/>
        <v>3380265.7928571459</v>
      </c>
    </row>
    <row r="62" spans="1:8">
      <c r="A62" s="61">
        <f t="shared" si="3"/>
        <v>37</v>
      </c>
      <c r="B62" s="61"/>
      <c r="C62" s="61" t="s">
        <v>65</v>
      </c>
      <c r="D62" s="62">
        <f t="shared" ca="1" si="1"/>
        <v>45099</v>
      </c>
      <c r="E62" s="63">
        <f t="shared" si="6"/>
        <v>135252.76666666666</v>
      </c>
      <c r="F62" s="63">
        <f t="shared" si="2"/>
        <v>5591.6413690476184</v>
      </c>
      <c r="G62" s="64">
        <f t="shared" si="4"/>
        <v>140844.4080357143</v>
      </c>
      <c r="H62" s="65">
        <f t="shared" si="5"/>
        <v>3239421.3848214317</v>
      </c>
    </row>
    <row r="63" spans="1:8">
      <c r="A63" s="61">
        <f t="shared" si="3"/>
        <v>38</v>
      </c>
      <c r="B63" s="61"/>
      <c r="C63" s="61" t="s">
        <v>66</v>
      </c>
      <c r="D63" s="62">
        <f t="shared" ca="1" si="1"/>
        <v>45129</v>
      </c>
      <c r="E63" s="63">
        <f t="shared" si="6"/>
        <v>135252.76666666666</v>
      </c>
      <c r="F63" s="63">
        <f t="shared" si="2"/>
        <v>5591.6413690476184</v>
      </c>
      <c r="G63" s="64">
        <f t="shared" si="4"/>
        <v>140844.4080357143</v>
      </c>
      <c r="H63" s="65">
        <f t="shared" si="5"/>
        <v>3098576.9767857175</v>
      </c>
    </row>
    <row r="64" spans="1:8">
      <c r="A64" s="61">
        <f t="shared" si="3"/>
        <v>39</v>
      </c>
      <c r="B64" s="61"/>
      <c r="C64" s="61" t="s">
        <v>67</v>
      </c>
      <c r="D64" s="62">
        <f t="shared" ca="1" si="1"/>
        <v>45160</v>
      </c>
      <c r="E64" s="63">
        <f t="shared" si="6"/>
        <v>135252.76666666666</v>
      </c>
      <c r="F64" s="63">
        <f t="shared" si="2"/>
        <v>5591.6413690476184</v>
      </c>
      <c r="G64" s="64">
        <f t="shared" si="4"/>
        <v>140844.4080357143</v>
      </c>
      <c r="H64" s="65">
        <f t="shared" si="5"/>
        <v>2957732.5687500034</v>
      </c>
    </row>
    <row r="65" spans="1:8">
      <c r="A65" s="61">
        <f t="shared" si="3"/>
        <v>40</v>
      </c>
      <c r="B65" s="61"/>
      <c r="C65" s="61" t="s">
        <v>68</v>
      </c>
      <c r="D65" s="62">
        <f t="shared" ca="1" si="1"/>
        <v>45191</v>
      </c>
      <c r="E65" s="63">
        <f t="shared" si="6"/>
        <v>135252.76666666666</v>
      </c>
      <c r="F65" s="63">
        <f t="shared" si="2"/>
        <v>5591.6413690476184</v>
      </c>
      <c r="G65" s="64">
        <f t="shared" si="4"/>
        <v>140844.4080357143</v>
      </c>
      <c r="H65" s="65">
        <f t="shared" si="5"/>
        <v>2816888.1607142892</v>
      </c>
    </row>
    <row r="66" spans="1:8">
      <c r="A66" s="61">
        <f t="shared" si="3"/>
        <v>41</v>
      </c>
      <c r="B66" s="61"/>
      <c r="C66" s="61" t="s">
        <v>69</v>
      </c>
      <c r="D66" s="62">
        <f t="shared" ca="1" si="1"/>
        <v>45221</v>
      </c>
      <c r="E66" s="63">
        <f t="shared" si="6"/>
        <v>135252.76666666666</v>
      </c>
      <c r="F66" s="63">
        <f t="shared" si="2"/>
        <v>5591.6413690476184</v>
      </c>
      <c r="G66" s="64">
        <f t="shared" si="4"/>
        <v>140844.4080357143</v>
      </c>
      <c r="H66" s="65">
        <f t="shared" si="5"/>
        <v>2676043.752678575</v>
      </c>
    </row>
    <row r="67" spans="1:8">
      <c r="A67" s="61">
        <f t="shared" si="3"/>
        <v>42</v>
      </c>
      <c r="B67" s="61"/>
      <c r="C67" s="61" t="s">
        <v>70</v>
      </c>
      <c r="D67" s="62">
        <f t="shared" ca="1" si="1"/>
        <v>45252</v>
      </c>
      <c r="E67" s="63">
        <f t="shared" si="6"/>
        <v>135252.76666666666</v>
      </c>
      <c r="F67" s="63">
        <f t="shared" si="2"/>
        <v>5591.6413690476184</v>
      </c>
      <c r="G67" s="64">
        <f t="shared" si="4"/>
        <v>140844.4080357143</v>
      </c>
      <c r="H67" s="65">
        <f t="shared" si="5"/>
        <v>2535199.3446428608</v>
      </c>
    </row>
    <row r="68" spans="1:8">
      <c r="A68" s="61">
        <f t="shared" si="3"/>
        <v>43</v>
      </c>
      <c r="B68" s="61"/>
      <c r="C68" s="61" t="s">
        <v>71</v>
      </c>
      <c r="D68" s="62">
        <f t="shared" ca="1" si="1"/>
        <v>45282</v>
      </c>
      <c r="E68" s="63">
        <f t="shared" si="6"/>
        <v>135252.76666666666</v>
      </c>
      <c r="F68" s="63">
        <f t="shared" si="2"/>
        <v>5591.6413690476184</v>
      </c>
      <c r="G68" s="64">
        <f t="shared" si="4"/>
        <v>140844.4080357143</v>
      </c>
      <c r="H68" s="65">
        <f t="shared" si="5"/>
        <v>2394354.9366071466</v>
      </c>
    </row>
    <row r="69" spans="1:8">
      <c r="A69" s="61">
        <f t="shared" si="3"/>
        <v>44</v>
      </c>
      <c r="B69" s="61"/>
      <c r="C69" s="61" t="s">
        <v>72</v>
      </c>
      <c r="D69" s="62">
        <f t="shared" ca="1" si="1"/>
        <v>45313</v>
      </c>
      <c r="E69" s="63">
        <f t="shared" si="6"/>
        <v>135252.76666666666</v>
      </c>
      <c r="F69" s="63">
        <f t="shared" si="2"/>
        <v>5591.6413690476184</v>
      </c>
      <c r="G69" s="64">
        <f t="shared" si="4"/>
        <v>140844.4080357143</v>
      </c>
      <c r="H69" s="65">
        <f t="shared" si="5"/>
        <v>2253510.5285714325</v>
      </c>
    </row>
    <row r="70" spans="1:8">
      <c r="A70" s="61">
        <f t="shared" si="3"/>
        <v>45</v>
      </c>
      <c r="B70" s="61"/>
      <c r="C70" s="61" t="s">
        <v>73</v>
      </c>
      <c r="D70" s="62">
        <f t="shared" ca="1" si="1"/>
        <v>45344</v>
      </c>
      <c r="E70" s="63">
        <f t="shared" si="6"/>
        <v>135252.76666666666</v>
      </c>
      <c r="F70" s="63">
        <f t="shared" si="2"/>
        <v>5591.6413690476184</v>
      </c>
      <c r="G70" s="64">
        <f t="shared" si="4"/>
        <v>140844.4080357143</v>
      </c>
      <c r="H70" s="65">
        <f t="shared" si="5"/>
        <v>2112666.1205357183</v>
      </c>
    </row>
    <row r="71" spans="1:8">
      <c r="A71" s="61">
        <f t="shared" si="3"/>
        <v>46</v>
      </c>
      <c r="B71" s="61"/>
      <c r="C71" s="61" t="s">
        <v>74</v>
      </c>
      <c r="D71" s="62">
        <f t="shared" ca="1" si="1"/>
        <v>45373</v>
      </c>
      <c r="E71" s="63">
        <f t="shared" si="6"/>
        <v>135252.76666666666</v>
      </c>
      <c r="F71" s="63">
        <f t="shared" si="2"/>
        <v>5591.6413690476184</v>
      </c>
      <c r="G71" s="64">
        <f t="shared" si="4"/>
        <v>140844.4080357143</v>
      </c>
      <c r="H71" s="65">
        <f t="shared" si="5"/>
        <v>1971821.7125000041</v>
      </c>
    </row>
    <row r="72" spans="1:8">
      <c r="A72" s="61">
        <f t="shared" si="3"/>
        <v>47</v>
      </c>
      <c r="B72" s="61"/>
      <c r="C72" s="61" t="s">
        <v>75</v>
      </c>
      <c r="D72" s="62">
        <f t="shared" ca="1" si="1"/>
        <v>45404</v>
      </c>
      <c r="E72" s="63">
        <f t="shared" si="6"/>
        <v>135252.76666666666</v>
      </c>
      <c r="F72" s="63">
        <f t="shared" si="2"/>
        <v>5591.6413690476184</v>
      </c>
      <c r="G72" s="64">
        <f t="shared" si="4"/>
        <v>140844.4080357143</v>
      </c>
      <c r="H72" s="65">
        <f t="shared" si="5"/>
        <v>1830977.3044642899</v>
      </c>
    </row>
    <row r="73" spans="1:8">
      <c r="A73" s="61">
        <f t="shared" si="3"/>
        <v>48</v>
      </c>
      <c r="B73" s="61"/>
      <c r="C73" s="61" t="s">
        <v>76</v>
      </c>
      <c r="D73" s="62">
        <f t="shared" ca="1" si="1"/>
        <v>45434</v>
      </c>
      <c r="E73" s="63">
        <f t="shared" si="6"/>
        <v>135252.76666666666</v>
      </c>
      <c r="F73" s="63">
        <f t="shared" si="2"/>
        <v>5591.6413690476184</v>
      </c>
      <c r="G73" s="64">
        <f t="shared" si="4"/>
        <v>140844.4080357143</v>
      </c>
      <c r="H73" s="65">
        <f t="shared" si="5"/>
        <v>1690132.8964285757</v>
      </c>
    </row>
    <row r="74" spans="1:8">
      <c r="A74" s="61">
        <f t="shared" si="3"/>
        <v>49</v>
      </c>
      <c r="B74" s="61"/>
      <c r="C74" s="61" t="s">
        <v>77</v>
      </c>
      <c r="D74" s="62">
        <f t="shared" ca="1" si="1"/>
        <v>45465</v>
      </c>
      <c r="E74" s="63">
        <f t="shared" si="6"/>
        <v>135252.76666666666</v>
      </c>
      <c r="F74" s="63">
        <f t="shared" si="2"/>
        <v>5591.6413690476184</v>
      </c>
      <c r="G74" s="64">
        <f t="shared" si="4"/>
        <v>140844.4080357143</v>
      </c>
      <c r="H74" s="65">
        <f t="shared" si="5"/>
        <v>1549288.4883928616</v>
      </c>
    </row>
    <row r="75" spans="1:8">
      <c r="A75" s="61">
        <f t="shared" si="3"/>
        <v>50</v>
      </c>
      <c r="B75" s="61"/>
      <c r="C75" s="61" t="s">
        <v>78</v>
      </c>
      <c r="D75" s="62">
        <f t="shared" ca="1" si="1"/>
        <v>45495</v>
      </c>
      <c r="E75" s="63">
        <f t="shared" si="6"/>
        <v>135252.76666666666</v>
      </c>
      <c r="F75" s="63">
        <f t="shared" si="2"/>
        <v>5591.6413690476184</v>
      </c>
      <c r="G75" s="64">
        <f t="shared" si="4"/>
        <v>140844.4080357143</v>
      </c>
      <c r="H75" s="65">
        <f t="shared" si="5"/>
        <v>1408444.0803571474</v>
      </c>
    </row>
    <row r="76" spans="1:8">
      <c r="A76" s="61">
        <f t="shared" si="3"/>
        <v>51</v>
      </c>
      <c r="B76" s="61"/>
      <c r="C76" s="61" t="s">
        <v>79</v>
      </c>
      <c r="D76" s="62">
        <f t="shared" ca="1" si="1"/>
        <v>45526</v>
      </c>
      <c r="E76" s="63">
        <f t="shared" si="6"/>
        <v>135252.76666666666</v>
      </c>
      <c r="F76" s="63">
        <f t="shared" si="2"/>
        <v>5591.6413690476184</v>
      </c>
      <c r="G76" s="64">
        <f t="shared" si="4"/>
        <v>140844.4080357143</v>
      </c>
      <c r="H76" s="65">
        <f t="shared" si="5"/>
        <v>1267599.6723214332</v>
      </c>
    </row>
    <row r="77" spans="1:8">
      <c r="A77" s="61">
        <f t="shared" si="3"/>
        <v>52</v>
      </c>
      <c r="B77" s="61"/>
      <c r="C77" s="61" t="s">
        <v>80</v>
      </c>
      <c r="D77" s="62">
        <f t="shared" ca="1" si="1"/>
        <v>45557</v>
      </c>
      <c r="E77" s="63">
        <f t="shared" si="6"/>
        <v>135252.76666666666</v>
      </c>
      <c r="F77" s="63">
        <f t="shared" si="2"/>
        <v>5591.6413690476184</v>
      </c>
      <c r="G77" s="64">
        <f t="shared" si="4"/>
        <v>140844.4080357143</v>
      </c>
      <c r="H77" s="65">
        <f t="shared" si="5"/>
        <v>1126755.264285719</v>
      </c>
    </row>
    <row r="78" spans="1:8">
      <c r="A78" s="61">
        <f t="shared" si="3"/>
        <v>53</v>
      </c>
      <c r="B78" s="61"/>
      <c r="C78" s="61" t="s">
        <v>81</v>
      </c>
      <c r="D78" s="62">
        <f t="shared" ca="1" si="1"/>
        <v>45587</v>
      </c>
      <c r="E78" s="63">
        <f t="shared" si="6"/>
        <v>135252.76666666666</v>
      </c>
      <c r="F78" s="63">
        <f t="shared" si="2"/>
        <v>5591.6413690476184</v>
      </c>
      <c r="G78" s="64">
        <f t="shared" si="4"/>
        <v>140844.4080357143</v>
      </c>
      <c r="H78" s="65">
        <f t="shared" si="5"/>
        <v>985910.85625000473</v>
      </c>
    </row>
    <row r="79" spans="1:8">
      <c r="A79" s="61">
        <f t="shared" si="3"/>
        <v>54</v>
      </c>
      <c r="B79" s="61"/>
      <c r="C79" s="61" t="s">
        <v>82</v>
      </c>
      <c r="D79" s="62">
        <f t="shared" ca="1" si="1"/>
        <v>45618</v>
      </c>
      <c r="E79" s="63">
        <f t="shared" si="6"/>
        <v>135252.76666666666</v>
      </c>
      <c r="F79" s="63">
        <f t="shared" si="2"/>
        <v>5591.6413690476184</v>
      </c>
      <c r="G79" s="64">
        <f t="shared" si="4"/>
        <v>140844.4080357143</v>
      </c>
      <c r="H79" s="65">
        <f t="shared" si="5"/>
        <v>845066.44821429043</v>
      </c>
    </row>
    <row r="80" spans="1:8">
      <c r="A80" s="61">
        <f t="shared" si="3"/>
        <v>55</v>
      </c>
      <c r="B80" s="61"/>
      <c r="C80" s="61" t="s">
        <v>83</v>
      </c>
      <c r="D80" s="62">
        <f t="shared" ca="1" si="1"/>
        <v>45648</v>
      </c>
      <c r="E80" s="63">
        <f t="shared" si="6"/>
        <v>135252.76666666666</v>
      </c>
      <c r="F80" s="63">
        <f t="shared" si="2"/>
        <v>5591.6413690476184</v>
      </c>
      <c r="G80" s="64">
        <f t="shared" si="4"/>
        <v>140844.4080357143</v>
      </c>
      <c r="H80" s="65">
        <f t="shared" si="5"/>
        <v>704222.04017857614</v>
      </c>
    </row>
    <row r="81" spans="1:8">
      <c r="A81" s="61">
        <f t="shared" si="3"/>
        <v>56</v>
      </c>
      <c r="B81" s="61"/>
      <c r="C81" s="61" t="s">
        <v>84</v>
      </c>
      <c r="D81" s="62">
        <f t="shared" ca="1" si="1"/>
        <v>45679</v>
      </c>
      <c r="E81" s="63">
        <f t="shared" si="6"/>
        <v>135252.76666666666</v>
      </c>
      <c r="F81" s="63">
        <f t="shared" si="2"/>
        <v>5591.6413690476184</v>
      </c>
      <c r="G81" s="64">
        <f t="shared" si="4"/>
        <v>140844.4080357143</v>
      </c>
      <c r="H81" s="65">
        <f t="shared" si="5"/>
        <v>563377.63214286184</v>
      </c>
    </row>
    <row r="82" spans="1:8">
      <c r="A82" s="61">
        <f t="shared" si="3"/>
        <v>57</v>
      </c>
      <c r="B82" s="61"/>
      <c r="C82" s="61" t="s">
        <v>85</v>
      </c>
      <c r="D82" s="62">
        <f t="shared" ca="1" si="1"/>
        <v>45710</v>
      </c>
      <c r="E82" s="63">
        <f t="shared" si="6"/>
        <v>135252.76666666666</v>
      </c>
      <c r="F82" s="63">
        <f t="shared" si="2"/>
        <v>5591.6413690476184</v>
      </c>
      <c r="G82" s="64">
        <f t="shared" si="4"/>
        <v>140844.4080357143</v>
      </c>
      <c r="H82" s="65">
        <f t="shared" si="5"/>
        <v>422533.22410714754</v>
      </c>
    </row>
    <row r="83" spans="1:8">
      <c r="A83" s="61">
        <f t="shared" si="3"/>
        <v>58</v>
      </c>
      <c r="B83" s="61"/>
      <c r="C83" s="61" t="s">
        <v>86</v>
      </c>
      <c r="D83" s="62">
        <f t="shared" ca="1" si="1"/>
        <v>45738</v>
      </c>
      <c r="E83" s="63">
        <f t="shared" si="6"/>
        <v>135252.76666666666</v>
      </c>
      <c r="F83" s="63">
        <f t="shared" si="2"/>
        <v>5591.6413690476184</v>
      </c>
      <c r="G83" s="64">
        <f t="shared" si="4"/>
        <v>140844.4080357143</v>
      </c>
      <c r="H83" s="65">
        <f t="shared" si="5"/>
        <v>281688.81607143325</v>
      </c>
    </row>
    <row r="84" spans="1:8">
      <c r="A84" s="61">
        <f t="shared" si="3"/>
        <v>59</v>
      </c>
      <c r="B84" s="61"/>
      <c r="C84" s="61" t="s">
        <v>87</v>
      </c>
      <c r="D84" s="62">
        <f t="shared" ca="1" si="1"/>
        <v>45769</v>
      </c>
      <c r="E84" s="63">
        <f t="shared" si="6"/>
        <v>135252.76666666666</v>
      </c>
      <c r="F84" s="63">
        <f t="shared" si="2"/>
        <v>5591.6413690476184</v>
      </c>
      <c r="G84" s="64">
        <f t="shared" si="4"/>
        <v>140844.4080357143</v>
      </c>
      <c r="H84" s="65">
        <f t="shared" si="5"/>
        <v>140844.40803571895</v>
      </c>
    </row>
    <row r="85" spans="1:8">
      <c r="A85" s="61">
        <f t="shared" si="3"/>
        <v>60</v>
      </c>
      <c r="B85" s="61"/>
      <c r="C85" s="61" t="s">
        <v>88</v>
      </c>
      <c r="D85" s="62">
        <f t="shared" ca="1" si="1"/>
        <v>45799</v>
      </c>
      <c r="E85" s="63">
        <f t="shared" si="6"/>
        <v>135252.76666666666</v>
      </c>
      <c r="F85" s="63">
        <f t="shared" si="2"/>
        <v>5591.6413690476184</v>
      </c>
      <c r="G85" s="64">
        <f t="shared" si="4"/>
        <v>140844.4080357143</v>
      </c>
      <c r="H85" s="65">
        <f t="shared" si="5"/>
        <v>4.6566128730773926E-9</v>
      </c>
    </row>
    <row r="86" spans="1:8">
      <c r="A86" s="166" t="s">
        <v>15</v>
      </c>
      <c r="B86" s="166"/>
      <c r="C86" s="166"/>
      <c r="D86" s="166"/>
      <c r="E86" s="67">
        <f>SUM(E24:E85)</f>
        <v>8165165.9999999972</v>
      </c>
      <c r="F86" s="67">
        <f t="shared" ref="F86:G86" si="7">SUM(F24:F85)</f>
        <v>335498.48214285763</v>
      </c>
      <c r="G86" s="67">
        <f t="shared" si="7"/>
        <v>8500664.4821428526</v>
      </c>
      <c r="H86" s="68"/>
    </row>
    <row r="87" spans="1:8" s="14" customFormat="1" ht="14">
      <c r="C87" s="28"/>
      <c r="D87" s="29"/>
      <c r="E87" s="30"/>
      <c r="F87" s="30"/>
      <c r="G87" s="30"/>
    </row>
    <row r="88" spans="1:8" s="14" customFormat="1" ht="14">
      <c r="A88" s="162" t="s">
        <v>136</v>
      </c>
      <c r="B88" s="162"/>
      <c r="C88" s="162"/>
      <c r="D88" s="162"/>
      <c r="E88" s="162"/>
      <c r="F88" s="162"/>
      <c r="G88" s="162"/>
      <c r="H88" s="162"/>
    </row>
    <row r="89" spans="1:8" s="14" customFormat="1" ht="29.25" customHeight="1">
      <c r="A89" s="164" t="s">
        <v>175</v>
      </c>
      <c r="B89" s="164"/>
      <c r="C89" s="164"/>
      <c r="D89" s="164"/>
      <c r="E89" s="164"/>
      <c r="F89" s="164"/>
      <c r="G89" s="164"/>
      <c r="H89" s="164"/>
    </row>
    <row r="90" spans="1:8" s="14" customFormat="1" ht="16.5" customHeight="1">
      <c r="A90" s="162" t="s">
        <v>176</v>
      </c>
      <c r="B90" s="162"/>
      <c r="C90" s="162"/>
      <c r="D90" s="162"/>
      <c r="E90" s="162"/>
      <c r="F90" s="162"/>
      <c r="G90" s="162"/>
      <c r="H90" s="162"/>
    </row>
    <row r="91" spans="1:8" s="14" customFormat="1" ht="16.5" customHeight="1">
      <c r="A91" s="162" t="s">
        <v>177</v>
      </c>
      <c r="B91" s="162"/>
      <c r="C91" s="162"/>
      <c r="D91" s="162"/>
      <c r="E91" s="162"/>
      <c r="F91" s="162"/>
      <c r="G91" s="162"/>
      <c r="H91" s="162"/>
    </row>
    <row r="92" spans="1:8" s="14" customFormat="1" ht="16.5" customHeight="1">
      <c r="A92" s="162" t="s">
        <v>178</v>
      </c>
      <c r="B92" s="162"/>
      <c r="C92" s="162"/>
      <c r="D92" s="162"/>
      <c r="E92" s="162"/>
      <c r="F92" s="162"/>
      <c r="G92" s="162"/>
      <c r="H92" s="162"/>
    </row>
    <row r="93" spans="1:8" s="14" customFormat="1" ht="107.25" customHeight="1">
      <c r="A93" s="162" t="s">
        <v>179</v>
      </c>
      <c r="B93" s="162"/>
      <c r="C93" s="162"/>
      <c r="D93" s="162"/>
      <c r="E93" s="162"/>
      <c r="F93" s="162"/>
      <c r="G93" s="162"/>
      <c r="H93" s="162"/>
    </row>
    <row r="94" spans="1:8" s="14" customFormat="1" ht="42" customHeight="1">
      <c r="A94" s="162" t="s">
        <v>180</v>
      </c>
      <c r="B94" s="162"/>
      <c r="C94" s="162"/>
      <c r="D94" s="162"/>
      <c r="E94" s="162"/>
      <c r="F94" s="162"/>
      <c r="G94" s="162"/>
      <c r="H94" s="162"/>
    </row>
    <row r="95" spans="1:8" s="14" customFormat="1" ht="17.25" customHeight="1">
      <c r="A95" s="162" t="s">
        <v>181</v>
      </c>
      <c r="B95" s="162"/>
      <c r="C95" s="162"/>
      <c r="D95" s="162"/>
      <c r="E95" s="162"/>
      <c r="F95" s="162"/>
      <c r="G95" s="162"/>
      <c r="H95" s="162"/>
    </row>
    <row r="96" spans="1:8" s="14" customFormat="1" ht="14">
      <c r="A96" s="162"/>
      <c r="B96" s="162"/>
      <c r="C96" s="162"/>
      <c r="D96" s="162"/>
      <c r="E96" s="162"/>
      <c r="F96" s="162"/>
      <c r="G96" s="162"/>
      <c r="H96" s="162"/>
    </row>
    <row r="97" spans="1:7" s="14" customFormat="1" ht="14">
      <c r="A97" s="14" t="s">
        <v>16</v>
      </c>
      <c r="D97" s="31"/>
      <c r="G97" s="15"/>
    </row>
    <row r="98" spans="1:7" s="14" customFormat="1" ht="14">
      <c r="D98" s="31"/>
      <c r="G98" s="15"/>
    </row>
    <row r="99" spans="1:7" s="14" customFormat="1" ht="15" customHeight="1">
      <c r="A99" s="32"/>
      <c r="B99" s="32"/>
      <c r="C99" s="32"/>
      <c r="D99" s="31"/>
      <c r="E99" s="32"/>
      <c r="F99" s="32"/>
      <c r="G99" s="33"/>
    </row>
    <row r="100" spans="1:7" s="14" customFormat="1" ht="14">
      <c r="A100" s="179" t="s">
        <v>163</v>
      </c>
      <c r="B100" s="179"/>
      <c r="C100" s="179"/>
      <c r="D100" s="31"/>
      <c r="E100" s="179" t="s">
        <v>17</v>
      </c>
      <c r="F100" s="179"/>
      <c r="G100" s="179"/>
    </row>
    <row r="101" spans="1:7"/>
  </sheetData>
  <sheetProtection password="CAF1" sheet="1" objects="1" scenarios="1" selectLockedCells="1"/>
  <mergeCells count="20">
    <mergeCell ref="A94:H94"/>
    <mergeCell ref="A95:H95"/>
    <mergeCell ref="A96:H96"/>
    <mergeCell ref="A100:C100"/>
    <mergeCell ref="E100:G100"/>
    <mergeCell ref="A92:H92"/>
    <mergeCell ref="A93:H93"/>
    <mergeCell ref="H1:H2"/>
    <mergeCell ref="A88:H88"/>
    <mergeCell ref="A89:H89"/>
    <mergeCell ref="A90:H90"/>
    <mergeCell ref="A91:H91"/>
    <mergeCell ref="A86:D86"/>
    <mergeCell ref="C5:H5"/>
    <mergeCell ref="C6:H6"/>
    <mergeCell ref="C7:H7"/>
    <mergeCell ref="C8:H8"/>
    <mergeCell ref="C9:H9"/>
    <mergeCell ref="C10:H10"/>
    <mergeCell ref="A23:G23"/>
  </mergeCells>
  <hyperlinks>
    <hyperlink ref="C1" location="'DATA SHEET'!A1" display="HIGHLANDS PRIME, INC." xr:uid="{00000000-0004-0000-0400-000000000000}"/>
    <hyperlink ref="J3" location="'DATA SHEET'!A1" display="Return to Data Sheet" xr:uid="{00000000-0004-0000-0400-000001000000}"/>
  </hyperlinks>
  <printOptions horizontalCentered="1"/>
  <pageMargins left="0.7" right="0.7" top="0.75" bottom="0.75" header="0.3" footer="0.3"/>
  <pageSetup paperSize="258" scale="47" orientation="portrait" r:id="rId1"/>
  <ignoredErrors>
    <ignoredError sqref="D19" formula="1"/>
    <ignoredError sqref="D15" unlockedFormula="1"/>
  </ignoredError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tabColor rgb="FFF7941D"/>
    <pageSetUpPr fitToPage="1"/>
  </sheetPr>
  <dimension ref="A1:L90"/>
  <sheetViews>
    <sheetView showGridLines="0" topLeftCell="A13" workbookViewId="0">
      <selection activeCell="D15" sqref="D15"/>
    </sheetView>
  </sheetViews>
  <sheetFormatPr baseColWidth="10" defaultColWidth="0" defaultRowHeight="14" zeroHeight="1"/>
  <cols>
    <col min="1" max="1" width="11.6640625" style="13" customWidth="1"/>
    <col min="2" max="2" width="10.5" style="13" customWidth="1"/>
    <col min="3" max="3" width="23.83203125" style="13" customWidth="1"/>
    <col min="4" max="4" width="13.5" style="35" bestFit="1" customWidth="1"/>
    <col min="5" max="5" width="13.5" style="13" bestFit="1" customWidth="1"/>
    <col min="6" max="6" width="13.6640625" style="13" bestFit="1" customWidth="1"/>
    <col min="7" max="7" width="13.5" style="36" bestFit="1" customWidth="1"/>
    <col min="8" max="8" width="16.5" style="13" bestFit="1" customWidth="1"/>
    <col min="9" max="9" width="9.83203125" style="13" bestFit="1" customWidth="1"/>
    <col min="10" max="12" width="9.1640625" style="13" customWidth="1"/>
    <col min="13" max="16384" width="9.1640625" style="13" hidden="1"/>
  </cols>
  <sheetData>
    <row r="1" spans="1:10" ht="12.75" customHeight="1">
      <c r="C1" s="34" t="s">
        <v>33</v>
      </c>
      <c r="H1" s="163" t="s">
        <v>50</v>
      </c>
    </row>
    <row r="2" spans="1:10" ht="12.75" customHeight="1">
      <c r="C2" s="36" t="s">
        <v>182</v>
      </c>
      <c r="H2" s="163"/>
    </row>
    <row r="3" spans="1:10">
      <c r="C3" s="36" t="s">
        <v>34</v>
      </c>
      <c r="J3" s="69" t="s">
        <v>111</v>
      </c>
    </row>
    <row r="4" spans="1:10"/>
    <row r="5" spans="1:10">
      <c r="A5" s="37" t="s">
        <v>0</v>
      </c>
      <c r="B5" s="38"/>
      <c r="C5" s="167" t="str">
        <f>'DATA SHEET'!C9</f>
        <v xml:space="preserve"> </v>
      </c>
      <c r="D5" s="167"/>
      <c r="E5" s="167"/>
      <c r="F5" s="38"/>
      <c r="G5" s="38"/>
      <c r="H5" s="71"/>
    </row>
    <row r="6" spans="1:10">
      <c r="A6" s="39" t="s">
        <v>30</v>
      </c>
      <c r="B6" s="40"/>
      <c r="C6" s="169" t="str">
        <f>'DATA SHEET'!C10</f>
        <v>2A</v>
      </c>
      <c r="D6" s="169"/>
      <c r="E6" s="169"/>
      <c r="F6" s="72"/>
      <c r="G6" s="73"/>
      <c r="H6" s="74"/>
    </row>
    <row r="7" spans="1:10">
      <c r="A7" s="39" t="s">
        <v>35</v>
      </c>
      <c r="B7" s="40"/>
      <c r="C7" s="171">
        <f>'DATA SHEET'!C12</f>
        <v>49.15</v>
      </c>
      <c r="D7" s="171"/>
      <c r="E7" s="171"/>
      <c r="F7" s="75"/>
      <c r="G7" s="76"/>
      <c r="H7" s="74"/>
    </row>
    <row r="8" spans="1:10">
      <c r="A8" s="39" t="s">
        <v>145</v>
      </c>
      <c r="B8" s="40"/>
      <c r="C8" s="77" t="str">
        <f>'DATA SHEET'!C11</f>
        <v>1-Bedroom</v>
      </c>
      <c r="D8" s="78" t="s">
        <v>101</v>
      </c>
      <c r="E8" s="79">
        <v>1</v>
      </c>
      <c r="F8" s="79"/>
      <c r="G8" s="80"/>
      <c r="H8" s="81">
        <v>38000</v>
      </c>
      <c r="I8" s="82">
        <v>0.1</v>
      </c>
    </row>
    <row r="9" spans="1:10">
      <c r="A9" s="41" t="s">
        <v>167</v>
      </c>
      <c r="B9" s="40"/>
      <c r="C9" s="175">
        <f>'DATA SHEET'!C13</f>
        <v>8473400</v>
      </c>
      <c r="D9" s="175"/>
      <c r="E9" s="175"/>
      <c r="F9" s="83"/>
      <c r="G9" s="84"/>
      <c r="H9" s="74"/>
    </row>
    <row r="10" spans="1:10">
      <c r="A10" s="42" t="s">
        <v>31</v>
      </c>
      <c r="B10" s="43"/>
      <c r="C10" s="180" t="str">
        <f>'DATA SHEET'!B20</f>
        <v>30% over 48 mos., 70% Lumpsum</v>
      </c>
      <c r="D10" s="180" t="s">
        <v>106</v>
      </c>
      <c r="E10" s="180" t="s">
        <v>106</v>
      </c>
      <c r="F10" s="180"/>
      <c r="G10" s="180"/>
      <c r="H10" s="181" t="s">
        <v>106</v>
      </c>
    </row>
    <row r="11" spans="1:10"/>
    <row r="12" spans="1:10">
      <c r="A12" s="36" t="s">
        <v>46</v>
      </c>
      <c r="B12" s="36"/>
    </row>
    <row r="13" spans="1:10">
      <c r="A13" s="14" t="s">
        <v>170</v>
      </c>
      <c r="D13" s="44">
        <f>(C9-650000)</f>
        <v>7823400</v>
      </c>
      <c r="E13" s="45" t="str">
        <f>LEFT(C8,9)</f>
        <v>1-Bedroom</v>
      </c>
    </row>
    <row r="14" spans="1:10">
      <c r="A14" s="46" t="s">
        <v>191</v>
      </c>
      <c r="B14" s="47"/>
      <c r="C14" s="101">
        <v>0.01</v>
      </c>
      <c r="D14" s="48">
        <f>IF(C14&lt;=1%,(D13*C14),"BEYOND MAX DISC.")</f>
        <v>78234</v>
      </c>
      <c r="E14" s="35"/>
    </row>
    <row r="15" spans="1:10">
      <c r="A15" s="46" t="s">
        <v>192</v>
      </c>
      <c r="B15" s="47"/>
      <c r="C15" s="101"/>
      <c r="D15" s="143">
        <f>VLOOKUP('DATA SHEET'!C10,'WESTCHASE PL'!$D$11:$H$33,5,0)</f>
        <v>230000</v>
      </c>
      <c r="E15" s="35"/>
    </row>
    <row r="16" spans="1:10">
      <c r="A16" s="14" t="s">
        <v>171</v>
      </c>
      <c r="B16" s="14"/>
      <c r="C16" s="14"/>
      <c r="D16" s="49">
        <f>D13-SUM(D14:D15)</f>
        <v>7515166</v>
      </c>
      <c r="E16" s="50"/>
    </row>
    <row r="17" spans="1:8">
      <c r="A17" s="47" t="s">
        <v>109</v>
      </c>
      <c r="B17" s="47"/>
      <c r="D17" s="51">
        <v>650000</v>
      </c>
      <c r="E17" s="50"/>
    </row>
    <row r="18" spans="1:8">
      <c r="A18" s="52" t="s">
        <v>172</v>
      </c>
      <c r="B18" s="15"/>
      <c r="C18" s="15"/>
      <c r="D18" s="53">
        <f>+SUM(D16:D17)</f>
        <v>8165166</v>
      </c>
      <c r="E18" s="50"/>
    </row>
    <row r="19" spans="1:8">
      <c r="A19" s="54" t="s">
        <v>154</v>
      </c>
      <c r="B19" s="54"/>
      <c r="C19" s="16">
        <v>0.05</v>
      </c>
      <c r="D19" s="55">
        <f>(D16/1.12)*C19</f>
        <v>335498.4821428571</v>
      </c>
      <c r="E19" s="50"/>
    </row>
    <row r="20" spans="1:8" ht="15" thickBot="1">
      <c r="A20" s="15" t="s">
        <v>47</v>
      </c>
      <c r="B20" s="15"/>
      <c r="C20" s="15"/>
      <c r="D20" s="56">
        <f>+SUM(D18:D19)</f>
        <v>8500664.4821428563</v>
      </c>
      <c r="E20" s="35"/>
    </row>
    <row r="21" spans="1:8" ht="15" thickTop="1"/>
    <row r="22" spans="1:8">
      <c r="A22" s="57" t="s">
        <v>32</v>
      </c>
      <c r="B22" s="57" t="s">
        <v>155</v>
      </c>
      <c r="C22" s="57" t="s">
        <v>2</v>
      </c>
      <c r="D22" s="57" t="s">
        <v>156</v>
      </c>
      <c r="E22" s="57" t="s">
        <v>173</v>
      </c>
      <c r="F22" s="57" t="s">
        <v>158</v>
      </c>
      <c r="G22" s="59" t="s">
        <v>159</v>
      </c>
      <c r="H22" s="57" t="s">
        <v>160</v>
      </c>
    </row>
    <row r="23" spans="1:8">
      <c r="A23" s="165" t="s">
        <v>162</v>
      </c>
      <c r="B23" s="165"/>
      <c r="C23" s="165"/>
      <c r="D23" s="165"/>
      <c r="E23" s="165"/>
      <c r="F23" s="165"/>
      <c r="G23" s="165"/>
      <c r="H23" s="60">
        <f>+D20</f>
        <v>8500664.4821428563</v>
      </c>
    </row>
    <row r="24" spans="1:8" ht="13.5" customHeight="1">
      <c r="A24" s="61">
        <v>0</v>
      </c>
      <c r="B24" s="61"/>
      <c r="C24" s="61" t="s">
        <v>36</v>
      </c>
      <c r="D24" s="62">
        <f ca="1">'DATA SHEET'!C8</f>
        <v>43973</v>
      </c>
      <c r="E24" s="85">
        <f>IF(E13="1-Bedroom",50000,100000)</f>
        <v>50000</v>
      </c>
      <c r="F24" s="85"/>
      <c r="G24" s="86">
        <f>+SUM(E24:F24)</f>
        <v>50000</v>
      </c>
      <c r="H24" s="65">
        <f>D20-G24</f>
        <v>8450664.4821428563</v>
      </c>
    </row>
    <row r="25" spans="1:8" ht="13.5" customHeight="1">
      <c r="A25" s="61"/>
      <c r="B25" s="66">
        <v>0.3</v>
      </c>
      <c r="C25" s="61" t="s">
        <v>165</v>
      </c>
      <c r="D25" s="62"/>
      <c r="E25" s="85"/>
      <c r="F25" s="85"/>
      <c r="G25" s="86"/>
      <c r="H25" s="65"/>
    </row>
    <row r="26" spans="1:8" ht="13.5" customHeight="1">
      <c r="A26" s="61">
        <v>1</v>
      </c>
      <c r="B26" s="61"/>
      <c r="C26" s="61" t="s">
        <v>3</v>
      </c>
      <c r="D26" s="62">
        <f ca="1">EDATE(D24,1)</f>
        <v>44004</v>
      </c>
      <c r="E26" s="87">
        <f t="shared" ref="E26:E73" si="0">(($D$18*30%)-$E$24)/48</f>
        <v>49990.620833333327</v>
      </c>
      <c r="F26" s="87">
        <f>(($D$19*30%))/48</f>
        <v>2096.8655133928569</v>
      </c>
      <c r="G26" s="86">
        <f>+SUM(E26:F26)</f>
        <v>52087.486346726182</v>
      </c>
      <c r="H26" s="88">
        <f>H24-G26</f>
        <v>8398576.995796131</v>
      </c>
    </row>
    <row r="27" spans="1:8">
      <c r="A27" s="61">
        <f>+A26+1</f>
        <v>2</v>
      </c>
      <c r="B27" s="61"/>
      <c r="C27" s="61" t="s">
        <v>4</v>
      </c>
      <c r="D27" s="62">
        <f t="shared" ref="D27:D74" ca="1" si="1">EDATE(D26,1)</f>
        <v>44034</v>
      </c>
      <c r="E27" s="87">
        <f t="shared" si="0"/>
        <v>49990.620833333327</v>
      </c>
      <c r="F27" s="87">
        <f>(($D$19*30%))/48</f>
        <v>2096.8655133928569</v>
      </c>
      <c r="G27" s="86">
        <f>+SUM(E27:F27)</f>
        <v>52087.486346726182</v>
      </c>
      <c r="H27" s="88">
        <f>H26-G27</f>
        <v>8346489.5094494047</v>
      </c>
    </row>
    <row r="28" spans="1:8">
      <c r="A28" s="61">
        <f t="shared" ref="A28:A74" si="2">+A27+1</f>
        <v>3</v>
      </c>
      <c r="B28" s="61"/>
      <c r="C28" s="61" t="s">
        <v>5</v>
      </c>
      <c r="D28" s="62">
        <f t="shared" ca="1" si="1"/>
        <v>44065</v>
      </c>
      <c r="E28" s="87">
        <f t="shared" si="0"/>
        <v>49990.620833333327</v>
      </c>
      <c r="F28" s="87">
        <f t="shared" ref="F28:F73" si="3">(($D$19*30%))/48</f>
        <v>2096.8655133928569</v>
      </c>
      <c r="G28" s="86">
        <f t="shared" ref="G28:G74" si="4">+SUM(E28:F28)</f>
        <v>52087.486346726182</v>
      </c>
      <c r="H28" s="88">
        <f t="shared" ref="H28:H73" si="5">H27-G28</f>
        <v>8294402.0231026784</v>
      </c>
    </row>
    <row r="29" spans="1:8">
      <c r="A29" s="61">
        <f t="shared" si="2"/>
        <v>4</v>
      </c>
      <c r="B29" s="61"/>
      <c r="C29" s="61" t="s">
        <v>6</v>
      </c>
      <c r="D29" s="62">
        <f t="shared" ca="1" si="1"/>
        <v>44096</v>
      </c>
      <c r="E29" s="87">
        <f t="shared" si="0"/>
        <v>49990.620833333327</v>
      </c>
      <c r="F29" s="87">
        <f t="shared" si="3"/>
        <v>2096.8655133928569</v>
      </c>
      <c r="G29" s="86">
        <f t="shared" si="4"/>
        <v>52087.486346726182</v>
      </c>
      <c r="H29" s="88">
        <f t="shared" si="5"/>
        <v>8242314.5367559521</v>
      </c>
    </row>
    <row r="30" spans="1:8">
      <c r="A30" s="61">
        <f t="shared" si="2"/>
        <v>5</v>
      </c>
      <c r="B30" s="61"/>
      <c r="C30" s="61" t="s">
        <v>7</v>
      </c>
      <c r="D30" s="62">
        <f t="shared" ca="1" si="1"/>
        <v>44126</v>
      </c>
      <c r="E30" s="87">
        <f t="shared" si="0"/>
        <v>49990.620833333327</v>
      </c>
      <c r="F30" s="87">
        <f t="shared" si="3"/>
        <v>2096.8655133928569</v>
      </c>
      <c r="G30" s="86">
        <f t="shared" si="4"/>
        <v>52087.486346726182</v>
      </c>
      <c r="H30" s="88">
        <f t="shared" si="5"/>
        <v>8190227.0504092257</v>
      </c>
    </row>
    <row r="31" spans="1:8">
      <c r="A31" s="61">
        <f t="shared" si="2"/>
        <v>6</v>
      </c>
      <c r="B31" s="61"/>
      <c r="C31" s="61" t="s">
        <v>8</v>
      </c>
      <c r="D31" s="62">
        <f t="shared" ca="1" si="1"/>
        <v>44157</v>
      </c>
      <c r="E31" s="87">
        <f t="shared" si="0"/>
        <v>49990.620833333327</v>
      </c>
      <c r="F31" s="87">
        <f t="shared" si="3"/>
        <v>2096.8655133928569</v>
      </c>
      <c r="G31" s="86">
        <f t="shared" si="4"/>
        <v>52087.486346726182</v>
      </c>
      <c r="H31" s="88">
        <f t="shared" si="5"/>
        <v>8138139.5640624994</v>
      </c>
    </row>
    <row r="32" spans="1:8">
      <c r="A32" s="61">
        <f t="shared" si="2"/>
        <v>7</v>
      </c>
      <c r="B32" s="61"/>
      <c r="C32" s="61" t="s">
        <v>9</v>
      </c>
      <c r="D32" s="62">
        <f t="shared" ca="1" si="1"/>
        <v>44187</v>
      </c>
      <c r="E32" s="87">
        <f t="shared" si="0"/>
        <v>49990.620833333327</v>
      </c>
      <c r="F32" s="87">
        <f t="shared" si="3"/>
        <v>2096.8655133928569</v>
      </c>
      <c r="G32" s="86">
        <f t="shared" si="4"/>
        <v>52087.486346726182</v>
      </c>
      <c r="H32" s="88">
        <f t="shared" si="5"/>
        <v>8086052.0777157731</v>
      </c>
    </row>
    <row r="33" spans="1:8">
      <c r="A33" s="61">
        <f t="shared" si="2"/>
        <v>8</v>
      </c>
      <c r="B33" s="61"/>
      <c r="C33" s="61" t="s">
        <v>10</v>
      </c>
      <c r="D33" s="62">
        <f t="shared" ca="1" si="1"/>
        <v>44218</v>
      </c>
      <c r="E33" s="87">
        <f t="shared" si="0"/>
        <v>49990.620833333327</v>
      </c>
      <c r="F33" s="87">
        <f t="shared" si="3"/>
        <v>2096.8655133928569</v>
      </c>
      <c r="G33" s="86">
        <f t="shared" si="4"/>
        <v>52087.486346726182</v>
      </c>
      <c r="H33" s="88">
        <f t="shared" si="5"/>
        <v>8033964.5913690468</v>
      </c>
    </row>
    <row r="34" spans="1:8">
      <c r="A34" s="61">
        <f t="shared" si="2"/>
        <v>9</v>
      </c>
      <c r="B34" s="61"/>
      <c r="C34" s="61" t="s">
        <v>11</v>
      </c>
      <c r="D34" s="62">
        <f t="shared" ca="1" si="1"/>
        <v>44249</v>
      </c>
      <c r="E34" s="87">
        <f t="shared" si="0"/>
        <v>49990.620833333327</v>
      </c>
      <c r="F34" s="87">
        <f t="shared" si="3"/>
        <v>2096.8655133928569</v>
      </c>
      <c r="G34" s="86">
        <f t="shared" si="4"/>
        <v>52087.486346726182</v>
      </c>
      <c r="H34" s="88">
        <f t="shared" si="5"/>
        <v>7981877.1050223205</v>
      </c>
    </row>
    <row r="35" spans="1:8">
      <c r="A35" s="61">
        <f t="shared" si="2"/>
        <v>10</v>
      </c>
      <c r="B35" s="61"/>
      <c r="C35" s="61" t="s">
        <v>12</v>
      </c>
      <c r="D35" s="62">
        <f t="shared" ca="1" si="1"/>
        <v>44277</v>
      </c>
      <c r="E35" s="87">
        <f t="shared" si="0"/>
        <v>49990.620833333327</v>
      </c>
      <c r="F35" s="87">
        <f t="shared" si="3"/>
        <v>2096.8655133928569</v>
      </c>
      <c r="G35" s="86">
        <f t="shared" si="4"/>
        <v>52087.486346726182</v>
      </c>
      <c r="H35" s="88">
        <f t="shared" si="5"/>
        <v>7929789.6186755942</v>
      </c>
    </row>
    <row r="36" spans="1:8">
      <c r="A36" s="61">
        <f t="shared" si="2"/>
        <v>11</v>
      </c>
      <c r="B36" s="61"/>
      <c r="C36" s="61" t="s">
        <v>13</v>
      </c>
      <c r="D36" s="62">
        <f t="shared" ca="1" si="1"/>
        <v>44308</v>
      </c>
      <c r="E36" s="87">
        <f t="shared" si="0"/>
        <v>49990.620833333327</v>
      </c>
      <c r="F36" s="87">
        <f t="shared" si="3"/>
        <v>2096.8655133928569</v>
      </c>
      <c r="G36" s="86">
        <f t="shared" si="4"/>
        <v>52087.486346726182</v>
      </c>
      <c r="H36" s="88">
        <f t="shared" si="5"/>
        <v>7877702.1323288679</v>
      </c>
    </row>
    <row r="37" spans="1:8">
      <c r="A37" s="61">
        <f t="shared" si="2"/>
        <v>12</v>
      </c>
      <c r="B37" s="61"/>
      <c r="C37" s="61" t="s">
        <v>14</v>
      </c>
      <c r="D37" s="62">
        <f t="shared" ca="1" si="1"/>
        <v>44338</v>
      </c>
      <c r="E37" s="87">
        <f t="shared" si="0"/>
        <v>49990.620833333327</v>
      </c>
      <c r="F37" s="87">
        <f t="shared" si="3"/>
        <v>2096.8655133928569</v>
      </c>
      <c r="G37" s="86">
        <f t="shared" si="4"/>
        <v>52087.486346726182</v>
      </c>
      <c r="H37" s="88">
        <f t="shared" si="5"/>
        <v>7825614.6459821416</v>
      </c>
    </row>
    <row r="38" spans="1:8">
      <c r="A38" s="61">
        <f t="shared" si="2"/>
        <v>13</v>
      </c>
      <c r="B38" s="61"/>
      <c r="C38" s="61" t="s">
        <v>18</v>
      </c>
      <c r="D38" s="62">
        <f t="shared" ca="1" si="1"/>
        <v>44369</v>
      </c>
      <c r="E38" s="87">
        <f t="shared" si="0"/>
        <v>49990.620833333327</v>
      </c>
      <c r="F38" s="87">
        <f t="shared" si="3"/>
        <v>2096.8655133928569</v>
      </c>
      <c r="G38" s="86">
        <f t="shared" si="4"/>
        <v>52087.486346726182</v>
      </c>
      <c r="H38" s="88">
        <f t="shared" si="5"/>
        <v>7773527.1596354153</v>
      </c>
    </row>
    <row r="39" spans="1:8">
      <c r="A39" s="61">
        <f t="shared" si="2"/>
        <v>14</v>
      </c>
      <c r="B39" s="61"/>
      <c r="C39" s="61" t="s">
        <v>19</v>
      </c>
      <c r="D39" s="62">
        <f t="shared" ca="1" si="1"/>
        <v>44399</v>
      </c>
      <c r="E39" s="87">
        <f t="shared" si="0"/>
        <v>49990.620833333327</v>
      </c>
      <c r="F39" s="87">
        <f t="shared" si="3"/>
        <v>2096.8655133928569</v>
      </c>
      <c r="G39" s="86">
        <f t="shared" si="4"/>
        <v>52087.486346726182</v>
      </c>
      <c r="H39" s="88">
        <f t="shared" si="5"/>
        <v>7721439.673288689</v>
      </c>
    </row>
    <row r="40" spans="1:8">
      <c r="A40" s="61">
        <f t="shared" si="2"/>
        <v>15</v>
      </c>
      <c r="B40" s="61"/>
      <c r="C40" s="61" t="s">
        <v>20</v>
      </c>
      <c r="D40" s="62">
        <f t="shared" ca="1" si="1"/>
        <v>44430</v>
      </c>
      <c r="E40" s="87">
        <f t="shared" si="0"/>
        <v>49990.620833333327</v>
      </c>
      <c r="F40" s="87">
        <f t="shared" si="3"/>
        <v>2096.8655133928569</v>
      </c>
      <c r="G40" s="86">
        <f t="shared" si="4"/>
        <v>52087.486346726182</v>
      </c>
      <c r="H40" s="88">
        <f t="shared" si="5"/>
        <v>7669352.1869419627</v>
      </c>
    </row>
    <row r="41" spans="1:8">
      <c r="A41" s="61">
        <f t="shared" si="2"/>
        <v>16</v>
      </c>
      <c r="B41" s="61"/>
      <c r="C41" s="61" t="s">
        <v>21</v>
      </c>
      <c r="D41" s="62">
        <f t="shared" ca="1" si="1"/>
        <v>44461</v>
      </c>
      <c r="E41" s="87">
        <f t="shared" si="0"/>
        <v>49990.620833333327</v>
      </c>
      <c r="F41" s="87">
        <f t="shared" si="3"/>
        <v>2096.8655133928569</v>
      </c>
      <c r="G41" s="86">
        <f t="shared" si="4"/>
        <v>52087.486346726182</v>
      </c>
      <c r="H41" s="88">
        <f t="shared" si="5"/>
        <v>7617264.7005952364</v>
      </c>
    </row>
    <row r="42" spans="1:8">
      <c r="A42" s="61">
        <f t="shared" si="2"/>
        <v>17</v>
      </c>
      <c r="B42" s="61"/>
      <c r="C42" s="61" t="s">
        <v>22</v>
      </c>
      <c r="D42" s="62">
        <f t="shared" ca="1" si="1"/>
        <v>44491</v>
      </c>
      <c r="E42" s="87">
        <f t="shared" si="0"/>
        <v>49990.620833333327</v>
      </c>
      <c r="F42" s="87">
        <f t="shared" si="3"/>
        <v>2096.8655133928569</v>
      </c>
      <c r="G42" s="86">
        <f t="shared" si="4"/>
        <v>52087.486346726182</v>
      </c>
      <c r="H42" s="88">
        <f t="shared" si="5"/>
        <v>7565177.2142485101</v>
      </c>
    </row>
    <row r="43" spans="1:8">
      <c r="A43" s="61">
        <f t="shared" si="2"/>
        <v>18</v>
      </c>
      <c r="B43" s="61"/>
      <c r="C43" s="61" t="s">
        <v>23</v>
      </c>
      <c r="D43" s="62">
        <f t="shared" ca="1" si="1"/>
        <v>44522</v>
      </c>
      <c r="E43" s="87">
        <f t="shared" si="0"/>
        <v>49990.620833333327</v>
      </c>
      <c r="F43" s="87">
        <f t="shared" si="3"/>
        <v>2096.8655133928569</v>
      </c>
      <c r="G43" s="86">
        <f t="shared" si="4"/>
        <v>52087.486346726182</v>
      </c>
      <c r="H43" s="88">
        <f t="shared" si="5"/>
        <v>7513089.7279017838</v>
      </c>
    </row>
    <row r="44" spans="1:8">
      <c r="A44" s="61">
        <f t="shared" si="2"/>
        <v>19</v>
      </c>
      <c r="B44" s="61"/>
      <c r="C44" s="61" t="s">
        <v>24</v>
      </c>
      <c r="D44" s="62">
        <f t="shared" ca="1" si="1"/>
        <v>44552</v>
      </c>
      <c r="E44" s="87">
        <f t="shared" si="0"/>
        <v>49990.620833333327</v>
      </c>
      <c r="F44" s="87">
        <f t="shared" si="3"/>
        <v>2096.8655133928569</v>
      </c>
      <c r="G44" s="86">
        <f t="shared" si="4"/>
        <v>52087.486346726182</v>
      </c>
      <c r="H44" s="88">
        <f t="shared" si="5"/>
        <v>7461002.2415550575</v>
      </c>
    </row>
    <row r="45" spans="1:8">
      <c r="A45" s="61">
        <f t="shared" si="2"/>
        <v>20</v>
      </c>
      <c r="B45" s="61"/>
      <c r="C45" s="61" t="s">
        <v>25</v>
      </c>
      <c r="D45" s="62">
        <f t="shared" ca="1" si="1"/>
        <v>44583</v>
      </c>
      <c r="E45" s="87">
        <f t="shared" si="0"/>
        <v>49990.620833333327</v>
      </c>
      <c r="F45" s="87">
        <f t="shared" si="3"/>
        <v>2096.8655133928569</v>
      </c>
      <c r="G45" s="86">
        <f t="shared" si="4"/>
        <v>52087.486346726182</v>
      </c>
      <c r="H45" s="88">
        <f t="shared" si="5"/>
        <v>7408914.7552083312</v>
      </c>
    </row>
    <row r="46" spans="1:8">
      <c r="A46" s="61">
        <f t="shared" si="2"/>
        <v>21</v>
      </c>
      <c r="B46" s="61"/>
      <c r="C46" s="61" t="s">
        <v>26</v>
      </c>
      <c r="D46" s="62">
        <f t="shared" ca="1" si="1"/>
        <v>44614</v>
      </c>
      <c r="E46" s="87">
        <f t="shared" si="0"/>
        <v>49990.620833333327</v>
      </c>
      <c r="F46" s="87">
        <f t="shared" si="3"/>
        <v>2096.8655133928569</v>
      </c>
      <c r="G46" s="86">
        <f t="shared" si="4"/>
        <v>52087.486346726182</v>
      </c>
      <c r="H46" s="88">
        <f t="shared" si="5"/>
        <v>7356827.2688616049</v>
      </c>
    </row>
    <row r="47" spans="1:8">
      <c r="A47" s="61">
        <f t="shared" si="2"/>
        <v>22</v>
      </c>
      <c r="B47" s="61"/>
      <c r="C47" s="61" t="s">
        <v>27</v>
      </c>
      <c r="D47" s="62">
        <f t="shared" ca="1" si="1"/>
        <v>44642</v>
      </c>
      <c r="E47" s="87">
        <f t="shared" si="0"/>
        <v>49990.620833333327</v>
      </c>
      <c r="F47" s="87">
        <f t="shared" si="3"/>
        <v>2096.8655133928569</v>
      </c>
      <c r="G47" s="86">
        <f t="shared" si="4"/>
        <v>52087.486346726182</v>
      </c>
      <c r="H47" s="88">
        <f t="shared" si="5"/>
        <v>7304739.7825148785</v>
      </c>
    </row>
    <row r="48" spans="1:8">
      <c r="A48" s="61">
        <f t="shared" si="2"/>
        <v>23</v>
      </c>
      <c r="B48" s="61"/>
      <c r="C48" s="61" t="s">
        <v>28</v>
      </c>
      <c r="D48" s="62">
        <f t="shared" ca="1" si="1"/>
        <v>44673</v>
      </c>
      <c r="E48" s="87">
        <f t="shared" si="0"/>
        <v>49990.620833333327</v>
      </c>
      <c r="F48" s="87">
        <f t="shared" si="3"/>
        <v>2096.8655133928569</v>
      </c>
      <c r="G48" s="86">
        <f t="shared" si="4"/>
        <v>52087.486346726182</v>
      </c>
      <c r="H48" s="88">
        <f t="shared" si="5"/>
        <v>7252652.2961681522</v>
      </c>
    </row>
    <row r="49" spans="1:8">
      <c r="A49" s="61">
        <f t="shared" si="2"/>
        <v>24</v>
      </c>
      <c r="B49" s="61"/>
      <c r="C49" s="61" t="s">
        <v>29</v>
      </c>
      <c r="D49" s="62">
        <f t="shared" ca="1" si="1"/>
        <v>44703</v>
      </c>
      <c r="E49" s="87">
        <f t="shared" si="0"/>
        <v>49990.620833333327</v>
      </c>
      <c r="F49" s="87">
        <f t="shared" si="3"/>
        <v>2096.8655133928569</v>
      </c>
      <c r="G49" s="86">
        <f t="shared" si="4"/>
        <v>52087.486346726182</v>
      </c>
      <c r="H49" s="88">
        <f t="shared" si="5"/>
        <v>7200564.8098214259</v>
      </c>
    </row>
    <row r="50" spans="1:8">
      <c r="A50" s="61">
        <f t="shared" si="2"/>
        <v>25</v>
      </c>
      <c r="B50" s="61"/>
      <c r="C50" s="61" t="s">
        <v>40</v>
      </c>
      <c r="D50" s="62">
        <f t="shared" ca="1" si="1"/>
        <v>44734</v>
      </c>
      <c r="E50" s="87">
        <f t="shared" si="0"/>
        <v>49990.620833333327</v>
      </c>
      <c r="F50" s="87">
        <f t="shared" si="3"/>
        <v>2096.8655133928569</v>
      </c>
      <c r="G50" s="86">
        <f t="shared" si="4"/>
        <v>52087.486346726182</v>
      </c>
      <c r="H50" s="88">
        <f t="shared" si="5"/>
        <v>7148477.3234746996</v>
      </c>
    </row>
    <row r="51" spans="1:8">
      <c r="A51" s="61">
        <f t="shared" si="2"/>
        <v>26</v>
      </c>
      <c r="B51" s="61"/>
      <c r="C51" s="61" t="s">
        <v>41</v>
      </c>
      <c r="D51" s="62">
        <f t="shared" ca="1" si="1"/>
        <v>44764</v>
      </c>
      <c r="E51" s="87">
        <f t="shared" si="0"/>
        <v>49990.620833333327</v>
      </c>
      <c r="F51" s="87">
        <f t="shared" si="3"/>
        <v>2096.8655133928569</v>
      </c>
      <c r="G51" s="86">
        <f t="shared" si="4"/>
        <v>52087.486346726182</v>
      </c>
      <c r="H51" s="88">
        <f t="shared" si="5"/>
        <v>7096389.8371279733</v>
      </c>
    </row>
    <row r="52" spans="1:8">
      <c r="A52" s="61">
        <f t="shared" si="2"/>
        <v>27</v>
      </c>
      <c r="B52" s="61"/>
      <c r="C52" s="61" t="s">
        <v>42</v>
      </c>
      <c r="D52" s="62">
        <f t="shared" ca="1" si="1"/>
        <v>44795</v>
      </c>
      <c r="E52" s="87">
        <f t="shared" si="0"/>
        <v>49990.620833333327</v>
      </c>
      <c r="F52" s="87">
        <f t="shared" si="3"/>
        <v>2096.8655133928569</v>
      </c>
      <c r="G52" s="86">
        <f t="shared" si="4"/>
        <v>52087.486346726182</v>
      </c>
      <c r="H52" s="88">
        <f t="shared" si="5"/>
        <v>7044302.350781247</v>
      </c>
    </row>
    <row r="53" spans="1:8">
      <c r="A53" s="61">
        <f t="shared" si="2"/>
        <v>28</v>
      </c>
      <c r="B53" s="61"/>
      <c r="C53" s="61" t="s">
        <v>43</v>
      </c>
      <c r="D53" s="62">
        <f t="shared" ca="1" si="1"/>
        <v>44826</v>
      </c>
      <c r="E53" s="87">
        <f t="shared" si="0"/>
        <v>49990.620833333327</v>
      </c>
      <c r="F53" s="87">
        <f t="shared" si="3"/>
        <v>2096.8655133928569</v>
      </c>
      <c r="G53" s="86">
        <f t="shared" si="4"/>
        <v>52087.486346726182</v>
      </c>
      <c r="H53" s="88">
        <f t="shared" si="5"/>
        <v>6992214.8644345207</v>
      </c>
    </row>
    <row r="54" spans="1:8">
      <c r="A54" s="61">
        <f t="shared" si="2"/>
        <v>29</v>
      </c>
      <c r="B54" s="61"/>
      <c r="C54" s="61" t="s">
        <v>44</v>
      </c>
      <c r="D54" s="62">
        <f t="shared" ca="1" si="1"/>
        <v>44856</v>
      </c>
      <c r="E54" s="87">
        <f t="shared" si="0"/>
        <v>49990.620833333327</v>
      </c>
      <c r="F54" s="87">
        <f t="shared" si="3"/>
        <v>2096.8655133928569</v>
      </c>
      <c r="G54" s="86">
        <f t="shared" si="4"/>
        <v>52087.486346726182</v>
      </c>
      <c r="H54" s="88">
        <f t="shared" si="5"/>
        <v>6940127.3780877944</v>
      </c>
    </row>
    <row r="55" spans="1:8">
      <c r="A55" s="61">
        <f t="shared" si="2"/>
        <v>30</v>
      </c>
      <c r="B55" s="61"/>
      <c r="C55" s="61" t="s">
        <v>45</v>
      </c>
      <c r="D55" s="62">
        <f t="shared" ca="1" si="1"/>
        <v>44887</v>
      </c>
      <c r="E55" s="87">
        <f t="shared" si="0"/>
        <v>49990.620833333327</v>
      </c>
      <c r="F55" s="87">
        <f t="shared" si="3"/>
        <v>2096.8655133928569</v>
      </c>
      <c r="G55" s="86">
        <f t="shared" si="4"/>
        <v>52087.486346726182</v>
      </c>
      <c r="H55" s="88">
        <f t="shared" si="5"/>
        <v>6888039.8917410681</v>
      </c>
    </row>
    <row r="56" spans="1:8">
      <c r="A56" s="61">
        <f t="shared" si="2"/>
        <v>31</v>
      </c>
      <c r="B56" s="61"/>
      <c r="C56" s="61" t="s">
        <v>59</v>
      </c>
      <c r="D56" s="62">
        <f t="shared" ca="1" si="1"/>
        <v>44917</v>
      </c>
      <c r="E56" s="87">
        <f t="shared" si="0"/>
        <v>49990.620833333327</v>
      </c>
      <c r="F56" s="87">
        <f t="shared" si="3"/>
        <v>2096.8655133928569</v>
      </c>
      <c r="G56" s="86">
        <f t="shared" si="4"/>
        <v>52087.486346726182</v>
      </c>
      <c r="H56" s="88">
        <f t="shared" si="5"/>
        <v>6835952.4053943418</v>
      </c>
    </row>
    <row r="57" spans="1:8">
      <c r="A57" s="61">
        <f t="shared" si="2"/>
        <v>32</v>
      </c>
      <c r="B57" s="61"/>
      <c r="C57" s="61" t="s">
        <v>60</v>
      </c>
      <c r="D57" s="62">
        <f t="shared" ca="1" si="1"/>
        <v>44948</v>
      </c>
      <c r="E57" s="87">
        <f t="shared" si="0"/>
        <v>49990.620833333327</v>
      </c>
      <c r="F57" s="87">
        <f t="shared" si="3"/>
        <v>2096.8655133928569</v>
      </c>
      <c r="G57" s="86">
        <f t="shared" si="4"/>
        <v>52087.486346726182</v>
      </c>
      <c r="H57" s="88">
        <f t="shared" si="5"/>
        <v>6783864.9190476155</v>
      </c>
    </row>
    <row r="58" spans="1:8">
      <c r="A58" s="61">
        <f t="shared" si="2"/>
        <v>33</v>
      </c>
      <c r="B58" s="61"/>
      <c r="C58" s="61" t="s">
        <v>61</v>
      </c>
      <c r="D58" s="62">
        <f t="shared" ca="1" si="1"/>
        <v>44979</v>
      </c>
      <c r="E58" s="87">
        <f t="shared" si="0"/>
        <v>49990.620833333327</v>
      </c>
      <c r="F58" s="87">
        <f t="shared" si="3"/>
        <v>2096.8655133928569</v>
      </c>
      <c r="G58" s="86">
        <f t="shared" si="4"/>
        <v>52087.486346726182</v>
      </c>
      <c r="H58" s="88">
        <f t="shared" si="5"/>
        <v>6731777.4327008892</v>
      </c>
    </row>
    <row r="59" spans="1:8">
      <c r="A59" s="61">
        <f t="shared" si="2"/>
        <v>34</v>
      </c>
      <c r="B59" s="61"/>
      <c r="C59" s="61" t="s">
        <v>62</v>
      </c>
      <c r="D59" s="62">
        <f t="shared" ca="1" si="1"/>
        <v>45007</v>
      </c>
      <c r="E59" s="87">
        <f t="shared" si="0"/>
        <v>49990.620833333327</v>
      </c>
      <c r="F59" s="87">
        <f t="shared" si="3"/>
        <v>2096.8655133928569</v>
      </c>
      <c r="G59" s="86">
        <f t="shared" si="4"/>
        <v>52087.486346726182</v>
      </c>
      <c r="H59" s="88">
        <f t="shared" si="5"/>
        <v>6679689.9463541629</v>
      </c>
    </row>
    <row r="60" spans="1:8">
      <c r="A60" s="61">
        <f t="shared" si="2"/>
        <v>35</v>
      </c>
      <c r="B60" s="61"/>
      <c r="C60" s="61" t="s">
        <v>63</v>
      </c>
      <c r="D60" s="62">
        <f t="shared" ca="1" si="1"/>
        <v>45038</v>
      </c>
      <c r="E60" s="87">
        <f t="shared" si="0"/>
        <v>49990.620833333327</v>
      </c>
      <c r="F60" s="87">
        <f t="shared" si="3"/>
        <v>2096.8655133928569</v>
      </c>
      <c r="G60" s="86">
        <f t="shared" si="4"/>
        <v>52087.486346726182</v>
      </c>
      <c r="H60" s="88">
        <f t="shared" si="5"/>
        <v>6627602.4600074366</v>
      </c>
    </row>
    <row r="61" spans="1:8">
      <c r="A61" s="61">
        <f t="shared" si="2"/>
        <v>36</v>
      </c>
      <c r="B61" s="61"/>
      <c r="C61" s="61" t="s">
        <v>64</v>
      </c>
      <c r="D61" s="62">
        <f t="shared" ca="1" si="1"/>
        <v>45068</v>
      </c>
      <c r="E61" s="87">
        <f t="shared" si="0"/>
        <v>49990.620833333327</v>
      </c>
      <c r="F61" s="87">
        <f t="shared" si="3"/>
        <v>2096.8655133928569</v>
      </c>
      <c r="G61" s="86">
        <f t="shared" si="4"/>
        <v>52087.486346726182</v>
      </c>
      <c r="H61" s="88">
        <f t="shared" si="5"/>
        <v>6575514.9736607103</v>
      </c>
    </row>
    <row r="62" spans="1:8">
      <c r="A62" s="61">
        <f t="shared" si="2"/>
        <v>37</v>
      </c>
      <c r="B62" s="61"/>
      <c r="C62" s="61" t="s">
        <v>65</v>
      </c>
      <c r="D62" s="62">
        <f t="shared" ca="1" si="1"/>
        <v>45099</v>
      </c>
      <c r="E62" s="87">
        <f t="shared" si="0"/>
        <v>49990.620833333327</v>
      </c>
      <c r="F62" s="87">
        <f t="shared" si="3"/>
        <v>2096.8655133928569</v>
      </c>
      <c r="G62" s="86">
        <f t="shared" si="4"/>
        <v>52087.486346726182</v>
      </c>
      <c r="H62" s="88">
        <f t="shared" si="5"/>
        <v>6523427.487313984</v>
      </c>
    </row>
    <row r="63" spans="1:8">
      <c r="A63" s="61">
        <f t="shared" si="2"/>
        <v>38</v>
      </c>
      <c r="B63" s="61"/>
      <c r="C63" s="61" t="s">
        <v>66</v>
      </c>
      <c r="D63" s="62">
        <f t="shared" ca="1" si="1"/>
        <v>45129</v>
      </c>
      <c r="E63" s="87">
        <f t="shared" si="0"/>
        <v>49990.620833333327</v>
      </c>
      <c r="F63" s="87">
        <f t="shared" si="3"/>
        <v>2096.8655133928569</v>
      </c>
      <c r="G63" s="86">
        <f t="shared" si="4"/>
        <v>52087.486346726182</v>
      </c>
      <c r="H63" s="88">
        <f t="shared" si="5"/>
        <v>6471340.0009672577</v>
      </c>
    </row>
    <row r="64" spans="1:8">
      <c r="A64" s="61">
        <f t="shared" si="2"/>
        <v>39</v>
      </c>
      <c r="B64" s="61"/>
      <c r="C64" s="61" t="s">
        <v>67</v>
      </c>
      <c r="D64" s="62">
        <f t="shared" ca="1" si="1"/>
        <v>45160</v>
      </c>
      <c r="E64" s="87">
        <f t="shared" si="0"/>
        <v>49990.620833333327</v>
      </c>
      <c r="F64" s="87">
        <f t="shared" si="3"/>
        <v>2096.8655133928569</v>
      </c>
      <c r="G64" s="86">
        <f t="shared" si="4"/>
        <v>52087.486346726182</v>
      </c>
      <c r="H64" s="88">
        <f t="shared" si="5"/>
        <v>6419252.5146205314</v>
      </c>
    </row>
    <row r="65" spans="1:8">
      <c r="A65" s="61">
        <f t="shared" si="2"/>
        <v>40</v>
      </c>
      <c r="B65" s="61"/>
      <c r="C65" s="61" t="s">
        <v>68</v>
      </c>
      <c r="D65" s="62">
        <f t="shared" ca="1" si="1"/>
        <v>45191</v>
      </c>
      <c r="E65" s="87">
        <f t="shared" si="0"/>
        <v>49990.620833333327</v>
      </c>
      <c r="F65" s="87">
        <f t="shared" si="3"/>
        <v>2096.8655133928569</v>
      </c>
      <c r="G65" s="86">
        <f t="shared" si="4"/>
        <v>52087.486346726182</v>
      </c>
      <c r="H65" s="88">
        <f t="shared" si="5"/>
        <v>6367165.028273805</v>
      </c>
    </row>
    <row r="66" spans="1:8">
      <c r="A66" s="61">
        <f t="shared" si="2"/>
        <v>41</v>
      </c>
      <c r="B66" s="61"/>
      <c r="C66" s="61" t="s">
        <v>69</v>
      </c>
      <c r="D66" s="62">
        <f t="shared" ca="1" si="1"/>
        <v>45221</v>
      </c>
      <c r="E66" s="87">
        <f t="shared" si="0"/>
        <v>49990.620833333327</v>
      </c>
      <c r="F66" s="87">
        <f t="shared" si="3"/>
        <v>2096.8655133928569</v>
      </c>
      <c r="G66" s="86">
        <f t="shared" si="4"/>
        <v>52087.486346726182</v>
      </c>
      <c r="H66" s="88">
        <f t="shared" si="5"/>
        <v>6315077.5419270787</v>
      </c>
    </row>
    <row r="67" spans="1:8">
      <c r="A67" s="61">
        <f t="shared" si="2"/>
        <v>42</v>
      </c>
      <c r="B67" s="61"/>
      <c r="C67" s="61" t="s">
        <v>70</v>
      </c>
      <c r="D67" s="62">
        <f t="shared" ca="1" si="1"/>
        <v>45252</v>
      </c>
      <c r="E67" s="87">
        <f t="shared" si="0"/>
        <v>49990.620833333327</v>
      </c>
      <c r="F67" s="87">
        <f t="shared" si="3"/>
        <v>2096.8655133928569</v>
      </c>
      <c r="G67" s="86">
        <f t="shared" si="4"/>
        <v>52087.486346726182</v>
      </c>
      <c r="H67" s="88">
        <f t="shared" si="5"/>
        <v>6262990.0555803524</v>
      </c>
    </row>
    <row r="68" spans="1:8">
      <c r="A68" s="61">
        <f t="shared" si="2"/>
        <v>43</v>
      </c>
      <c r="B68" s="61"/>
      <c r="C68" s="61" t="s">
        <v>71</v>
      </c>
      <c r="D68" s="62">
        <f t="shared" ca="1" si="1"/>
        <v>45282</v>
      </c>
      <c r="E68" s="87">
        <f t="shared" si="0"/>
        <v>49990.620833333327</v>
      </c>
      <c r="F68" s="87">
        <f t="shared" si="3"/>
        <v>2096.8655133928569</v>
      </c>
      <c r="G68" s="86">
        <f t="shared" si="4"/>
        <v>52087.486346726182</v>
      </c>
      <c r="H68" s="88">
        <f t="shared" si="5"/>
        <v>6210902.5692336261</v>
      </c>
    </row>
    <row r="69" spans="1:8">
      <c r="A69" s="61">
        <f t="shared" si="2"/>
        <v>44</v>
      </c>
      <c r="B69" s="61"/>
      <c r="C69" s="61" t="s">
        <v>72</v>
      </c>
      <c r="D69" s="62">
        <f t="shared" ca="1" si="1"/>
        <v>45313</v>
      </c>
      <c r="E69" s="87">
        <f t="shared" si="0"/>
        <v>49990.620833333327</v>
      </c>
      <c r="F69" s="87">
        <f t="shared" si="3"/>
        <v>2096.8655133928569</v>
      </c>
      <c r="G69" s="86">
        <f t="shared" si="4"/>
        <v>52087.486346726182</v>
      </c>
      <c r="H69" s="88">
        <f t="shared" si="5"/>
        <v>6158815.0828868998</v>
      </c>
    </row>
    <row r="70" spans="1:8">
      <c r="A70" s="61">
        <f t="shared" si="2"/>
        <v>45</v>
      </c>
      <c r="B70" s="61"/>
      <c r="C70" s="61" t="s">
        <v>73</v>
      </c>
      <c r="D70" s="62">
        <f t="shared" ca="1" si="1"/>
        <v>45344</v>
      </c>
      <c r="E70" s="87">
        <f t="shared" si="0"/>
        <v>49990.620833333327</v>
      </c>
      <c r="F70" s="87">
        <f t="shared" si="3"/>
        <v>2096.8655133928569</v>
      </c>
      <c r="G70" s="86">
        <f t="shared" si="4"/>
        <v>52087.486346726182</v>
      </c>
      <c r="H70" s="88">
        <f t="shared" si="5"/>
        <v>6106727.5965401735</v>
      </c>
    </row>
    <row r="71" spans="1:8">
      <c r="A71" s="61">
        <f t="shared" si="2"/>
        <v>46</v>
      </c>
      <c r="B71" s="61"/>
      <c r="C71" s="61" t="s">
        <v>74</v>
      </c>
      <c r="D71" s="62">
        <f t="shared" ca="1" si="1"/>
        <v>45373</v>
      </c>
      <c r="E71" s="87">
        <f t="shared" si="0"/>
        <v>49990.620833333327</v>
      </c>
      <c r="F71" s="87">
        <f t="shared" si="3"/>
        <v>2096.8655133928569</v>
      </c>
      <c r="G71" s="86">
        <f t="shared" si="4"/>
        <v>52087.486346726182</v>
      </c>
      <c r="H71" s="88">
        <f t="shared" si="5"/>
        <v>6054640.1101934472</v>
      </c>
    </row>
    <row r="72" spans="1:8">
      <c r="A72" s="61">
        <f t="shared" si="2"/>
        <v>47</v>
      </c>
      <c r="B72" s="61"/>
      <c r="C72" s="61" t="s">
        <v>75</v>
      </c>
      <c r="D72" s="62">
        <f t="shared" ca="1" si="1"/>
        <v>45404</v>
      </c>
      <c r="E72" s="87">
        <f t="shared" si="0"/>
        <v>49990.620833333327</v>
      </c>
      <c r="F72" s="87">
        <f t="shared" si="3"/>
        <v>2096.8655133928569</v>
      </c>
      <c r="G72" s="86">
        <f t="shared" si="4"/>
        <v>52087.486346726182</v>
      </c>
      <c r="H72" s="88">
        <f t="shared" si="5"/>
        <v>6002552.6238467209</v>
      </c>
    </row>
    <row r="73" spans="1:8">
      <c r="A73" s="61">
        <f t="shared" si="2"/>
        <v>48</v>
      </c>
      <c r="B73" s="61"/>
      <c r="C73" s="61" t="s">
        <v>76</v>
      </c>
      <c r="D73" s="62">
        <f t="shared" ca="1" si="1"/>
        <v>45434</v>
      </c>
      <c r="E73" s="87">
        <f t="shared" si="0"/>
        <v>49990.620833333327</v>
      </c>
      <c r="F73" s="87">
        <f t="shared" si="3"/>
        <v>2096.8655133928569</v>
      </c>
      <c r="G73" s="86">
        <f t="shared" si="4"/>
        <v>52087.486346726182</v>
      </c>
      <c r="H73" s="88">
        <f t="shared" si="5"/>
        <v>5950465.1374999946</v>
      </c>
    </row>
    <row r="74" spans="1:8">
      <c r="A74" s="61">
        <f t="shared" si="2"/>
        <v>49</v>
      </c>
      <c r="B74" s="66">
        <v>0.7</v>
      </c>
      <c r="C74" s="61" t="s">
        <v>105</v>
      </c>
      <c r="D74" s="62">
        <f t="shared" ca="1" si="1"/>
        <v>45465</v>
      </c>
      <c r="E74" s="85">
        <f>D18*70%</f>
        <v>5715616.1999999993</v>
      </c>
      <c r="F74" s="85">
        <f>D19*70%</f>
        <v>234848.93749999994</v>
      </c>
      <c r="G74" s="86">
        <f t="shared" si="4"/>
        <v>5950465.1374999993</v>
      </c>
      <c r="H74" s="88">
        <f>H73-G74</f>
        <v>0</v>
      </c>
    </row>
    <row r="75" spans="1:8">
      <c r="A75" s="166" t="s">
        <v>15</v>
      </c>
      <c r="B75" s="166"/>
      <c r="C75" s="166"/>
      <c r="D75" s="166"/>
      <c r="E75" s="67">
        <f>SUM(E24:E74)</f>
        <v>8165165.9999999981</v>
      </c>
      <c r="F75" s="67">
        <f t="shared" ref="F75:G75" si="6">SUM(F24:F74)</f>
        <v>335498.48214285698</v>
      </c>
      <c r="G75" s="67">
        <f t="shared" si="6"/>
        <v>8500664.4821428545</v>
      </c>
      <c r="H75" s="68"/>
    </row>
    <row r="76" spans="1:8" s="14" customFormat="1">
      <c r="C76" s="28"/>
      <c r="D76" s="29"/>
      <c r="E76" s="30"/>
      <c r="F76" s="30"/>
      <c r="G76" s="30"/>
    </row>
    <row r="77" spans="1:8" s="14" customFormat="1">
      <c r="A77" s="162" t="s">
        <v>136</v>
      </c>
      <c r="B77" s="162"/>
      <c r="C77" s="162"/>
      <c r="D77" s="162"/>
      <c r="E77" s="162"/>
      <c r="F77" s="162"/>
      <c r="G77" s="162"/>
      <c r="H77" s="162"/>
    </row>
    <row r="78" spans="1:8" s="14" customFormat="1" ht="29.25" customHeight="1">
      <c r="A78" s="164" t="s">
        <v>175</v>
      </c>
      <c r="B78" s="164"/>
      <c r="C78" s="164"/>
      <c r="D78" s="164"/>
      <c r="E78" s="164"/>
      <c r="F78" s="164"/>
      <c r="G78" s="164"/>
      <c r="H78" s="164"/>
    </row>
    <row r="79" spans="1:8" s="14" customFormat="1" ht="16.5" customHeight="1">
      <c r="A79" s="162" t="s">
        <v>176</v>
      </c>
      <c r="B79" s="162"/>
      <c r="C79" s="162"/>
      <c r="D79" s="162"/>
      <c r="E79" s="162"/>
      <c r="F79" s="162"/>
      <c r="G79" s="162"/>
      <c r="H79" s="162"/>
    </row>
    <row r="80" spans="1:8" s="14" customFormat="1" ht="16.5" customHeight="1">
      <c r="A80" s="162" t="s">
        <v>177</v>
      </c>
      <c r="B80" s="162"/>
      <c r="C80" s="162"/>
      <c r="D80" s="162"/>
      <c r="E80" s="162"/>
      <c r="F80" s="162"/>
      <c r="G80" s="162"/>
      <c r="H80" s="162"/>
    </row>
    <row r="81" spans="1:8" s="14" customFormat="1" ht="16.5" customHeight="1">
      <c r="A81" s="162" t="s">
        <v>178</v>
      </c>
      <c r="B81" s="162"/>
      <c r="C81" s="162"/>
      <c r="D81" s="162"/>
      <c r="E81" s="162"/>
      <c r="F81" s="162"/>
      <c r="G81" s="162"/>
      <c r="H81" s="162"/>
    </row>
    <row r="82" spans="1:8" s="14" customFormat="1" ht="107.25" customHeight="1">
      <c r="A82" s="162" t="s">
        <v>179</v>
      </c>
      <c r="B82" s="162"/>
      <c r="C82" s="162"/>
      <c r="D82" s="162"/>
      <c r="E82" s="162"/>
      <c r="F82" s="162"/>
      <c r="G82" s="162"/>
      <c r="H82" s="162"/>
    </row>
    <row r="83" spans="1:8" s="14" customFormat="1" ht="42" customHeight="1">
      <c r="A83" s="162" t="s">
        <v>180</v>
      </c>
      <c r="B83" s="162"/>
      <c r="C83" s="162"/>
      <c r="D83" s="162"/>
      <c r="E83" s="162"/>
      <c r="F83" s="162"/>
      <c r="G83" s="162"/>
      <c r="H83" s="162"/>
    </row>
    <row r="84" spans="1:8" s="14" customFormat="1" ht="17.25" customHeight="1">
      <c r="A84" s="162" t="s">
        <v>181</v>
      </c>
      <c r="B84" s="162"/>
      <c r="C84" s="162"/>
      <c r="D84" s="162"/>
      <c r="E84" s="162"/>
      <c r="F84" s="162"/>
      <c r="G84" s="162"/>
      <c r="H84" s="162"/>
    </row>
    <row r="85" spans="1:8" s="14" customFormat="1">
      <c r="A85" s="162"/>
      <c r="B85" s="162"/>
      <c r="C85" s="162"/>
      <c r="D85" s="162"/>
      <c r="E85" s="162"/>
      <c r="F85" s="162"/>
      <c r="G85" s="162"/>
      <c r="H85" s="162"/>
    </row>
    <row r="86" spans="1:8" s="14" customFormat="1">
      <c r="A86" s="14" t="s">
        <v>16</v>
      </c>
      <c r="D86" s="31"/>
      <c r="G86" s="15"/>
    </row>
    <row r="87" spans="1:8" s="14" customFormat="1">
      <c r="D87" s="31"/>
      <c r="G87" s="15"/>
    </row>
    <row r="88" spans="1:8" s="14" customFormat="1" ht="15" customHeight="1">
      <c r="A88" s="32"/>
      <c r="B88" s="32"/>
      <c r="C88" s="32"/>
      <c r="D88" s="31"/>
      <c r="E88" s="32"/>
      <c r="F88" s="32"/>
      <c r="G88" s="33"/>
    </row>
    <row r="89" spans="1:8" s="14" customFormat="1">
      <c r="A89" s="179" t="s">
        <v>163</v>
      </c>
      <c r="B89" s="179"/>
      <c r="C89" s="179"/>
      <c r="D89" s="31"/>
      <c r="E89" s="179" t="s">
        <v>17</v>
      </c>
      <c r="F89" s="179"/>
      <c r="G89" s="179"/>
    </row>
    <row r="90" spans="1:8"/>
  </sheetData>
  <sheetProtection password="CAF1" sheet="1" objects="1" scenarios="1" selectLockedCells="1"/>
  <mergeCells count="19">
    <mergeCell ref="A83:H83"/>
    <mergeCell ref="A84:H84"/>
    <mergeCell ref="A85:H85"/>
    <mergeCell ref="A89:C89"/>
    <mergeCell ref="E89:G89"/>
    <mergeCell ref="A23:G23"/>
    <mergeCell ref="C10:H10"/>
    <mergeCell ref="A77:H77"/>
    <mergeCell ref="A78:H78"/>
    <mergeCell ref="H1:H2"/>
    <mergeCell ref="C5:E5"/>
    <mergeCell ref="C6:E6"/>
    <mergeCell ref="C7:E7"/>
    <mergeCell ref="C9:E9"/>
    <mergeCell ref="A79:H79"/>
    <mergeCell ref="A80:H80"/>
    <mergeCell ref="A81:H81"/>
    <mergeCell ref="A82:H82"/>
    <mergeCell ref="A75:D75"/>
  </mergeCells>
  <hyperlinks>
    <hyperlink ref="C1" location="'DATA SHEET'!A1" display="HIGHLANDS PRIME, INC." xr:uid="{00000000-0004-0000-0500-000000000000}"/>
    <hyperlink ref="J3" location="'DATA SHEET'!A1" display="Return to Data Sheet" xr:uid="{00000000-0004-0000-0500-000001000000}"/>
  </hyperlinks>
  <pageMargins left="0.7" right="0.7" top="0.75" bottom="0.75" header="0.3" footer="0.3"/>
  <pageSetup paperSize="258" scale="73" orientation="portrait" verticalDpi="0"/>
  <ignoredErrors>
    <ignoredError sqref="D19" formula="1"/>
  </ignoredError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7941D"/>
  </sheetPr>
  <dimension ref="A1:L97"/>
  <sheetViews>
    <sheetView showGridLines="0" workbookViewId="0">
      <selection activeCell="D15" sqref="D15"/>
    </sheetView>
  </sheetViews>
  <sheetFormatPr baseColWidth="10" defaultColWidth="0" defaultRowHeight="14" zeroHeight="1"/>
  <cols>
    <col min="1" max="1" width="12.1640625" style="13" customWidth="1"/>
    <col min="2" max="2" width="10.83203125" style="13" customWidth="1"/>
    <col min="3" max="3" width="24.1640625" style="13" customWidth="1"/>
    <col min="4" max="4" width="13.5" style="35" bestFit="1" customWidth="1"/>
    <col min="5" max="5" width="13.5" style="13" bestFit="1" customWidth="1"/>
    <col min="6" max="6" width="13.6640625" style="13" bestFit="1" customWidth="1"/>
    <col min="7" max="7" width="13.5" style="36" bestFit="1" customWidth="1"/>
    <col min="8" max="8" width="16.5" style="13" bestFit="1" customWidth="1"/>
    <col min="9" max="9" width="9.83203125" style="13" bestFit="1" customWidth="1"/>
    <col min="10" max="12" width="9.1640625" style="13" customWidth="1"/>
    <col min="13" max="16384" width="9.1640625" style="13" hidden="1"/>
  </cols>
  <sheetData>
    <row r="1" spans="1:10" ht="12.75" customHeight="1">
      <c r="C1" s="34" t="s">
        <v>33</v>
      </c>
      <c r="H1" s="163" t="s">
        <v>50</v>
      </c>
    </row>
    <row r="2" spans="1:10" ht="12.75" customHeight="1">
      <c r="C2" s="36" t="s">
        <v>182</v>
      </c>
      <c r="H2" s="163"/>
    </row>
    <row r="3" spans="1:10">
      <c r="C3" s="36" t="s">
        <v>34</v>
      </c>
      <c r="J3" s="69" t="s">
        <v>111</v>
      </c>
    </row>
    <row r="4" spans="1:10"/>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c r="I8" s="82">
        <v>0.1</v>
      </c>
    </row>
    <row r="9" spans="1:10">
      <c r="A9" s="41" t="s">
        <v>167</v>
      </c>
      <c r="B9" s="40"/>
      <c r="C9" s="175">
        <f>'DATA SHEET'!C13</f>
        <v>8473400</v>
      </c>
      <c r="D9" s="175"/>
      <c r="E9" s="175"/>
      <c r="F9" s="175"/>
      <c r="G9" s="175"/>
      <c r="H9" s="176"/>
    </row>
    <row r="10" spans="1:10">
      <c r="A10" s="42" t="s">
        <v>31</v>
      </c>
      <c r="B10" s="43"/>
      <c r="C10" s="180" t="str">
        <f>'DATA SHEET'!B21</f>
        <v>10% over 6 months, 20% over 48 months, 70% Lumpsum</v>
      </c>
      <c r="D10" s="180"/>
      <c r="E10" s="180"/>
      <c r="F10" s="180"/>
      <c r="G10" s="180"/>
      <c r="H10" s="181"/>
    </row>
    <row r="11" spans="1:10"/>
    <row r="12" spans="1:10">
      <c r="A12" s="36" t="s">
        <v>46</v>
      </c>
      <c r="B12" s="36"/>
    </row>
    <row r="13" spans="1:10">
      <c r="A13" s="14" t="s">
        <v>170</v>
      </c>
      <c r="D13" s="44">
        <f>(C9-650000)</f>
        <v>7823400</v>
      </c>
      <c r="E13" s="45" t="str">
        <f>LEFT(C8,9)</f>
        <v>1-Bedroom</v>
      </c>
    </row>
    <row r="14" spans="1:10">
      <c r="A14" s="46" t="s">
        <v>191</v>
      </c>
      <c r="B14" s="47"/>
      <c r="C14" s="101">
        <v>0.01</v>
      </c>
      <c r="D14" s="48">
        <f>IF(C14&lt;=1%,(D13*C14),"BEYOND MAX DISC.")</f>
        <v>78234</v>
      </c>
      <c r="E14" s="35"/>
    </row>
    <row r="15" spans="1:10">
      <c r="A15" s="46" t="s">
        <v>192</v>
      </c>
      <c r="B15" s="47"/>
      <c r="C15" s="101"/>
      <c r="D15" s="143">
        <f>VLOOKUP('DATA SHEET'!C10,'WESTCHASE PL'!$D$11:$H$33,5,0)</f>
        <v>230000</v>
      </c>
      <c r="E15" s="35"/>
    </row>
    <row r="16" spans="1:10">
      <c r="A16" s="14" t="s">
        <v>171</v>
      </c>
      <c r="B16" s="14"/>
      <c r="C16" s="14"/>
      <c r="D16" s="49">
        <f>D13-SUM(D14:D15)</f>
        <v>7515166</v>
      </c>
      <c r="E16" s="50"/>
    </row>
    <row r="17" spans="1:8">
      <c r="A17" s="47" t="s">
        <v>109</v>
      </c>
      <c r="B17" s="47"/>
      <c r="D17" s="51">
        <v>650000</v>
      </c>
      <c r="E17" s="50"/>
    </row>
    <row r="18" spans="1:8">
      <c r="A18" s="52" t="s">
        <v>172</v>
      </c>
      <c r="B18" s="15"/>
      <c r="C18" s="15"/>
      <c r="D18" s="53">
        <f>+SUM(D16:D17)</f>
        <v>8165166</v>
      </c>
      <c r="E18" s="50"/>
    </row>
    <row r="19" spans="1:8">
      <c r="A19" s="54" t="s">
        <v>154</v>
      </c>
      <c r="B19" s="54"/>
      <c r="C19" s="16">
        <v>0.05</v>
      </c>
      <c r="D19" s="55">
        <f>(D16/1.12)*C19</f>
        <v>335498.4821428571</v>
      </c>
      <c r="E19" s="50"/>
    </row>
    <row r="20" spans="1:8" ht="15" thickBot="1">
      <c r="A20" s="15" t="s">
        <v>47</v>
      </c>
      <c r="B20" s="15"/>
      <c r="C20" s="15"/>
      <c r="D20" s="56">
        <f>+SUM(D18:D19)</f>
        <v>8500664.4821428563</v>
      </c>
      <c r="E20" s="35"/>
    </row>
    <row r="21" spans="1:8" ht="15" thickTop="1"/>
    <row r="22" spans="1:8">
      <c r="A22" s="57" t="s">
        <v>32</v>
      </c>
      <c r="B22" s="57" t="s">
        <v>155</v>
      </c>
      <c r="C22" s="57" t="s">
        <v>2</v>
      </c>
      <c r="D22" s="57" t="s">
        <v>156</v>
      </c>
      <c r="E22" s="57" t="s">
        <v>173</v>
      </c>
      <c r="F22" s="57" t="s">
        <v>158</v>
      </c>
      <c r="G22" s="59" t="s">
        <v>159</v>
      </c>
      <c r="H22" s="57" t="s">
        <v>160</v>
      </c>
    </row>
    <row r="23" spans="1:8">
      <c r="A23" s="165" t="s">
        <v>162</v>
      </c>
      <c r="B23" s="165"/>
      <c r="C23" s="165"/>
      <c r="D23" s="165"/>
      <c r="E23" s="165"/>
      <c r="F23" s="165"/>
      <c r="G23" s="165"/>
      <c r="H23" s="60">
        <f>+D20</f>
        <v>8500664.4821428563</v>
      </c>
    </row>
    <row r="24" spans="1:8" ht="13.5" customHeight="1">
      <c r="A24" s="61">
        <v>0</v>
      </c>
      <c r="B24" s="61"/>
      <c r="C24" s="61" t="s">
        <v>36</v>
      </c>
      <c r="D24" s="62">
        <f ca="1">'DATA SHEET'!C8</f>
        <v>43973</v>
      </c>
      <c r="E24" s="85">
        <f>IF(E13="1-Bedroom",50000,100000)</f>
        <v>50000</v>
      </c>
      <c r="F24" s="85"/>
      <c r="G24" s="86">
        <f>+SUM(E24:F24)</f>
        <v>50000</v>
      </c>
      <c r="H24" s="65">
        <f>$D$20-G24</f>
        <v>8450664.4821428563</v>
      </c>
    </row>
    <row r="25" spans="1:8" ht="13.5" customHeight="1">
      <c r="A25" s="61"/>
      <c r="B25" s="66">
        <v>0.1</v>
      </c>
      <c r="C25" s="62" t="s">
        <v>166</v>
      </c>
      <c r="E25" s="85"/>
      <c r="F25" s="85"/>
      <c r="G25" s="86"/>
      <c r="H25" s="65"/>
    </row>
    <row r="26" spans="1:8" ht="13.5" customHeight="1">
      <c r="A26" s="61">
        <v>1</v>
      </c>
      <c r="B26" s="61"/>
      <c r="C26" s="61" t="s">
        <v>53</v>
      </c>
      <c r="D26" s="62">
        <f ca="1">EDATE(D24,1)</f>
        <v>44004</v>
      </c>
      <c r="E26" s="87">
        <f t="shared" ref="E26:E31" si="0">(($D$18*0.1)-$E$24)/6</f>
        <v>127752.76666666668</v>
      </c>
      <c r="F26" s="87">
        <f>(($D$19*0.1))/6</f>
        <v>5591.6413690476184</v>
      </c>
      <c r="G26" s="86">
        <f>+SUM(E26:F26)</f>
        <v>133344.4080357143</v>
      </c>
      <c r="H26" s="65">
        <f>H24-G26</f>
        <v>8317320.0741071422</v>
      </c>
    </row>
    <row r="27" spans="1:8">
      <c r="A27" s="61">
        <v>2</v>
      </c>
      <c r="B27" s="61"/>
      <c r="C27" s="61" t="s">
        <v>54</v>
      </c>
      <c r="D27" s="62">
        <f t="shared" ref="D27:D81" ca="1" si="1">EDATE(D26,1)</f>
        <v>44034</v>
      </c>
      <c r="E27" s="87">
        <f t="shared" si="0"/>
        <v>127752.76666666668</v>
      </c>
      <c r="F27" s="87">
        <f t="shared" ref="F27:F31" si="2">(($D$19*0.1))/6</f>
        <v>5591.6413690476184</v>
      </c>
      <c r="G27" s="86">
        <f t="shared" ref="G27:G81" si="3">+SUM(E27:F27)</f>
        <v>133344.4080357143</v>
      </c>
      <c r="H27" s="65">
        <f t="shared" ref="H27:H81" si="4">H26-G27</f>
        <v>8183975.666071428</v>
      </c>
    </row>
    <row r="28" spans="1:8">
      <c r="A28" s="61">
        <v>3</v>
      </c>
      <c r="B28" s="61"/>
      <c r="C28" s="61" t="s">
        <v>55</v>
      </c>
      <c r="D28" s="62">
        <f t="shared" ca="1" si="1"/>
        <v>44065</v>
      </c>
      <c r="E28" s="87">
        <f t="shared" si="0"/>
        <v>127752.76666666668</v>
      </c>
      <c r="F28" s="87">
        <f t="shared" si="2"/>
        <v>5591.6413690476184</v>
      </c>
      <c r="G28" s="86">
        <f t="shared" si="3"/>
        <v>133344.4080357143</v>
      </c>
      <c r="H28" s="65">
        <f t="shared" si="4"/>
        <v>8050631.2580357138</v>
      </c>
    </row>
    <row r="29" spans="1:8">
      <c r="A29" s="61">
        <v>4</v>
      </c>
      <c r="B29" s="61"/>
      <c r="C29" s="61" t="s">
        <v>56</v>
      </c>
      <c r="D29" s="62">
        <f t="shared" ca="1" si="1"/>
        <v>44096</v>
      </c>
      <c r="E29" s="87">
        <f t="shared" si="0"/>
        <v>127752.76666666668</v>
      </c>
      <c r="F29" s="87">
        <f t="shared" si="2"/>
        <v>5591.6413690476184</v>
      </c>
      <c r="G29" s="86">
        <f t="shared" si="3"/>
        <v>133344.4080357143</v>
      </c>
      <c r="H29" s="65">
        <f t="shared" si="4"/>
        <v>7917286.8499999996</v>
      </c>
    </row>
    <row r="30" spans="1:8">
      <c r="A30" s="61">
        <v>5</v>
      </c>
      <c r="B30" s="61"/>
      <c r="C30" s="61" t="s">
        <v>57</v>
      </c>
      <c r="D30" s="62">
        <f t="shared" ca="1" si="1"/>
        <v>44126</v>
      </c>
      <c r="E30" s="87">
        <f t="shared" si="0"/>
        <v>127752.76666666668</v>
      </c>
      <c r="F30" s="87">
        <f t="shared" si="2"/>
        <v>5591.6413690476184</v>
      </c>
      <c r="G30" s="86">
        <f t="shared" si="3"/>
        <v>133344.4080357143</v>
      </c>
      <c r="H30" s="65">
        <f t="shared" si="4"/>
        <v>7783942.4419642854</v>
      </c>
    </row>
    <row r="31" spans="1:8">
      <c r="A31" s="61">
        <v>6</v>
      </c>
      <c r="B31" s="61"/>
      <c r="C31" s="61" t="s">
        <v>58</v>
      </c>
      <c r="D31" s="62">
        <f t="shared" ca="1" si="1"/>
        <v>44157</v>
      </c>
      <c r="E31" s="87">
        <f t="shared" si="0"/>
        <v>127752.76666666668</v>
      </c>
      <c r="F31" s="87">
        <f t="shared" si="2"/>
        <v>5591.6413690476184</v>
      </c>
      <c r="G31" s="86">
        <f t="shared" si="3"/>
        <v>133344.4080357143</v>
      </c>
      <c r="H31" s="65">
        <f t="shared" si="4"/>
        <v>7650598.0339285713</v>
      </c>
    </row>
    <row r="32" spans="1:8">
      <c r="A32" s="61"/>
      <c r="B32" s="66">
        <v>0.2</v>
      </c>
      <c r="C32" s="62" t="s">
        <v>165</v>
      </c>
      <c r="E32" s="87"/>
      <c r="F32" s="87"/>
      <c r="G32" s="86"/>
      <c r="H32" s="65"/>
    </row>
    <row r="33" spans="1:8">
      <c r="A33" s="61">
        <v>7</v>
      </c>
      <c r="B33" s="61"/>
      <c r="C33" s="61" t="s">
        <v>3</v>
      </c>
      <c r="D33" s="62">
        <f ca="1">EDATE(D31,1)</f>
        <v>44187</v>
      </c>
      <c r="E33" s="85">
        <f>($D$18*0.2)/48</f>
        <v>34021.525000000001</v>
      </c>
      <c r="F33" s="85">
        <f>($D$19*0.2)/48</f>
        <v>1397.9103422619046</v>
      </c>
      <c r="G33" s="86">
        <f t="shared" si="3"/>
        <v>35419.435342261902</v>
      </c>
      <c r="H33" s="65">
        <f>H31-G33</f>
        <v>7615178.5985863097</v>
      </c>
    </row>
    <row r="34" spans="1:8">
      <c r="A34" s="61">
        <v>8</v>
      </c>
      <c r="B34" s="61"/>
      <c r="C34" s="61" t="s">
        <v>4</v>
      </c>
      <c r="D34" s="62">
        <f t="shared" ca="1" si="1"/>
        <v>44218</v>
      </c>
      <c r="E34" s="85">
        <f t="shared" ref="E34:E80" si="5">($D$18*0.2)/48</f>
        <v>34021.525000000001</v>
      </c>
      <c r="F34" s="85">
        <f t="shared" ref="F34:F80" si="6">($D$19*0.2)/48</f>
        <v>1397.9103422619046</v>
      </c>
      <c r="G34" s="86">
        <f t="shared" si="3"/>
        <v>35419.435342261902</v>
      </c>
      <c r="H34" s="65">
        <f t="shared" si="4"/>
        <v>7579759.1632440481</v>
      </c>
    </row>
    <row r="35" spans="1:8">
      <c r="A35" s="61">
        <v>9</v>
      </c>
      <c r="B35" s="61"/>
      <c r="C35" s="61" t="s">
        <v>5</v>
      </c>
      <c r="D35" s="62">
        <f t="shared" ca="1" si="1"/>
        <v>44249</v>
      </c>
      <c r="E35" s="85">
        <f t="shared" si="5"/>
        <v>34021.525000000001</v>
      </c>
      <c r="F35" s="85">
        <f t="shared" si="6"/>
        <v>1397.9103422619046</v>
      </c>
      <c r="G35" s="86">
        <f t="shared" si="3"/>
        <v>35419.435342261902</v>
      </c>
      <c r="H35" s="65">
        <f t="shared" si="4"/>
        <v>7544339.7279017866</v>
      </c>
    </row>
    <row r="36" spans="1:8">
      <c r="A36" s="61">
        <v>10</v>
      </c>
      <c r="B36" s="61"/>
      <c r="C36" s="61" t="s">
        <v>6</v>
      </c>
      <c r="D36" s="62">
        <f t="shared" ca="1" si="1"/>
        <v>44277</v>
      </c>
      <c r="E36" s="85">
        <f t="shared" si="5"/>
        <v>34021.525000000001</v>
      </c>
      <c r="F36" s="85">
        <f t="shared" si="6"/>
        <v>1397.9103422619046</v>
      </c>
      <c r="G36" s="86">
        <f t="shared" si="3"/>
        <v>35419.435342261902</v>
      </c>
      <c r="H36" s="65">
        <f t="shared" si="4"/>
        <v>7508920.292559525</v>
      </c>
    </row>
    <row r="37" spans="1:8">
      <c r="A37" s="61">
        <v>11</v>
      </c>
      <c r="B37" s="61"/>
      <c r="C37" s="61" t="s">
        <v>7</v>
      </c>
      <c r="D37" s="62">
        <f t="shared" ca="1" si="1"/>
        <v>44308</v>
      </c>
      <c r="E37" s="85">
        <f t="shared" si="5"/>
        <v>34021.525000000001</v>
      </c>
      <c r="F37" s="85">
        <f t="shared" si="6"/>
        <v>1397.9103422619046</v>
      </c>
      <c r="G37" s="86">
        <f t="shared" si="3"/>
        <v>35419.435342261902</v>
      </c>
      <c r="H37" s="65">
        <f t="shared" si="4"/>
        <v>7473500.8572172634</v>
      </c>
    </row>
    <row r="38" spans="1:8">
      <c r="A38" s="61">
        <v>12</v>
      </c>
      <c r="B38" s="61"/>
      <c r="C38" s="61" t="s">
        <v>8</v>
      </c>
      <c r="D38" s="62">
        <f t="shared" ca="1" si="1"/>
        <v>44338</v>
      </c>
      <c r="E38" s="85">
        <f t="shared" si="5"/>
        <v>34021.525000000001</v>
      </c>
      <c r="F38" s="85">
        <f t="shared" si="6"/>
        <v>1397.9103422619046</v>
      </c>
      <c r="G38" s="86">
        <f t="shared" si="3"/>
        <v>35419.435342261902</v>
      </c>
      <c r="H38" s="65">
        <f t="shared" si="4"/>
        <v>7438081.4218750019</v>
      </c>
    </row>
    <row r="39" spans="1:8">
      <c r="A39" s="61">
        <v>13</v>
      </c>
      <c r="B39" s="61"/>
      <c r="C39" s="61" t="s">
        <v>9</v>
      </c>
      <c r="D39" s="62">
        <f t="shared" ca="1" si="1"/>
        <v>44369</v>
      </c>
      <c r="E39" s="85">
        <f t="shared" si="5"/>
        <v>34021.525000000001</v>
      </c>
      <c r="F39" s="85">
        <f t="shared" si="6"/>
        <v>1397.9103422619046</v>
      </c>
      <c r="G39" s="86">
        <f t="shared" si="3"/>
        <v>35419.435342261902</v>
      </c>
      <c r="H39" s="65">
        <f t="shared" si="4"/>
        <v>7402661.9865327403</v>
      </c>
    </row>
    <row r="40" spans="1:8">
      <c r="A40" s="61">
        <v>14</v>
      </c>
      <c r="B40" s="61"/>
      <c r="C40" s="61" t="s">
        <v>10</v>
      </c>
      <c r="D40" s="62">
        <f t="shared" ca="1" si="1"/>
        <v>44399</v>
      </c>
      <c r="E40" s="85">
        <f t="shared" si="5"/>
        <v>34021.525000000001</v>
      </c>
      <c r="F40" s="85">
        <f t="shared" si="6"/>
        <v>1397.9103422619046</v>
      </c>
      <c r="G40" s="86">
        <f t="shared" si="3"/>
        <v>35419.435342261902</v>
      </c>
      <c r="H40" s="65">
        <f t="shared" si="4"/>
        <v>7367242.5511904787</v>
      </c>
    </row>
    <row r="41" spans="1:8">
      <c r="A41" s="61">
        <v>15</v>
      </c>
      <c r="B41" s="61"/>
      <c r="C41" s="61" t="s">
        <v>11</v>
      </c>
      <c r="D41" s="62">
        <f t="shared" ca="1" si="1"/>
        <v>44430</v>
      </c>
      <c r="E41" s="85">
        <f t="shared" si="5"/>
        <v>34021.525000000001</v>
      </c>
      <c r="F41" s="85">
        <f t="shared" si="6"/>
        <v>1397.9103422619046</v>
      </c>
      <c r="G41" s="86">
        <f t="shared" si="3"/>
        <v>35419.435342261902</v>
      </c>
      <c r="H41" s="65">
        <f t="shared" si="4"/>
        <v>7331823.1158482172</v>
      </c>
    </row>
    <row r="42" spans="1:8">
      <c r="A42" s="61">
        <v>16</v>
      </c>
      <c r="B42" s="61"/>
      <c r="C42" s="61" t="s">
        <v>12</v>
      </c>
      <c r="D42" s="62">
        <f t="shared" ca="1" si="1"/>
        <v>44461</v>
      </c>
      <c r="E42" s="85">
        <f t="shared" si="5"/>
        <v>34021.525000000001</v>
      </c>
      <c r="F42" s="85">
        <f t="shared" si="6"/>
        <v>1397.9103422619046</v>
      </c>
      <c r="G42" s="86">
        <f t="shared" si="3"/>
        <v>35419.435342261902</v>
      </c>
      <c r="H42" s="65">
        <f t="shared" si="4"/>
        <v>7296403.6805059556</v>
      </c>
    </row>
    <row r="43" spans="1:8">
      <c r="A43" s="61">
        <v>17</v>
      </c>
      <c r="B43" s="61"/>
      <c r="C43" s="61" t="s">
        <v>13</v>
      </c>
      <c r="D43" s="62">
        <f t="shared" ca="1" si="1"/>
        <v>44491</v>
      </c>
      <c r="E43" s="85">
        <f t="shared" si="5"/>
        <v>34021.525000000001</v>
      </c>
      <c r="F43" s="85">
        <f t="shared" si="6"/>
        <v>1397.9103422619046</v>
      </c>
      <c r="G43" s="86">
        <f t="shared" si="3"/>
        <v>35419.435342261902</v>
      </c>
      <c r="H43" s="65">
        <f t="shared" si="4"/>
        <v>7260984.245163694</v>
      </c>
    </row>
    <row r="44" spans="1:8">
      <c r="A44" s="61">
        <v>18</v>
      </c>
      <c r="B44" s="61"/>
      <c r="C44" s="61" t="s">
        <v>14</v>
      </c>
      <c r="D44" s="62">
        <f t="shared" ca="1" si="1"/>
        <v>44522</v>
      </c>
      <c r="E44" s="85">
        <f t="shared" si="5"/>
        <v>34021.525000000001</v>
      </c>
      <c r="F44" s="85">
        <f t="shared" si="6"/>
        <v>1397.9103422619046</v>
      </c>
      <c r="G44" s="86">
        <f t="shared" si="3"/>
        <v>35419.435342261902</v>
      </c>
      <c r="H44" s="65">
        <f t="shared" si="4"/>
        <v>7225564.8098214325</v>
      </c>
    </row>
    <row r="45" spans="1:8">
      <c r="A45" s="61">
        <v>19</v>
      </c>
      <c r="B45" s="61"/>
      <c r="C45" s="61" t="s">
        <v>18</v>
      </c>
      <c r="D45" s="62">
        <f t="shared" ca="1" si="1"/>
        <v>44552</v>
      </c>
      <c r="E45" s="85">
        <f t="shared" si="5"/>
        <v>34021.525000000001</v>
      </c>
      <c r="F45" s="85">
        <f t="shared" si="6"/>
        <v>1397.9103422619046</v>
      </c>
      <c r="G45" s="86">
        <f t="shared" si="3"/>
        <v>35419.435342261902</v>
      </c>
      <c r="H45" s="65">
        <f t="shared" si="4"/>
        <v>7190145.3744791709</v>
      </c>
    </row>
    <row r="46" spans="1:8">
      <c r="A46" s="61">
        <v>20</v>
      </c>
      <c r="B46" s="61"/>
      <c r="C46" s="61" t="s">
        <v>19</v>
      </c>
      <c r="D46" s="62">
        <f t="shared" ca="1" si="1"/>
        <v>44583</v>
      </c>
      <c r="E46" s="85">
        <f t="shared" si="5"/>
        <v>34021.525000000001</v>
      </c>
      <c r="F46" s="85">
        <f t="shared" si="6"/>
        <v>1397.9103422619046</v>
      </c>
      <c r="G46" s="86">
        <f t="shared" si="3"/>
        <v>35419.435342261902</v>
      </c>
      <c r="H46" s="65">
        <f t="shared" si="4"/>
        <v>7154725.9391369093</v>
      </c>
    </row>
    <row r="47" spans="1:8">
      <c r="A47" s="61">
        <v>21</v>
      </c>
      <c r="B47" s="61"/>
      <c r="C47" s="61" t="s">
        <v>20</v>
      </c>
      <c r="D47" s="62">
        <f t="shared" ca="1" si="1"/>
        <v>44614</v>
      </c>
      <c r="E47" s="85">
        <f t="shared" si="5"/>
        <v>34021.525000000001</v>
      </c>
      <c r="F47" s="85">
        <f t="shared" si="6"/>
        <v>1397.9103422619046</v>
      </c>
      <c r="G47" s="86">
        <f t="shared" si="3"/>
        <v>35419.435342261902</v>
      </c>
      <c r="H47" s="65">
        <f t="shared" si="4"/>
        <v>7119306.5037946478</v>
      </c>
    </row>
    <row r="48" spans="1:8">
      <c r="A48" s="61">
        <v>22</v>
      </c>
      <c r="B48" s="61"/>
      <c r="C48" s="61" t="s">
        <v>21</v>
      </c>
      <c r="D48" s="62">
        <f t="shared" ca="1" si="1"/>
        <v>44642</v>
      </c>
      <c r="E48" s="85">
        <f t="shared" si="5"/>
        <v>34021.525000000001</v>
      </c>
      <c r="F48" s="85">
        <f t="shared" si="6"/>
        <v>1397.9103422619046</v>
      </c>
      <c r="G48" s="86">
        <f t="shared" si="3"/>
        <v>35419.435342261902</v>
      </c>
      <c r="H48" s="65">
        <f t="shared" si="4"/>
        <v>7083887.0684523862</v>
      </c>
    </row>
    <row r="49" spans="1:8">
      <c r="A49" s="61">
        <v>23</v>
      </c>
      <c r="B49" s="61"/>
      <c r="C49" s="61" t="s">
        <v>22</v>
      </c>
      <c r="D49" s="62">
        <f t="shared" ca="1" si="1"/>
        <v>44673</v>
      </c>
      <c r="E49" s="85">
        <f t="shared" si="5"/>
        <v>34021.525000000001</v>
      </c>
      <c r="F49" s="85">
        <f t="shared" si="6"/>
        <v>1397.9103422619046</v>
      </c>
      <c r="G49" s="86">
        <f t="shared" si="3"/>
        <v>35419.435342261902</v>
      </c>
      <c r="H49" s="65">
        <f t="shared" si="4"/>
        <v>7048467.6331101246</v>
      </c>
    </row>
    <row r="50" spans="1:8">
      <c r="A50" s="61">
        <v>24</v>
      </c>
      <c r="B50" s="61"/>
      <c r="C50" s="61" t="s">
        <v>23</v>
      </c>
      <c r="D50" s="62">
        <f t="shared" ca="1" si="1"/>
        <v>44703</v>
      </c>
      <c r="E50" s="85">
        <f t="shared" si="5"/>
        <v>34021.525000000001</v>
      </c>
      <c r="F50" s="85">
        <f t="shared" si="6"/>
        <v>1397.9103422619046</v>
      </c>
      <c r="G50" s="86">
        <f t="shared" si="3"/>
        <v>35419.435342261902</v>
      </c>
      <c r="H50" s="65">
        <f t="shared" si="4"/>
        <v>7013048.1977678631</v>
      </c>
    </row>
    <row r="51" spans="1:8">
      <c r="A51" s="61">
        <v>25</v>
      </c>
      <c r="B51" s="61"/>
      <c r="C51" s="61" t="s">
        <v>24</v>
      </c>
      <c r="D51" s="62">
        <f t="shared" ca="1" si="1"/>
        <v>44734</v>
      </c>
      <c r="E51" s="85">
        <f t="shared" si="5"/>
        <v>34021.525000000001</v>
      </c>
      <c r="F51" s="85">
        <f t="shared" si="6"/>
        <v>1397.9103422619046</v>
      </c>
      <c r="G51" s="86">
        <f t="shared" si="3"/>
        <v>35419.435342261902</v>
      </c>
      <c r="H51" s="65">
        <f t="shared" si="4"/>
        <v>6977628.7624256015</v>
      </c>
    </row>
    <row r="52" spans="1:8">
      <c r="A52" s="61">
        <v>26</v>
      </c>
      <c r="B52" s="61"/>
      <c r="C52" s="61" t="s">
        <v>25</v>
      </c>
      <c r="D52" s="62">
        <f t="shared" ca="1" si="1"/>
        <v>44764</v>
      </c>
      <c r="E52" s="85">
        <f t="shared" si="5"/>
        <v>34021.525000000001</v>
      </c>
      <c r="F52" s="85">
        <f t="shared" si="6"/>
        <v>1397.9103422619046</v>
      </c>
      <c r="G52" s="86">
        <f t="shared" si="3"/>
        <v>35419.435342261902</v>
      </c>
      <c r="H52" s="65">
        <f t="shared" si="4"/>
        <v>6942209.3270833399</v>
      </c>
    </row>
    <row r="53" spans="1:8">
      <c r="A53" s="61">
        <v>27</v>
      </c>
      <c r="B53" s="61"/>
      <c r="C53" s="61" t="s">
        <v>26</v>
      </c>
      <c r="D53" s="62">
        <f t="shared" ca="1" si="1"/>
        <v>44795</v>
      </c>
      <c r="E53" s="85">
        <f t="shared" si="5"/>
        <v>34021.525000000001</v>
      </c>
      <c r="F53" s="85">
        <f t="shared" si="6"/>
        <v>1397.9103422619046</v>
      </c>
      <c r="G53" s="86">
        <f t="shared" si="3"/>
        <v>35419.435342261902</v>
      </c>
      <c r="H53" s="65">
        <f t="shared" si="4"/>
        <v>6906789.8917410783</v>
      </c>
    </row>
    <row r="54" spans="1:8">
      <c r="A54" s="61">
        <v>28</v>
      </c>
      <c r="B54" s="61"/>
      <c r="C54" s="61" t="s">
        <v>27</v>
      </c>
      <c r="D54" s="62">
        <f t="shared" ca="1" si="1"/>
        <v>44826</v>
      </c>
      <c r="E54" s="85">
        <f t="shared" si="5"/>
        <v>34021.525000000001</v>
      </c>
      <c r="F54" s="85">
        <f t="shared" si="6"/>
        <v>1397.9103422619046</v>
      </c>
      <c r="G54" s="86">
        <f t="shared" si="3"/>
        <v>35419.435342261902</v>
      </c>
      <c r="H54" s="65">
        <f t="shared" si="4"/>
        <v>6871370.4563988168</v>
      </c>
    </row>
    <row r="55" spans="1:8">
      <c r="A55" s="61">
        <v>29</v>
      </c>
      <c r="B55" s="61"/>
      <c r="C55" s="61" t="s">
        <v>28</v>
      </c>
      <c r="D55" s="62">
        <f t="shared" ca="1" si="1"/>
        <v>44856</v>
      </c>
      <c r="E55" s="85">
        <f t="shared" si="5"/>
        <v>34021.525000000001</v>
      </c>
      <c r="F55" s="85">
        <f t="shared" si="6"/>
        <v>1397.9103422619046</v>
      </c>
      <c r="G55" s="86">
        <f t="shared" si="3"/>
        <v>35419.435342261902</v>
      </c>
      <c r="H55" s="65">
        <f t="shared" si="4"/>
        <v>6835951.0210565552</v>
      </c>
    </row>
    <row r="56" spans="1:8">
      <c r="A56" s="61">
        <v>30</v>
      </c>
      <c r="B56" s="61"/>
      <c r="C56" s="61" t="s">
        <v>29</v>
      </c>
      <c r="D56" s="62">
        <f t="shared" ca="1" si="1"/>
        <v>44887</v>
      </c>
      <c r="E56" s="85">
        <f t="shared" si="5"/>
        <v>34021.525000000001</v>
      </c>
      <c r="F56" s="85">
        <f t="shared" si="6"/>
        <v>1397.9103422619046</v>
      </c>
      <c r="G56" s="86">
        <f t="shared" si="3"/>
        <v>35419.435342261902</v>
      </c>
      <c r="H56" s="65">
        <f t="shared" si="4"/>
        <v>6800531.5857142936</v>
      </c>
    </row>
    <row r="57" spans="1:8">
      <c r="A57" s="61">
        <v>31</v>
      </c>
      <c r="B57" s="61"/>
      <c r="C57" s="61" t="s">
        <v>40</v>
      </c>
      <c r="D57" s="62">
        <f t="shared" ca="1" si="1"/>
        <v>44917</v>
      </c>
      <c r="E57" s="85">
        <f t="shared" si="5"/>
        <v>34021.525000000001</v>
      </c>
      <c r="F57" s="85">
        <f t="shared" si="6"/>
        <v>1397.9103422619046</v>
      </c>
      <c r="G57" s="86">
        <f t="shared" si="3"/>
        <v>35419.435342261902</v>
      </c>
      <c r="H57" s="65">
        <f t="shared" si="4"/>
        <v>6765112.1503720321</v>
      </c>
    </row>
    <row r="58" spans="1:8">
      <c r="A58" s="61">
        <v>32</v>
      </c>
      <c r="B58" s="61"/>
      <c r="C58" s="61" t="s">
        <v>41</v>
      </c>
      <c r="D58" s="62">
        <f t="shared" ca="1" si="1"/>
        <v>44948</v>
      </c>
      <c r="E58" s="85">
        <f t="shared" si="5"/>
        <v>34021.525000000001</v>
      </c>
      <c r="F58" s="85">
        <f t="shared" si="6"/>
        <v>1397.9103422619046</v>
      </c>
      <c r="G58" s="86">
        <f t="shared" si="3"/>
        <v>35419.435342261902</v>
      </c>
      <c r="H58" s="65">
        <f t="shared" si="4"/>
        <v>6729692.7150297705</v>
      </c>
    </row>
    <row r="59" spans="1:8">
      <c r="A59" s="61">
        <v>33</v>
      </c>
      <c r="B59" s="61"/>
      <c r="C59" s="61" t="s">
        <v>42</v>
      </c>
      <c r="D59" s="62">
        <f t="shared" ca="1" si="1"/>
        <v>44979</v>
      </c>
      <c r="E59" s="85">
        <f t="shared" si="5"/>
        <v>34021.525000000001</v>
      </c>
      <c r="F59" s="85">
        <f t="shared" si="6"/>
        <v>1397.9103422619046</v>
      </c>
      <c r="G59" s="86">
        <f t="shared" si="3"/>
        <v>35419.435342261902</v>
      </c>
      <c r="H59" s="65">
        <f t="shared" si="4"/>
        <v>6694273.2796875089</v>
      </c>
    </row>
    <row r="60" spans="1:8">
      <c r="A60" s="61">
        <v>34</v>
      </c>
      <c r="B60" s="61"/>
      <c r="C60" s="61" t="s">
        <v>43</v>
      </c>
      <c r="D60" s="62">
        <f t="shared" ca="1" si="1"/>
        <v>45007</v>
      </c>
      <c r="E60" s="85">
        <f t="shared" si="5"/>
        <v>34021.525000000001</v>
      </c>
      <c r="F60" s="85">
        <f t="shared" si="6"/>
        <v>1397.9103422619046</v>
      </c>
      <c r="G60" s="86">
        <f t="shared" si="3"/>
        <v>35419.435342261902</v>
      </c>
      <c r="H60" s="65">
        <f t="shared" si="4"/>
        <v>6658853.8443452474</v>
      </c>
    </row>
    <row r="61" spans="1:8">
      <c r="A61" s="61">
        <v>35</v>
      </c>
      <c r="B61" s="61"/>
      <c r="C61" s="61" t="s">
        <v>44</v>
      </c>
      <c r="D61" s="62">
        <f t="shared" ca="1" si="1"/>
        <v>45038</v>
      </c>
      <c r="E61" s="85">
        <f t="shared" si="5"/>
        <v>34021.525000000001</v>
      </c>
      <c r="F61" s="85">
        <f t="shared" si="6"/>
        <v>1397.9103422619046</v>
      </c>
      <c r="G61" s="86">
        <f t="shared" si="3"/>
        <v>35419.435342261902</v>
      </c>
      <c r="H61" s="65">
        <f t="shared" si="4"/>
        <v>6623434.4090029858</v>
      </c>
    </row>
    <row r="62" spans="1:8">
      <c r="A62" s="61">
        <v>36</v>
      </c>
      <c r="B62" s="61"/>
      <c r="C62" s="61" t="s">
        <v>45</v>
      </c>
      <c r="D62" s="62">
        <f t="shared" ca="1" si="1"/>
        <v>45068</v>
      </c>
      <c r="E62" s="85">
        <f t="shared" si="5"/>
        <v>34021.525000000001</v>
      </c>
      <c r="F62" s="85">
        <f t="shared" si="6"/>
        <v>1397.9103422619046</v>
      </c>
      <c r="G62" s="86">
        <f t="shared" si="3"/>
        <v>35419.435342261902</v>
      </c>
      <c r="H62" s="65">
        <f t="shared" si="4"/>
        <v>6588014.9736607242</v>
      </c>
    </row>
    <row r="63" spans="1:8">
      <c r="A63" s="61">
        <v>37</v>
      </c>
      <c r="B63" s="61"/>
      <c r="C63" s="61" t="s">
        <v>59</v>
      </c>
      <c r="D63" s="62">
        <f t="shared" ca="1" si="1"/>
        <v>45099</v>
      </c>
      <c r="E63" s="85">
        <f t="shared" si="5"/>
        <v>34021.525000000001</v>
      </c>
      <c r="F63" s="85">
        <f t="shared" si="6"/>
        <v>1397.9103422619046</v>
      </c>
      <c r="G63" s="86">
        <f t="shared" si="3"/>
        <v>35419.435342261902</v>
      </c>
      <c r="H63" s="65">
        <f t="shared" si="4"/>
        <v>6552595.5383184627</v>
      </c>
    </row>
    <row r="64" spans="1:8">
      <c r="A64" s="61">
        <v>38</v>
      </c>
      <c r="B64" s="61"/>
      <c r="C64" s="61" t="s">
        <v>60</v>
      </c>
      <c r="D64" s="62">
        <f t="shared" ca="1" si="1"/>
        <v>45129</v>
      </c>
      <c r="E64" s="85">
        <f t="shared" si="5"/>
        <v>34021.525000000001</v>
      </c>
      <c r="F64" s="85">
        <f t="shared" si="6"/>
        <v>1397.9103422619046</v>
      </c>
      <c r="G64" s="86">
        <f t="shared" si="3"/>
        <v>35419.435342261902</v>
      </c>
      <c r="H64" s="65">
        <f t="shared" si="4"/>
        <v>6517176.1029762011</v>
      </c>
    </row>
    <row r="65" spans="1:8">
      <c r="A65" s="61">
        <v>39</v>
      </c>
      <c r="B65" s="61"/>
      <c r="C65" s="61" t="s">
        <v>61</v>
      </c>
      <c r="D65" s="62">
        <f t="shared" ca="1" si="1"/>
        <v>45160</v>
      </c>
      <c r="E65" s="85">
        <f t="shared" si="5"/>
        <v>34021.525000000001</v>
      </c>
      <c r="F65" s="85">
        <f t="shared" si="6"/>
        <v>1397.9103422619046</v>
      </c>
      <c r="G65" s="86">
        <f t="shared" si="3"/>
        <v>35419.435342261902</v>
      </c>
      <c r="H65" s="65">
        <f t="shared" si="4"/>
        <v>6481756.6676339395</v>
      </c>
    </row>
    <row r="66" spans="1:8">
      <c r="A66" s="61">
        <v>40</v>
      </c>
      <c r="B66" s="61"/>
      <c r="C66" s="61" t="s">
        <v>62</v>
      </c>
      <c r="D66" s="62">
        <f t="shared" ca="1" si="1"/>
        <v>45191</v>
      </c>
      <c r="E66" s="85">
        <f t="shared" si="5"/>
        <v>34021.525000000001</v>
      </c>
      <c r="F66" s="85">
        <f t="shared" si="6"/>
        <v>1397.9103422619046</v>
      </c>
      <c r="G66" s="86">
        <f t="shared" si="3"/>
        <v>35419.435342261902</v>
      </c>
      <c r="H66" s="65">
        <f t="shared" si="4"/>
        <v>6446337.232291678</v>
      </c>
    </row>
    <row r="67" spans="1:8">
      <c r="A67" s="61">
        <v>41</v>
      </c>
      <c r="B67" s="61"/>
      <c r="C67" s="61" t="s">
        <v>63</v>
      </c>
      <c r="D67" s="62">
        <f t="shared" ca="1" si="1"/>
        <v>45221</v>
      </c>
      <c r="E67" s="85">
        <f t="shared" si="5"/>
        <v>34021.525000000001</v>
      </c>
      <c r="F67" s="85">
        <f t="shared" si="6"/>
        <v>1397.9103422619046</v>
      </c>
      <c r="G67" s="86">
        <f t="shared" si="3"/>
        <v>35419.435342261902</v>
      </c>
      <c r="H67" s="65">
        <f t="shared" si="4"/>
        <v>6410917.7969494164</v>
      </c>
    </row>
    <row r="68" spans="1:8">
      <c r="A68" s="61">
        <v>42</v>
      </c>
      <c r="B68" s="61"/>
      <c r="C68" s="61" t="s">
        <v>64</v>
      </c>
      <c r="D68" s="62">
        <f t="shared" ca="1" si="1"/>
        <v>45252</v>
      </c>
      <c r="E68" s="85">
        <f t="shared" si="5"/>
        <v>34021.525000000001</v>
      </c>
      <c r="F68" s="85">
        <f t="shared" si="6"/>
        <v>1397.9103422619046</v>
      </c>
      <c r="G68" s="86">
        <f t="shared" si="3"/>
        <v>35419.435342261902</v>
      </c>
      <c r="H68" s="65">
        <f t="shared" si="4"/>
        <v>6375498.3616071548</v>
      </c>
    </row>
    <row r="69" spans="1:8">
      <c r="A69" s="61">
        <v>43</v>
      </c>
      <c r="B69" s="61"/>
      <c r="C69" s="61" t="s">
        <v>65</v>
      </c>
      <c r="D69" s="62">
        <f t="shared" ca="1" si="1"/>
        <v>45282</v>
      </c>
      <c r="E69" s="85">
        <f t="shared" si="5"/>
        <v>34021.525000000001</v>
      </c>
      <c r="F69" s="85">
        <f t="shared" si="6"/>
        <v>1397.9103422619046</v>
      </c>
      <c r="G69" s="86">
        <f t="shared" si="3"/>
        <v>35419.435342261902</v>
      </c>
      <c r="H69" s="65">
        <f t="shared" si="4"/>
        <v>6340078.9262648933</v>
      </c>
    </row>
    <row r="70" spans="1:8">
      <c r="A70" s="61">
        <v>44</v>
      </c>
      <c r="B70" s="61"/>
      <c r="C70" s="61" t="s">
        <v>66</v>
      </c>
      <c r="D70" s="62">
        <f t="shared" ca="1" si="1"/>
        <v>45313</v>
      </c>
      <c r="E70" s="85">
        <f t="shared" si="5"/>
        <v>34021.525000000001</v>
      </c>
      <c r="F70" s="85">
        <f t="shared" si="6"/>
        <v>1397.9103422619046</v>
      </c>
      <c r="G70" s="86">
        <f t="shared" si="3"/>
        <v>35419.435342261902</v>
      </c>
      <c r="H70" s="65">
        <f t="shared" si="4"/>
        <v>6304659.4909226317</v>
      </c>
    </row>
    <row r="71" spans="1:8">
      <c r="A71" s="61">
        <v>45</v>
      </c>
      <c r="B71" s="61"/>
      <c r="C71" s="61" t="s">
        <v>67</v>
      </c>
      <c r="D71" s="62">
        <f t="shared" ca="1" si="1"/>
        <v>45344</v>
      </c>
      <c r="E71" s="85">
        <f t="shared" si="5"/>
        <v>34021.525000000001</v>
      </c>
      <c r="F71" s="85">
        <f t="shared" si="6"/>
        <v>1397.9103422619046</v>
      </c>
      <c r="G71" s="86">
        <f t="shared" si="3"/>
        <v>35419.435342261902</v>
      </c>
      <c r="H71" s="65">
        <f t="shared" si="4"/>
        <v>6269240.0555803701</v>
      </c>
    </row>
    <row r="72" spans="1:8">
      <c r="A72" s="61">
        <v>46</v>
      </c>
      <c r="B72" s="61"/>
      <c r="C72" s="61" t="s">
        <v>68</v>
      </c>
      <c r="D72" s="62">
        <f t="shared" ca="1" si="1"/>
        <v>45373</v>
      </c>
      <c r="E72" s="85">
        <f t="shared" si="5"/>
        <v>34021.525000000001</v>
      </c>
      <c r="F72" s="85">
        <f t="shared" si="6"/>
        <v>1397.9103422619046</v>
      </c>
      <c r="G72" s="86">
        <f t="shared" si="3"/>
        <v>35419.435342261902</v>
      </c>
      <c r="H72" s="65">
        <f t="shared" si="4"/>
        <v>6233820.6202381086</v>
      </c>
    </row>
    <row r="73" spans="1:8">
      <c r="A73" s="61">
        <v>47</v>
      </c>
      <c r="B73" s="61"/>
      <c r="C73" s="61" t="s">
        <v>69</v>
      </c>
      <c r="D73" s="62">
        <f t="shared" ca="1" si="1"/>
        <v>45404</v>
      </c>
      <c r="E73" s="85">
        <f t="shared" si="5"/>
        <v>34021.525000000001</v>
      </c>
      <c r="F73" s="85">
        <f t="shared" si="6"/>
        <v>1397.9103422619046</v>
      </c>
      <c r="G73" s="86">
        <f t="shared" si="3"/>
        <v>35419.435342261902</v>
      </c>
      <c r="H73" s="65">
        <f t="shared" si="4"/>
        <v>6198401.184895847</v>
      </c>
    </row>
    <row r="74" spans="1:8">
      <c r="A74" s="61">
        <v>48</v>
      </c>
      <c r="B74" s="61"/>
      <c r="C74" s="61" t="s">
        <v>70</v>
      </c>
      <c r="D74" s="62">
        <f t="shared" ca="1" si="1"/>
        <v>45434</v>
      </c>
      <c r="E74" s="85">
        <f t="shared" si="5"/>
        <v>34021.525000000001</v>
      </c>
      <c r="F74" s="85">
        <f t="shared" si="6"/>
        <v>1397.9103422619046</v>
      </c>
      <c r="G74" s="86">
        <f t="shared" si="3"/>
        <v>35419.435342261902</v>
      </c>
      <c r="H74" s="65">
        <f t="shared" si="4"/>
        <v>6162981.7495535854</v>
      </c>
    </row>
    <row r="75" spans="1:8">
      <c r="A75" s="61">
        <v>49</v>
      </c>
      <c r="B75" s="61"/>
      <c r="C75" s="61" t="s">
        <v>71</v>
      </c>
      <c r="D75" s="62">
        <f t="shared" ca="1" si="1"/>
        <v>45465</v>
      </c>
      <c r="E75" s="85">
        <f t="shared" si="5"/>
        <v>34021.525000000001</v>
      </c>
      <c r="F75" s="85">
        <f t="shared" si="6"/>
        <v>1397.9103422619046</v>
      </c>
      <c r="G75" s="86">
        <f t="shared" si="3"/>
        <v>35419.435342261902</v>
      </c>
      <c r="H75" s="65">
        <f t="shared" si="4"/>
        <v>6127562.3142113239</v>
      </c>
    </row>
    <row r="76" spans="1:8">
      <c r="A76" s="61">
        <v>50</v>
      </c>
      <c r="B76" s="61"/>
      <c r="C76" s="61" t="s">
        <v>72</v>
      </c>
      <c r="D76" s="62">
        <f t="shared" ca="1" si="1"/>
        <v>45495</v>
      </c>
      <c r="E76" s="85">
        <f t="shared" si="5"/>
        <v>34021.525000000001</v>
      </c>
      <c r="F76" s="85">
        <f t="shared" si="6"/>
        <v>1397.9103422619046</v>
      </c>
      <c r="G76" s="86">
        <f t="shared" si="3"/>
        <v>35419.435342261902</v>
      </c>
      <c r="H76" s="65">
        <f t="shared" si="4"/>
        <v>6092142.8788690623</v>
      </c>
    </row>
    <row r="77" spans="1:8">
      <c r="A77" s="61">
        <v>51</v>
      </c>
      <c r="B77" s="61"/>
      <c r="C77" s="61" t="s">
        <v>73</v>
      </c>
      <c r="D77" s="62">
        <f t="shared" ca="1" si="1"/>
        <v>45526</v>
      </c>
      <c r="E77" s="85">
        <f t="shared" si="5"/>
        <v>34021.525000000001</v>
      </c>
      <c r="F77" s="85">
        <f t="shared" si="6"/>
        <v>1397.9103422619046</v>
      </c>
      <c r="G77" s="86">
        <f t="shared" si="3"/>
        <v>35419.435342261902</v>
      </c>
      <c r="H77" s="65">
        <f t="shared" si="4"/>
        <v>6056723.4435268007</v>
      </c>
    </row>
    <row r="78" spans="1:8">
      <c r="A78" s="61">
        <v>52</v>
      </c>
      <c r="B78" s="61"/>
      <c r="C78" s="61" t="s">
        <v>74</v>
      </c>
      <c r="D78" s="62">
        <f t="shared" ca="1" si="1"/>
        <v>45557</v>
      </c>
      <c r="E78" s="85">
        <f t="shared" si="5"/>
        <v>34021.525000000001</v>
      </c>
      <c r="F78" s="85">
        <f t="shared" si="6"/>
        <v>1397.9103422619046</v>
      </c>
      <c r="G78" s="86">
        <f t="shared" si="3"/>
        <v>35419.435342261902</v>
      </c>
      <c r="H78" s="65">
        <f t="shared" si="4"/>
        <v>6021304.0081845392</v>
      </c>
    </row>
    <row r="79" spans="1:8">
      <c r="A79" s="61">
        <v>53</v>
      </c>
      <c r="B79" s="61"/>
      <c r="C79" s="61" t="s">
        <v>75</v>
      </c>
      <c r="D79" s="62">
        <f t="shared" ca="1" si="1"/>
        <v>45587</v>
      </c>
      <c r="E79" s="85">
        <f t="shared" si="5"/>
        <v>34021.525000000001</v>
      </c>
      <c r="F79" s="85">
        <f t="shared" si="6"/>
        <v>1397.9103422619046</v>
      </c>
      <c r="G79" s="86">
        <f t="shared" si="3"/>
        <v>35419.435342261902</v>
      </c>
      <c r="H79" s="65">
        <f t="shared" si="4"/>
        <v>5985884.5728422776</v>
      </c>
    </row>
    <row r="80" spans="1:8">
      <c r="A80" s="61">
        <v>54</v>
      </c>
      <c r="B80" s="61"/>
      <c r="C80" s="61" t="s">
        <v>76</v>
      </c>
      <c r="D80" s="62">
        <f t="shared" ca="1" si="1"/>
        <v>45618</v>
      </c>
      <c r="E80" s="85">
        <f t="shared" si="5"/>
        <v>34021.525000000001</v>
      </c>
      <c r="F80" s="85">
        <f t="shared" si="6"/>
        <v>1397.9103422619046</v>
      </c>
      <c r="G80" s="86">
        <f t="shared" si="3"/>
        <v>35419.435342261902</v>
      </c>
      <c r="H80" s="65">
        <f t="shared" si="4"/>
        <v>5950465.137500016</v>
      </c>
    </row>
    <row r="81" spans="1:8">
      <c r="A81" s="61">
        <v>55</v>
      </c>
      <c r="B81" s="66">
        <v>0.7</v>
      </c>
      <c r="C81" s="61" t="s">
        <v>105</v>
      </c>
      <c r="D81" s="62">
        <f t="shared" ca="1" si="1"/>
        <v>45648</v>
      </c>
      <c r="E81" s="85">
        <f>D18*0.7</f>
        <v>5715616.1999999993</v>
      </c>
      <c r="F81" s="85">
        <f>D19*0.7</f>
        <v>234848.93749999994</v>
      </c>
      <c r="G81" s="86">
        <f t="shared" si="3"/>
        <v>5950465.1374999993</v>
      </c>
      <c r="H81" s="65">
        <f t="shared" si="4"/>
        <v>1.6763806343078613E-8</v>
      </c>
    </row>
    <row r="82" spans="1:8">
      <c r="A82" s="166" t="s">
        <v>15</v>
      </c>
      <c r="B82" s="166"/>
      <c r="C82" s="166"/>
      <c r="D82" s="166"/>
      <c r="E82" s="67">
        <f>SUM(E24:E81)</f>
        <v>8165165.9999999963</v>
      </c>
      <c r="F82" s="67">
        <f t="shared" ref="F82:G82" si="7">SUM(F24:F81)</f>
        <v>335498.48214285728</v>
      </c>
      <c r="G82" s="67">
        <f t="shared" si="7"/>
        <v>8500664.4821428545</v>
      </c>
      <c r="H82" s="68"/>
    </row>
    <row r="83" spans="1:8" s="14" customFormat="1">
      <c r="C83" s="28"/>
      <c r="D83" s="29"/>
      <c r="E83" s="30"/>
      <c r="F83" s="30"/>
      <c r="G83" s="30"/>
    </row>
    <row r="84" spans="1:8" s="14" customFormat="1">
      <c r="A84" s="162" t="s">
        <v>136</v>
      </c>
      <c r="B84" s="162"/>
      <c r="C84" s="162"/>
      <c r="D84" s="162"/>
      <c r="E84" s="162"/>
      <c r="F84" s="162"/>
      <c r="G84" s="162"/>
      <c r="H84" s="162"/>
    </row>
    <row r="85" spans="1:8" s="14" customFormat="1" ht="29.25" customHeight="1">
      <c r="A85" s="164" t="s">
        <v>175</v>
      </c>
      <c r="B85" s="164"/>
      <c r="C85" s="164"/>
      <c r="D85" s="164"/>
      <c r="E85" s="164"/>
      <c r="F85" s="164"/>
      <c r="G85" s="164"/>
      <c r="H85" s="164"/>
    </row>
    <row r="86" spans="1:8" s="14" customFormat="1" ht="16.5" customHeight="1">
      <c r="A86" s="162" t="s">
        <v>176</v>
      </c>
      <c r="B86" s="162"/>
      <c r="C86" s="162"/>
      <c r="D86" s="162"/>
      <c r="E86" s="162"/>
      <c r="F86" s="162"/>
      <c r="G86" s="162"/>
      <c r="H86" s="162"/>
    </row>
    <row r="87" spans="1:8" s="14" customFormat="1" ht="16.5" customHeight="1">
      <c r="A87" s="162" t="s">
        <v>177</v>
      </c>
      <c r="B87" s="162"/>
      <c r="C87" s="162"/>
      <c r="D87" s="162"/>
      <c r="E87" s="162"/>
      <c r="F87" s="162"/>
      <c r="G87" s="162"/>
      <c r="H87" s="162"/>
    </row>
    <row r="88" spans="1:8" s="14" customFormat="1" ht="16.5" customHeight="1">
      <c r="A88" s="162" t="s">
        <v>178</v>
      </c>
      <c r="B88" s="162"/>
      <c r="C88" s="162"/>
      <c r="D88" s="162"/>
      <c r="E88" s="162"/>
      <c r="F88" s="162"/>
      <c r="G88" s="162"/>
      <c r="H88" s="162"/>
    </row>
    <row r="89" spans="1:8" s="14" customFormat="1" ht="107.25" customHeight="1">
      <c r="A89" s="162" t="s">
        <v>179</v>
      </c>
      <c r="B89" s="162"/>
      <c r="C89" s="162"/>
      <c r="D89" s="162"/>
      <c r="E89" s="162"/>
      <c r="F89" s="162"/>
      <c r="G89" s="162"/>
      <c r="H89" s="162"/>
    </row>
    <row r="90" spans="1:8" s="14" customFormat="1" ht="42" customHeight="1">
      <c r="A90" s="162" t="s">
        <v>180</v>
      </c>
      <c r="B90" s="162"/>
      <c r="C90" s="162"/>
      <c r="D90" s="162"/>
      <c r="E90" s="162"/>
      <c r="F90" s="162"/>
      <c r="G90" s="162"/>
      <c r="H90" s="162"/>
    </row>
    <row r="91" spans="1:8" s="14" customFormat="1" ht="17.25" customHeight="1">
      <c r="A91" s="162" t="s">
        <v>181</v>
      </c>
      <c r="B91" s="162"/>
      <c r="C91" s="162"/>
      <c r="D91" s="162"/>
      <c r="E91" s="162"/>
      <c r="F91" s="162"/>
      <c r="G91" s="162"/>
      <c r="H91" s="162"/>
    </row>
    <row r="92" spans="1:8" s="14" customFormat="1">
      <c r="A92" s="162"/>
      <c r="B92" s="162"/>
      <c r="C92" s="162"/>
      <c r="D92" s="162"/>
      <c r="E92" s="162"/>
      <c r="F92" s="162"/>
      <c r="G92" s="162"/>
      <c r="H92" s="162"/>
    </row>
    <row r="93" spans="1:8" s="14" customFormat="1">
      <c r="A93" s="14" t="s">
        <v>16</v>
      </c>
      <c r="D93" s="31"/>
      <c r="G93" s="15"/>
    </row>
    <row r="94" spans="1:8" s="14" customFormat="1">
      <c r="D94" s="31"/>
      <c r="G94" s="15"/>
    </row>
    <row r="95" spans="1:8" s="14" customFormat="1" ht="15" customHeight="1">
      <c r="A95" s="32"/>
      <c r="B95" s="32"/>
      <c r="C95" s="32"/>
      <c r="D95" s="31"/>
      <c r="E95" s="32"/>
      <c r="F95" s="32"/>
      <c r="G95" s="33"/>
    </row>
    <row r="96" spans="1:8" s="14" customFormat="1">
      <c r="A96" s="179" t="s">
        <v>163</v>
      </c>
      <c r="B96" s="179"/>
      <c r="C96" s="179"/>
      <c r="D96" s="31"/>
      <c r="E96" s="179" t="s">
        <v>17</v>
      </c>
      <c r="F96" s="179"/>
      <c r="G96" s="179"/>
    </row>
    <row r="97"/>
  </sheetData>
  <sheetProtection password="CAF1" sheet="1" objects="1" scenarios="1" selectLockedCells="1"/>
  <mergeCells count="20">
    <mergeCell ref="A90:H90"/>
    <mergeCell ref="A91:H91"/>
    <mergeCell ref="A92:H92"/>
    <mergeCell ref="A96:C96"/>
    <mergeCell ref="E96:G96"/>
    <mergeCell ref="A88:H88"/>
    <mergeCell ref="A89:H89"/>
    <mergeCell ref="H1:H2"/>
    <mergeCell ref="A84:H84"/>
    <mergeCell ref="A85:H85"/>
    <mergeCell ref="A86:H86"/>
    <mergeCell ref="A87:H87"/>
    <mergeCell ref="A82:D82"/>
    <mergeCell ref="C5:H5"/>
    <mergeCell ref="C6:H6"/>
    <mergeCell ref="C7:H7"/>
    <mergeCell ref="C8:H8"/>
    <mergeCell ref="C9:H9"/>
    <mergeCell ref="A23:G23"/>
    <mergeCell ref="C10:H10"/>
  </mergeCells>
  <hyperlinks>
    <hyperlink ref="C1" location="'DATA SHEET'!A1" display="HIGHLANDS PRIME, INC." xr:uid="{00000000-0004-0000-0600-000000000000}"/>
    <hyperlink ref="J3" location="'DATA SHEET'!A1" display="Return to Data Sheet" xr:uid="{00000000-0004-0000-0600-000001000000}"/>
  </hyperlinks>
  <printOptions horizontalCentered="1"/>
  <pageMargins left="0.7" right="0.7" top="0.75" bottom="0.5" header="0.3" footer="0.3"/>
  <pageSetup scale="70" orientation="portrait"/>
  <headerFooter>
    <oddFooter>&amp;L&amp;8A project of HIGHLANDS PRIME, INC. 
Woodridge Place at Tagaytay Highlands,  Tagaytay Highlands, Tagaytay City
HLURB License To Sell No. 22459&amp;RPage &amp;P of &amp;N</oddFooter>
  </headerFooter>
  <ignoredErrors>
    <ignoredError sqref="D19" formula="1"/>
    <ignoredError sqref="D15" unlockedFormula="1"/>
  </ignoredError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3">
    <tabColor rgb="FFF7941D"/>
    <pageSetUpPr fitToPage="1"/>
  </sheetPr>
  <dimension ref="A1:L98"/>
  <sheetViews>
    <sheetView showGridLines="0" topLeftCell="A3" workbookViewId="0">
      <selection activeCell="D15" sqref="D15"/>
    </sheetView>
  </sheetViews>
  <sheetFormatPr baseColWidth="10" defaultColWidth="0" defaultRowHeight="14" zeroHeight="1"/>
  <cols>
    <col min="1" max="1" width="12.5" style="13" customWidth="1"/>
    <col min="2" max="2" width="11.33203125" style="13" customWidth="1"/>
    <col min="3" max="3" width="24.1640625" style="13" customWidth="1"/>
    <col min="4" max="4" width="13.5" style="35" bestFit="1" customWidth="1"/>
    <col min="5" max="5" width="13.5" style="13" bestFit="1" customWidth="1"/>
    <col min="6" max="6" width="13.6640625" style="13" bestFit="1" customWidth="1"/>
    <col min="7" max="7" width="13.5" style="36" bestFit="1" customWidth="1"/>
    <col min="8" max="8" width="16.5" style="13" bestFit="1" customWidth="1"/>
    <col min="9" max="12" width="9.1640625" style="13" customWidth="1"/>
    <col min="13" max="16384" width="9.1640625" style="13" hidden="1"/>
  </cols>
  <sheetData>
    <row r="1" spans="1:10" ht="12.75" customHeight="1">
      <c r="C1" s="34" t="s">
        <v>33</v>
      </c>
      <c r="H1" s="163" t="s">
        <v>50</v>
      </c>
    </row>
    <row r="2" spans="1:10" ht="12.75" customHeight="1">
      <c r="C2" s="36" t="s">
        <v>182</v>
      </c>
      <c r="H2" s="163"/>
    </row>
    <row r="3" spans="1:10">
      <c r="C3" s="36" t="s">
        <v>34</v>
      </c>
      <c r="J3" s="69" t="s">
        <v>111</v>
      </c>
    </row>
    <row r="4" spans="1:10"/>
    <row r="5" spans="1:10">
      <c r="A5" s="37" t="s">
        <v>0</v>
      </c>
      <c r="B5" s="38"/>
      <c r="C5" s="167" t="str">
        <f>'DATA SHEET'!C9</f>
        <v xml:space="preserve"> </v>
      </c>
      <c r="D5" s="167"/>
      <c r="E5" s="167"/>
      <c r="F5" s="167"/>
      <c r="G5" s="167"/>
      <c r="H5" s="168"/>
    </row>
    <row r="6" spans="1:10">
      <c r="A6" s="39" t="s">
        <v>30</v>
      </c>
      <c r="B6" s="40"/>
      <c r="C6" s="169" t="str">
        <f>'DATA SHEET'!C10</f>
        <v>2A</v>
      </c>
      <c r="D6" s="169"/>
      <c r="E6" s="169"/>
      <c r="F6" s="169"/>
      <c r="G6" s="169"/>
      <c r="H6" s="170"/>
    </row>
    <row r="7" spans="1:10">
      <c r="A7" s="39" t="s">
        <v>35</v>
      </c>
      <c r="B7" s="40"/>
      <c r="C7" s="171">
        <f>'DATA SHEET'!C12</f>
        <v>49.15</v>
      </c>
      <c r="D7" s="171"/>
      <c r="E7" s="171"/>
      <c r="F7" s="171"/>
      <c r="G7" s="171"/>
      <c r="H7" s="172"/>
    </row>
    <row r="8" spans="1:10">
      <c r="A8" s="39" t="s">
        <v>145</v>
      </c>
      <c r="B8" s="40"/>
      <c r="C8" s="173" t="str">
        <f>'DATA SHEET'!C11</f>
        <v>1-Bedroom</v>
      </c>
      <c r="D8" s="173"/>
      <c r="E8" s="173"/>
      <c r="F8" s="173"/>
      <c r="G8" s="173"/>
      <c r="H8" s="174"/>
    </row>
    <row r="9" spans="1:10">
      <c r="A9" s="41" t="s">
        <v>167</v>
      </c>
      <c r="B9" s="40"/>
      <c r="C9" s="175">
        <f>'DATA SHEET'!C13</f>
        <v>8473400</v>
      </c>
      <c r="D9" s="175"/>
      <c r="E9" s="175"/>
      <c r="F9" s="175"/>
      <c r="G9" s="175"/>
      <c r="H9" s="176"/>
    </row>
    <row r="10" spans="1:10">
      <c r="A10" s="42" t="s">
        <v>31</v>
      </c>
      <c r="B10" s="43"/>
      <c r="C10" s="177" t="str">
        <f>'DATA SHEET'!B22</f>
        <v>5% over 6 months, 30% over 48 months, 65% Lumpsum</v>
      </c>
      <c r="D10" s="177"/>
      <c r="E10" s="177"/>
      <c r="F10" s="177"/>
      <c r="G10" s="177"/>
      <c r="H10" s="178"/>
    </row>
    <row r="11" spans="1:10"/>
    <row r="12" spans="1:10">
      <c r="A12" s="36" t="s">
        <v>46</v>
      </c>
      <c r="B12" s="36"/>
    </row>
    <row r="13" spans="1:10">
      <c r="A13" s="14" t="s">
        <v>170</v>
      </c>
      <c r="D13" s="44">
        <f>(C9-650000)</f>
        <v>7823400</v>
      </c>
      <c r="E13" s="45" t="str">
        <f>LEFT(C8,9)</f>
        <v>1-Bedroom</v>
      </c>
    </row>
    <row r="14" spans="1:10">
      <c r="A14" s="46" t="s">
        <v>191</v>
      </c>
      <c r="B14" s="47"/>
      <c r="C14" s="101">
        <v>0.01</v>
      </c>
      <c r="D14" s="48">
        <f>IF(C14&lt;=1%,D13*C14,"BEYOND MAX")</f>
        <v>78234</v>
      </c>
      <c r="E14" s="35"/>
    </row>
    <row r="15" spans="1:10">
      <c r="A15" s="46" t="s">
        <v>192</v>
      </c>
      <c r="B15" s="47"/>
      <c r="C15" s="101"/>
      <c r="D15" s="143">
        <f>VLOOKUP('DATA SHEET'!C10,'WESTCHASE PL'!$D$11:$H$33,5,0)</f>
        <v>230000</v>
      </c>
      <c r="E15" s="35"/>
    </row>
    <row r="16" spans="1:10">
      <c r="A16" s="14" t="s">
        <v>171</v>
      </c>
      <c r="B16" s="14"/>
      <c r="C16" s="14"/>
      <c r="D16" s="49">
        <f>D13-SUM(D14:D15)</f>
        <v>7515166</v>
      </c>
      <c r="E16" s="50"/>
    </row>
    <row r="17" spans="1:8">
      <c r="A17" s="47" t="s">
        <v>109</v>
      </c>
      <c r="B17" s="47"/>
      <c r="D17" s="51">
        <v>650000</v>
      </c>
      <c r="E17" s="50"/>
    </row>
    <row r="18" spans="1:8">
      <c r="A18" s="52" t="s">
        <v>172</v>
      </c>
      <c r="B18" s="15"/>
      <c r="C18" s="15"/>
      <c r="D18" s="53">
        <f>+SUM(D16:D17)</f>
        <v>8165166</v>
      </c>
      <c r="E18" s="50"/>
    </row>
    <row r="19" spans="1:8">
      <c r="A19" s="54" t="s">
        <v>154</v>
      </c>
      <c r="B19" s="54"/>
      <c r="C19" s="16">
        <v>0.05</v>
      </c>
      <c r="D19" s="55">
        <f>(D16/1.12)*C19</f>
        <v>335498.4821428571</v>
      </c>
      <c r="E19" s="50"/>
    </row>
    <row r="20" spans="1:8" ht="15" thickBot="1">
      <c r="A20" s="15" t="s">
        <v>47</v>
      </c>
      <c r="B20" s="15"/>
      <c r="C20" s="15"/>
      <c r="D20" s="56">
        <f>+SUM(D18:D19)</f>
        <v>8500664.4821428563</v>
      </c>
      <c r="E20" s="35"/>
    </row>
    <row r="21" spans="1:8" ht="15" thickTop="1"/>
    <row r="22" spans="1:8">
      <c r="A22" s="57" t="s">
        <v>32</v>
      </c>
      <c r="B22" s="57" t="s">
        <v>155</v>
      </c>
      <c r="C22" s="57" t="s">
        <v>2</v>
      </c>
      <c r="D22" s="57" t="s">
        <v>156</v>
      </c>
      <c r="E22" s="57" t="s">
        <v>173</v>
      </c>
      <c r="F22" s="57" t="s">
        <v>158</v>
      </c>
      <c r="G22" s="59" t="s">
        <v>159</v>
      </c>
      <c r="H22" s="57" t="s">
        <v>160</v>
      </c>
    </row>
    <row r="23" spans="1:8">
      <c r="A23" s="165" t="s">
        <v>162</v>
      </c>
      <c r="B23" s="165"/>
      <c r="C23" s="165"/>
      <c r="D23" s="165"/>
      <c r="E23" s="165"/>
      <c r="F23" s="165"/>
      <c r="G23" s="165"/>
      <c r="H23" s="60">
        <f>+D20</f>
        <v>8500664.4821428563</v>
      </c>
    </row>
    <row r="24" spans="1:8" ht="13.5" customHeight="1">
      <c r="A24" s="61">
        <v>0</v>
      </c>
      <c r="B24" s="61"/>
      <c r="C24" s="61" t="s">
        <v>36</v>
      </c>
      <c r="D24" s="62">
        <f ca="1">'DATA SHEET'!C8</f>
        <v>43973</v>
      </c>
      <c r="E24" s="63">
        <f>IF(E13="1-Bedroom",50000,100000)</f>
        <v>50000</v>
      </c>
      <c r="F24" s="63"/>
      <c r="G24" s="64">
        <f>+SUM(E24:F24)</f>
        <v>50000</v>
      </c>
      <c r="H24" s="65">
        <f>D20-E24</f>
        <v>8450664.4821428563</v>
      </c>
    </row>
    <row r="25" spans="1:8" ht="13.5" customHeight="1">
      <c r="A25" s="61"/>
      <c r="B25" s="66">
        <v>0.05</v>
      </c>
      <c r="C25" s="61" t="s">
        <v>166</v>
      </c>
      <c r="D25" s="62"/>
      <c r="E25" s="63"/>
      <c r="F25" s="63"/>
      <c r="G25" s="64"/>
      <c r="H25" s="65"/>
    </row>
    <row r="26" spans="1:8">
      <c r="A26" s="61">
        <f>+A24+1</f>
        <v>1</v>
      </c>
      <c r="B26" s="61"/>
      <c r="C26" s="61" t="s">
        <v>53</v>
      </c>
      <c r="D26" s="62">
        <f ca="1">EDATE(D24,1)</f>
        <v>44004</v>
      </c>
      <c r="E26" s="63">
        <f t="shared" ref="E26:E31" si="0">(($D$18*5%)-$E$24)/6</f>
        <v>59709.716666666674</v>
      </c>
      <c r="F26" s="63">
        <f>(($D$19*5%))/6</f>
        <v>2795.8206845238092</v>
      </c>
      <c r="G26" s="64">
        <f t="shared" ref="G26:G33" si="1">+SUM(E26:F26)</f>
        <v>62505.537351190484</v>
      </c>
      <c r="H26" s="65">
        <f>H24-G26</f>
        <v>8388158.9447916662</v>
      </c>
    </row>
    <row r="27" spans="1:8">
      <c r="A27" s="61">
        <f t="shared" ref="A27:A81" si="2">+A26+1</f>
        <v>2</v>
      </c>
      <c r="B27" s="61"/>
      <c r="C27" s="61" t="s">
        <v>54</v>
      </c>
      <c r="D27" s="62">
        <f t="shared" ref="D27:D81" ca="1" si="3">EDATE(D26,1)</f>
        <v>44034</v>
      </c>
      <c r="E27" s="63">
        <f t="shared" si="0"/>
        <v>59709.716666666674</v>
      </c>
      <c r="F27" s="63">
        <f t="shared" ref="F27:F31" si="4">(($D$19*5%))/6</f>
        <v>2795.8206845238092</v>
      </c>
      <c r="G27" s="64">
        <f t="shared" si="1"/>
        <v>62505.537351190484</v>
      </c>
      <c r="H27" s="65">
        <f t="shared" ref="H27:H81" si="5">H26-G27</f>
        <v>8325653.4074404761</v>
      </c>
    </row>
    <row r="28" spans="1:8">
      <c r="A28" s="61">
        <f t="shared" si="2"/>
        <v>3</v>
      </c>
      <c r="B28" s="61"/>
      <c r="C28" s="61" t="s">
        <v>55</v>
      </c>
      <c r="D28" s="62">
        <f t="shared" ca="1" si="3"/>
        <v>44065</v>
      </c>
      <c r="E28" s="63">
        <f t="shared" si="0"/>
        <v>59709.716666666674</v>
      </c>
      <c r="F28" s="63">
        <f t="shared" si="4"/>
        <v>2795.8206845238092</v>
      </c>
      <c r="G28" s="64">
        <f t="shared" si="1"/>
        <v>62505.537351190484</v>
      </c>
      <c r="H28" s="65">
        <f t="shared" si="5"/>
        <v>8263147.870089286</v>
      </c>
    </row>
    <row r="29" spans="1:8">
      <c r="A29" s="61">
        <f t="shared" si="2"/>
        <v>4</v>
      </c>
      <c r="B29" s="61"/>
      <c r="C29" s="61" t="s">
        <v>56</v>
      </c>
      <c r="D29" s="62">
        <f t="shared" ca="1" si="3"/>
        <v>44096</v>
      </c>
      <c r="E29" s="63">
        <f t="shared" si="0"/>
        <v>59709.716666666674</v>
      </c>
      <c r="F29" s="63">
        <f t="shared" si="4"/>
        <v>2795.8206845238092</v>
      </c>
      <c r="G29" s="64">
        <f t="shared" si="1"/>
        <v>62505.537351190484</v>
      </c>
      <c r="H29" s="65">
        <f t="shared" si="5"/>
        <v>8200642.3327380959</v>
      </c>
    </row>
    <row r="30" spans="1:8">
      <c r="A30" s="61">
        <f t="shared" si="2"/>
        <v>5</v>
      </c>
      <c r="B30" s="61"/>
      <c r="C30" s="61" t="s">
        <v>57</v>
      </c>
      <c r="D30" s="62">
        <f t="shared" ca="1" si="3"/>
        <v>44126</v>
      </c>
      <c r="E30" s="63">
        <f t="shared" si="0"/>
        <v>59709.716666666674</v>
      </c>
      <c r="F30" s="63">
        <f t="shared" si="4"/>
        <v>2795.8206845238092</v>
      </c>
      <c r="G30" s="64">
        <f t="shared" si="1"/>
        <v>62505.537351190484</v>
      </c>
      <c r="H30" s="65">
        <f t="shared" si="5"/>
        <v>8138136.7953869058</v>
      </c>
    </row>
    <row r="31" spans="1:8">
      <c r="A31" s="61">
        <f t="shared" si="2"/>
        <v>6</v>
      </c>
      <c r="B31" s="61"/>
      <c r="C31" s="61" t="s">
        <v>58</v>
      </c>
      <c r="D31" s="62">
        <f t="shared" ca="1" si="3"/>
        <v>44157</v>
      </c>
      <c r="E31" s="63">
        <f t="shared" si="0"/>
        <v>59709.716666666674</v>
      </c>
      <c r="F31" s="63">
        <f t="shared" si="4"/>
        <v>2795.8206845238092</v>
      </c>
      <c r="G31" s="64">
        <f t="shared" si="1"/>
        <v>62505.537351190484</v>
      </c>
      <c r="H31" s="65">
        <f t="shared" si="5"/>
        <v>8075631.2580357157</v>
      </c>
    </row>
    <row r="32" spans="1:8">
      <c r="A32" s="61"/>
      <c r="B32" s="66">
        <v>0.3</v>
      </c>
      <c r="C32" s="61" t="s">
        <v>165</v>
      </c>
      <c r="D32" s="62"/>
      <c r="E32" s="63"/>
      <c r="F32" s="63"/>
      <c r="G32" s="64"/>
      <c r="H32" s="65"/>
    </row>
    <row r="33" spans="1:8">
      <c r="A33" s="61">
        <f>+A31+1</f>
        <v>7</v>
      </c>
      <c r="B33" s="61"/>
      <c r="C33" s="61" t="s">
        <v>3</v>
      </c>
      <c r="D33" s="62">
        <f ca="1">EDATE(D31,1)</f>
        <v>44187</v>
      </c>
      <c r="E33" s="63">
        <f>($D$18*0.3)/48</f>
        <v>51032.287499999999</v>
      </c>
      <c r="F33" s="63">
        <f>($D$19*0.3)/48</f>
        <v>2096.8655133928569</v>
      </c>
      <c r="G33" s="64">
        <f t="shared" si="1"/>
        <v>53129.153013392854</v>
      </c>
      <c r="H33" s="65">
        <f>H31-G33</f>
        <v>8022502.1050223224</v>
      </c>
    </row>
    <row r="34" spans="1:8">
      <c r="A34" s="61">
        <f t="shared" si="2"/>
        <v>8</v>
      </c>
      <c r="B34" s="61"/>
      <c r="C34" s="61" t="s">
        <v>4</v>
      </c>
      <c r="D34" s="62">
        <f t="shared" ca="1" si="3"/>
        <v>44218</v>
      </c>
      <c r="E34" s="63">
        <f t="shared" ref="E34:E80" si="6">($D$18*0.3)/48</f>
        <v>51032.287499999999</v>
      </c>
      <c r="F34" s="63">
        <f t="shared" ref="F34:F80" si="7">($D$19*0.3)/48</f>
        <v>2096.8655133928569</v>
      </c>
      <c r="G34" s="64">
        <f t="shared" ref="G34:G81" si="8">+SUM(E34:F34)</f>
        <v>53129.153013392854</v>
      </c>
      <c r="H34" s="65">
        <f t="shared" si="5"/>
        <v>7969372.9520089291</v>
      </c>
    </row>
    <row r="35" spans="1:8">
      <c r="A35" s="61">
        <f t="shared" si="2"/>
        <v>9</v>
      </c>
      <c r="B35" s="61"/>
      <c r="C35" s="61" t="s">
        <v>5</v>
      </c>
      <c r="D35" s="62">
        <f t="shared" ca="1" si="3"/>
        <v>44249</v>
      </c>
      <c r="E35" s="63">
        <f t="shared" si="6"/>
        <v>51032.287499999999</v>
      </c>
      <c r="F35" s="63">
        <f t="shared" si="7"/>
        <v>2096.8655133928569</v>
      </c>
      <c r="G35" s="64">
        <f t="shared" si="8"/>
        <v>53129.153013392854</v>
      </c>
      <c r="H35" s="65">
        <f t="shared" si="5"/>
        <v>7916243.7989955358</v>
      </c>
    </row>
    <row r="36" spans="1:8">
      <c r="A36" s="61">
        <f t="shared" si="2"/>
        <v>10</v>
      </c>
      <c r="B36" s="61"/>
      <c r="C36" s="61" t="s">
        <v>6</v>
      </c>
      <c r="D36" s="62">
        <f t="shared" ca="1" si="3"/>
        <v>44277</v>
      </c>
      <c r="E36" s="63">
        <f t="shared" si="6"/>
        <v>51032.287499999999</v>
      </c>
      <c r="F36" s="63">
        <f t="shared" si="7"/>
        <v>2096.8655133928569</v>
      </c>
      <c r="G36" s="64">
        <f t="shared" si="8"/>
        <v>53129.153013392854</v>
      </c>
      <c r="H36" s="65">
        <f t="shared" si="5"/>
        <v>7863114.6459821425</v>
      </c>
    </row>
    <row r="37" spans="1:8">
      <c r="A37" s="61">
        <f t="shared" si="2"/>
        <v>11</v>
      </c>
      <c r="B37" s="61"/>
      <c r="C37" s="61" t="s">
        <v>7</v>
      </c>
      <c r="D37" s="62">
        <f t="shared" ca="1" si="3"/>
        <v>44308</v>
      </c>
      <c r="E37" s="63">
        <f t="shared" si="6"/>
        <v>51032.287499999999</v>
      </c>
      <c r="F37" s="63">
        <f t="shared" si="7"/>
        <v>2096.8655133928569</v>
      </c>
      <c r="G37" s="64">
        <f t="shared" si="8"/>
        <v>53129.153013392854</v>
      </c>
      <c r="H37" s="65">
        <f t="shared" si="5"/>
        <v>7809985.4929687493</v>
      </c>
    </row>
    <row r="38" spans="1:8">
      <c r="A38" s="61">
        <f t="shared" si="2"/>
        <v>12</v>
      </c>
      <c r="B38" s="61"/>
      <c r="C38" s="61" t="s">
        <v>8</v>
      </c>
      <c r="D38" s="62">
        <f t="shared" ca="1" si="3"/>
        <v>44338</v>
      </c>
      <c r="E38" s="63">
        <f t="shared" si="6"/>
        <v>51032.287499999999</v>
      </c>
      <c r="F38" s="63">
        <f t="shared" si="7"/>
        <v>2096.8655133928569</v>
      </c>
      <c r="G38" s="64">
        <f t="shared" si="8"/>
        <v>53129.153013392854</v>
      </c>
      <c r="H38" s="65">
        <f t="shared" si="5"/>
        <v>7756856.339955356</v>
      </c>
    </row>
    <row r="39" spans="1:8">
      <c r="A39" s="61">
        <f t="shared" si="2"/>
        <v>13</v>
      </c>
      <c r="B39" s="61"/>
      <c r="C39" s="61" t="s">
        <v>9</v>
      </c>
      <c r="D39" s="62">
        <f t="shared" ca="1" si="3"/>
        <v>44369</v>
      </c>
      <c r="E39" s="63">
        <f t="shared" si="6"/>
        <v>51032.287499999999</v>
      </c>
      <c r="F39" s="63">
        <f t="shared" si="7"/>
        <v>2096.8655133928569</v>
      </c>
      <c r="G39" s="64">
        <f t="shared" si="8"/>
        <v>53129.153013392854</v>
      </c>
      <c r="H39" s="65">
        <f t="shared" si="5"/>
        <v>7703727.1869419627</v>
      </c>
    </row>
    <row r="40" spans="1:8">
      <c r="A40" s="61">
        <f t="shared" si="2"/>
        <v>14</v>
      </c>
      <c r="B40" s="61"/>
      <c r="C40" s="61" t="s">
        <v>10</v>
      </c>
      <c r="D40" s="62">
        <f t="shared" ca="1" si="3"/>
        <v>44399</v>
      </c>
      <c r="E40" s="63">
        <f t="shared" si="6"/>
        <v>51032.287499999999</v>
      </c>
      <c r="F40" s="63">
        <f t="shared" si="7"/>
        <v>2096.8655133928569</v>
      </c>
      <c r="G40" s="64">
        <f t="shared" si="8"/>
        <v>53129.153013392854</v>
      </c>
      <c r="H40" s="65">
        <f t="shared" si="5"/>
        <v>7650598.0339285694</v>
      </c>
    </row>
    <row r="41" spans="1:8">
      <c r="A41" s="61">
        <f t="shared" si="2"/>
        <v>15</v>
      </c>
      <c r="B41" s="61"/>
      <c r="C41" s="61" t="s">
        <v>11</v>
      </c>
      <c r="D41" s="62">
        <f t="shared" ca="1" si="3"/>
        <v>44430</v>
      </c>
      <c r="E41" s="63">
        <f t="shared" si="6"/>
        <v>51032.287499999999</v>
      </c>
      <c r="F41" s="63">
        <f t="shared" si="7"/>
        <v>2096.8655133928569</v>
      </c>
      <c r="G41" s="64">
        <f t="shared" si="8"/>
        <v>53129.153013392854</v>
      </c>
      <c r="H41" s="65">
        <f t="shared" si="5"/>
        <v>7597468.8809151761</v>
      </c>
    </row>
    <row r="42" spans="1:8">
      <c r="A42" s="61">
        <f t="shared" si="2"/>
        <v>16</v>
      </c>
      <c r="B42" s="61"/>
      <c r="C42" s="61" t="s">
        <v>12</v>
      </c>
      <c r="D42" s="62">
        <f t="shared" ca="1" si="3"/>
        <v>44461</v>
      </c>
      <c r="E42" s="63">
        <f t="shared" si="6"/>
        <v>51032.287499999999</v>
      </c>
      <c r="F42" s="63">
        <f t="shared" si="7"/>
        <v>2096.8655133928569</v>
      </c>
      <c r="G42" s="64">
        <f t="shared" si="8"/>
        <v>53129.153013392854</v>
      </c>
      <c r="H42" s="65">
        <f t="shared" si="5"/>
        <v>7544339.7279017828</v>
      </c>
    </row>
    <row r="43" spans="1:8">
      <c r="A43" s="61">
        <f t="shared" si="2"/>
        <v>17</v>
      </c>
      <c r="B43" s="61"/>
      <c r="C43" s="61" t="s">
        <v>13</v>
      </c>
      <c r="D43" s="62">
        <f t="shared" ca="1" si="3"/>
        <v>44491</v>
      </c>
      <c r="E43" s="63">
        <f t="shared" si="6"/>
        <v>51032.287499999999</v>
      </c>
      <c r="F43" s="63">
        <f t="shared" si="7"/>
        <v>2096.8655133928569</v>
      </c>
      <c r="G43" s="64">
        <f t="shared" si="8"/>
        <v>53129.153013392854</v>
      </c>
      <c r="H43" s="65">
        <f t="shared" si="5"/>
        <v>7491210.5748883896</v>
      </c>
    </row>
    <row r="44" spans="1:8">
      <c r="A44" s="61">
        <f t="shared" si="2"/>
        <v>18</v>
      </c>
      <c r="B44" s="61"/>
      <c r="C44" s="61" t="s">
        <v>14</v>
      </c>
      <c r="D44" s="62">
        <f t="shared" ca="1" si="3"/>
        <v>44522</v>
      </c>
      <c r="E44" s="63">
        <f t="shared" si="6"/>
        <v>51032.287499999999</v>
      </c>
      <c r="F44" s="63">
        <f t="shared" si="7"/>
        <v>2096.8655133928569</v>
      </c>
      <c r="G44" s="64">
        <f t="shared" si="8"/>
        <v>53129.153013392854</v>
      </c>
      <c r="H44" s="65">
        <f t="shared" si="5"/>
        <v>7438081.4218749963</v>
      </c>
    </row>
    <row r="45" spans="1:8">
      <c r="A45" s="61">
        <f t="shared" si="2"/>
        <v>19</v>
      </c>
      <c r="B45" s="61"/>
      <c r="C45" s="61" t="s">
        <v>18</v>
      </c>
      <c r="D45" s="62">
        <f t="shared" ca="1" si="3"/>
        <v>44552</v>
      </c>
      <c r="E45" s="63">
        <f t="shared" si="6"/>
        <v>51032.287499999999</v>
      </c>
      <c r="F45" s="63">
        <f t="shared" si="7"/>
        <v>2096.8655133928569</v>
      </c>
      <c r="G45" s="64">
        <f t="shared" si="8"/>
        <v>53129.153013392854</v>
      </c>
      <c r="H45" s="65">
        <f t="shared" si="5"/>
        <v>7384952.268861603</v>
      </c>
    </row>
    <row r="46" spans="1:8">
      <c r="A46" s="61">
        <f t="shared" si="2"/>
        <v>20</v>
      </c>
      <c r="B46" s="61"/>
      <c r="C46" s="61" t="s">
        <v>19</v>
      </c>
      <c r="D46" s="62">
        <f t="shared" ca="1" si="3"/>
        <v>44583</v>
      </c>
      <c r="E46" s="63">
        <f t="shared" si="6"/>
        <v>51032.287499999999</v>
      </c>
      <c r="F46" s="63">
        <f t="shared" si="7"/>
        <v>2096.8655133928569</v>
      </c>
      <c r="G46" s="64">
        <f t="shared" si="8"/>
        <v>53129.153013392854</v>
      </c>
      <c r="H46" s="65">
        <f t="shared" si="5"/>
        <v>7331823.1158482097</v>
      </c>
    </row>
    <row r="47" spans="1:8">
      <c r="A47" s="61">
        <f t="shared" si="2"/>
        <v>21</v>
      </c>
      <c r="B47" s="61"/>
      <c r="C47" s="61" t="s">
        <v>20</v>
      </c>
      <c r="D47" s="62">
        <f t="shared" ca="1" si="3"/>
        <v>44614</v>
      </c>
      <c r="E47" s="63">
        <f t="shared" si="6"/>
        <v>51032.287499999999</v>
      </c>
      <c r="F47" s="63">
        <f t="shared" si="7"/>
        <v>2096.8655133928569</v>
      </c>
      <c r="G47" s="64">
        <f t="shared" si="8"/>
        <v>53129.153013392854</v>
      </c>
      <c r="H47" s="65">
        <f t="shared" si="5"/>
        <v>7278693.9628348164</v>
      </c>
    </row>
    <row r="48" spans="1:8">
      <c r="A48" s="61">
        <f t="shared" si="2"/>
        <v>22</v>
      </c>
      <c r="B48" s="61"/>
      <c r="C48" s="61" t="s">
        <v>21</v>
      </c>
      <c r="D48" s="62">
        <f t="shared" ca="1" si="3"/>
        <v>44642</v>
      </c>
      <c r="E48" s="63">
        <f t="shared" si="6"/>
        <v>51032.287499999999</v>
      </c>
      <c r="F48" s="63">
        <f t="shared" si="7"/>
        <v>2096.8655133928569</v>
      </c>
      <c r="G48" s="64">
        <f t="shared" si="8"/>
        <v>53129.153013392854</v>
      </c>
      <c r="H48" s="65">
        <f t="shared" si="5"/>
        <v>7225564.8098214231</v>
      </c>
    </row>
    <row r="49" spans="1:8">
      <c r="A49" s="61">
        <f t="shared" si="2"/>
        <v>23</v>
      </c>
      <c r="B49" s="61"/>
      <c r="C49" s="61" t="s">
        <v>22</v>
      </c>
      <c r="D49" s="62">
        <f t="shared" ca="1" si="3"/>
        <v>44673</v>
      </c>
      <c r="E49" s="63">
        <f t="shared" si="6"/>
        <v>51032.287499999999</v>
      </c>
      <c r="F49" s="63">
        <f t="shared" si="7"/>
        <v>2096.8655133928569</v>
      </c>
      <c r="G49" s="64">
        <f t="shared" si="8"/>
        <v>53129.153013392854</v>
      </c>
      <c r="H49" s="65">
        <f t="shared" si="5"/>
        <v>7172435.6568080299</v>
      </c>
    </row>
    <row r="50" spans="1:8">
      <c r="A50" s="61">
        <f t="shared" si="2"/>
        <v>24</v>
      </c>
      <c r="B50" s="61"/>
      <c r="C50" s="61" t="s">
        <v>23</v>
      </c>
      <c r="D50" s="62">
        <f t="shared" ca="1" si="3"/>
        <v>44703</v>
      </c>
      <c r="E50" s="63">
        <f t="shared" si="6"/>
        <v>51032.287499999999</v>
      </c>
      <c r="F50" s="63">
        <f t="shared" si="7"/>
        <v>2096.8655133928569</v>
      </c>
      <c r="G50" s="64">
        <f t="shared" si="8"/>
        <v>53129.153013392854</v>
      </c>
      <c r="H50" s="65">
        <f t="shared" si="5"/>
        <v>7119306.5037946366</v>
      </c>
    </row>
    <row r="51" spans="1:8">
      <c r="A51" s="61">
        <f t="shared" si="2"/>
        <v>25</v>
      </c>
      <c r="B51" s="61"/>
      <c r="C51" s="61" t="s">
        <v>24</v>
      </c>
      <c r="D51" s="62">
        <f t="shared" ca="1" si="3"/>
        <v>44734</v>
      </c>
      <c r="E51" s="63">
        <f t="shared" si="6"/>
        <v>51032.287499999999</v>
      </c>
      <c r="F51" s="63">
        <f t="shared" si="7"/>
        <v>2096.8655133928569</v>
      </c>
      <c r="G51" s="64">
        <f t="shared" si="8"/>
        <v>53129.153013392854</v>
      </c>
      <c r="H51" s="65">
        <f t="shared" si="5"/>
        <v>7066177.3507812433</v>
      </c>
    </row>
    <row r="52" spans="1:8">
      <c r="A52" s="61">
        <f t="shared" si="2"/>
        <v>26</v>
      </c>
      <c r="B52" s="61"/>
      <c r="C52" s="61" t="s">
        <v>25</v>
      </c>
      <c r="D52" s="62">
        <f t="shared" ca="1" si="3"/>
        <v>44764</v>
      </c>
      <c r="E52" s="63">
        <f t="shared" si="6"/>
        <v>51032.287499999999</v>
      </c>
      <c r="F52" s="63">
        <f t="shared" si="7"/>
        <v>2096.8655133928569</v>
      </c>
      <c r="G52" s="64">
        <f t="shared" si="8"/>
        <v>53129.153013392854</v>
      </c>
      <c r="H52" s="65">
        <f t="shared" si="5"/>
        <v>7013048.19776785</v>
      </c>
    </row>
    <row r="53" spans="1:8">
      <c r="A53" s="61">
        <f t="shared" si="2"/>
        <v>27</v>
      </c>
      <c r="B53" s="61"/>
      <c r="C53" s="61" t="s">
        <v>26</v>
      </c>
      <c r="D53" s="62">
        <f t="shared" ca="1" si="3"/>
        <v>44795</v>
      </c>
      <c r="E53" s="63">
        <f t="shared" si="6"/>
        <v>51032.287499999999</v>
      </c>
      <c r="F53" s="63">
        <f t="shared" si="7"/>
        <v>2096.8655133928569</v>
      </c>
      <c r="G53" s="64">
        <f t="shared" si="8"/>
        <v>53129.153013392854</v>
      </c>
      <c r="H53" s="65">
        <f t="shared" si="5"/>
        <v>6959919.0447544567</v>
      </c>
    </row>
    <row r="54" spans="1:8">
      <c r="A54" s="61">
        <f t="shared" si="2"/>
        <v>28</v>
      </c>
      <c r="B54" s="61"/>
      <c r="C54" s="61" t="s">
        <v>27</v>
      </c>
      <c r="D54" s="62">
        <f t="shared" ca="1" si="3"/>
        <v>44826</v>
      </c>
      <c r="E54" s="63">
        <f t="shared" si="6"/>
        <v>51032.287499999999</v>
      </c>
      <c r="F54" s="63">
        <f t="shared" si="7"/>
        <v>2096.8655133928569</v>
      </c>
      <c r="G54" s="64">
        <f t="shared" si="8"/>
        <v>53129.153013392854</v>
      </c>
      <c r="H54" s="65">
        <f t="shared" si="5"/>
        <v>6906789.8917410634</v>
      </c>
    </row>
    <row r="55" spans="1:8">
      <c r="A55" s="61">
        <f t="shared" si="2"/>
        <v>29</v>
      </c>
      <c r="B55" s="61"/>
      <c r="C55" s="61" t="s">
        <v>28</v>
      </c>
      <c r="D55" s="62">
        <f t="shared" ca="1" si="3"/>
        <v>44856</v>
      </c>
      <c r="E55" s="63">
        <f t="shared" si="6"/>
        <v>51032.287499999999</v>
      </c>
      <c r="F55" s="63">
        <f t="shared" si="7"/>
        <v>2096.8655133928569</v>
      </c>
      <c r="G55" s="64">
        <f t="shared" si="8"/>
        <v>53129.153013392854</v>
      </c>
      <c r="H55" s="65">
        <f t="shared" si="5"/>
        <v>6853660.7387276702</v>
      </c>
    </row>
    <row r="56" spans="1:8">
      <c r="A56" s="61">
        <f t="shared" si="2"/>
        <v>30</v>
      </c>
      <c r="B56" s="61"/>
      <c r="C56" s="61" t="s">
        <v>29</v>
      </c>
      <c r="D56" s="62">
        <f t="shared" ca="1" si="3"/>
        <v>44887</v>
      </c>
      <c r="E56" s="63">
        <f t="shared" si="6"/>
        <v>51032.287499999999</v>
      </c>
      <c r="F56" s="63">
        <f t="shared" si="7"/>
        <v>2096.8655133928569</v>
      </c>
      <c r="G56" s="64">
        <f t="shared" si="8"/>
        <v>53129.153013392854</v>
      </c>
      <c r="H56" s="65">
        <f t="shared" si="5"/>
        <v>6800531.5857142769</v>
      </c>
    </row>
    <row r="57" spans="1:8">
      <c r="A57" s="61">
        <f t="shared" si="2"/>
        <v>31</v>
      </c>
      <c r="B57" s="61"/>
      <c r="C57" s="61" t="s">
        <v>40</v>
      </c>
      <c r="D57" s="62">
        <f t="shared" ca="1" si="3"/>
        <v>44917</v>
      </c>
      <c r="E57" s="63">
        <f t="shared" si="6"/>
        <v>51032.287499999999</v>
      </c>
      <c r="F57" s="63">
        <f t="shared" si="7"/>
        <v>2096.8655133928569</v>
      </c>
      <c r="G57" s="64">
        <f t="shared" si="8"/>
        <v>53129.153013392854</v>
      </c>
      <c r="H57" s="65">
        <f t="shared" si="5"/>
        <v>6747402.4327008836</v>
      </c>
    </row>
    <row r="58" spans="1:8">
      <c r="A58" s="61">
        <f t="shared" si="2"/>
        <v>32</v>
      </c>
      <c r="B58" s="61"/>
      <c r="C58" s="61" t="s">
        <v>41</v>
      </c>
      <c r="D58" s="62">
        <f t="shared" ca="1" si="3"/>
        <v>44948</v>
      </c>
      <c r="E58" s="63">
        <f t="shared" si="6"/>
        <v>51032.287499999999</v>
      </c>
      <c r="F58" s="63">
        <f t="shared" si="7"/>
        <v>2096.8655133928569</v>
      </c>
      <c r="G58" s="64">
        <f t="shared" si="8"/>
        <v>53129.153013392854</v>
      </c>
      <c r="H58" s="65">
        <f t="shared" si="5"/>
        <v>6694273.2796874903</v>
      </c>
    </row>
    <row r="59" spans="1:8">
      <c r="A59" s="61">
        <f t="shared" si="2"/>
        <v>33</v>
      </c>
      <c r="B59" s="61"/>
      <c r="C59" s="61" t="s">
        <v>42</v>
      </c>
      <c r="D59" s="62">
        <f t="shared" ca="1" si="3"/>
        <v>44979</v>
      </c>
      <c r="E59" s="63">
        <f t="shared" si="6"/>
        <v>51032.287499999999</v>
      </c>
      <c r="F59" s="63">
        <f t="shared" si="7"/>
        <v>2096.8655133928569</v>
      </c>
      <c r="G59" s="64">
        <f t="shared" si="8"/>
        <v>53129.153013392854</v>
      </c>
      <c r="H59" s="65">
        <f t="shared" si="5"/>
        <v>6641144.126674097</v>
      </c>
    </row>
    <row r="60" spans="1:8">
      <c r="A60" s="61">
        <f t="shared" si="2"/>
        <v>34</v>
      </c>
      <c r="B60" s="61"/>
      <c r="C60" s="61" t="s">
        <v>43</v>
      </c>
      <c r="D60" s="62">
        <f t="shared" ca="1" si="3"/>
        <v>45007</v>
      </c>
      <c r="E60" s="63">
        <f t="shared" si="6"/>
        <v>51032.287499999999</v>
      </c>
      <c r="F60" s="63">
        <f t="shared" si="7"/>
        <v>2096.8655133928569</v>
      </c>
      <c r="G60" s="64">
        <f t="shared" si="8"/>
        <v>53129.153013392854</v>
      </c>
      <c r="H60" s="65">
        <f t="shared" si="5"/>
        <v>6588014.9736607037</v>
      </c>
    </row>
    <row r="61" spans="1:8">
      <c r="A61" s="61">
        <f t="shared" si="2"/>
        <v>35</v>
      </c>
      <c r="B61" s="61"/>
      <c r="C61" s="61" t="s">
        <v>44</v>
      </c>
      <c r="D61" s="62">
        <f t="shared" ca="1" si="3"/>
        <v>45038</v>
      </c>
      <c r="E61" s="63">
        <f t="shared" si="6"/>
        <v>51032.287499999999</v>
      </c>
      <c r="F61" s="63">
        <f t="shared" si="7"/>
        <v>2096.8655133928569</v>
      </c>
      <c r="G61" s="64">
        <f t="shared" si="8"/>
        <v>53129.153013392854</v>
      </c>
      <c r="H61" s="65">
        <f t="shared" si="5"/>
        <v>6534885.8206473105</v>
      </c>
    </row>
    <row r="62" spans="1:8">
      <c r="A62" s="61">
        <f t="shared" si="2"/>
        <v>36</v>
      </c>
      <c r="B62" s="61"/>
      <c r="C62" s="61" t="s">
        <v>45</v>
      </c>
      <c r="D62" s="62">
        <f t="shared" ca="1" si="3"/>
        <v>45068</v>
      </c>
      <c r="E62" s="63">
        <f t="shared" si="6"/>
        <v>51032.287499999999</v>
      </c>
      <c r="F62" s="63">
        <f t="shared" si="7"/>
        <v>2096.8655133928569</v>
      </c>
      <c r="G62" s="64">
        <f t="shared" si="8"/>
        <v>53129.153013392854</v>
      </c>
      <c r="H62" s="65">
        <f t="shared" si="5"/>
        <v>6481756.6676339172</v>
      </c>
    </row>
    <row r="63" spans="1:8">
      <c r="A63" s="61">
        <f t="shared" si="2"/>
        <v>37</v>
      </c>
      <c r="B63" s="61"/>
      <c r="C63" s="61" t="s">
        <v>59</v>
      </c>
      <c r="D63" s="62">
        <f t="shared" ca="1" si="3"/>
        <v>45099</v>
      </c>
      <c r="E63" s="63">
        <f t="shared" si="6"/>
        <v>51032.287499999999</v>
      </c>
      <c r="F63" s="63">
        <f t="shared" si="7"/>
        <v>2096.8655133928569</v>
      </c>
      <c r="G63" s="64">
        <f t="shared" si="8"/>
        <v>53129.153013392854</v>
      </c>
      <c r="H63" s="65">
        <f t="shared" si="5"/>
        <v>6428627.5146205239</v>
      </c>
    </row>
    <row r="64" spans="1:8">
      <c r="A64" s="61">
        <f t="shared" si="2"/>
        <v>38</v>
      </c>
      <c r="B64" s="61"/>
      <c r="C64" s="61" t="s">
        <v>60</v>
      </c>
      <c r="D64" s="62">
        <f t="shared" ca="1" si="3"/>
        <v>45129</v>
      </c>
      <c r="E64" s="63">
        <f t="shared" si="6"/>
        <v>51032.287499999999</v>
      </c>
      <c r="F64" s="63">
        <f t="shared" si="7"/>
        <v>2096.8655133928569</v>
      </c>
      <c r="G64" s="64">
        <f t="shared" si="8"/>
        <v>53129.153013392854</v>
      </c>
      <c r="H64" s="65">
        <f t="shared" si="5"/>
        <v>6375498.3616071306</v>
      </c>
    </row>
    <row r="65" spans="1:8">
      <c r="A65" s="61">
        <f t="shared" si="2"/>
        <v>39</v>
      </c>
      <c r="B65" s="61"/>
      <c r="C65" s="61" t="s">
        <v>61</v>
      </c>
      <c r="D65" s="62">
        <f t="shared" ca="1" si="3"/>
        <v>45160</v>
      </c>
      <c r="E65" s="63">
        <f t="shared" si="6"/>
        <v>51032.287499999999</v>
      </c>
      <c r="F65" s="63">
        <f t="shared" si="7"/>
        <v>2096.8655133928569</v>
      </c>
      <c r="G65" s="64">
        <f t="shared" si="8"/>
        <v>53129.153013392854</v>
      </c>
      <c r="H65" s="65">
        <f t="shared" si="5"/>
        <v>6322369.2085937373</v>
      </c>
    </row>
    <row r="66" spans="1:8">
      <c r="A66" s="61">
        <f t="shared" si="2"/>
        <v>40</v>
      </c>
      <c r="B66" s="61"/>
      <c r="C66" s="61" t="s">
        <v>62</v>
      </c>
      <c r="D66" s="62">
        <f t="shared" ca="1" si="3"/>
        <v>45191</v>
      </c>
      <c r="E66" s="63">
        <f t="shared" si="6"/>
        <v>51032.287499999999</v>
      </c>
      <c r="F66" s="63">
        <f t="shared" si="7"/>
        <v>2096.8655133928569</v>
      </c>
      <c r="G66" s="64">
        <f t="shared" si="8"/>
        <v>53129.153013392854</v>
      </c>
      <c r="H66" s="65">
        <f t="shared" si="5"/>
        <v>6269240.0555803441</v>
      </c>
    </row>
    <row r="67" spans="1:8">
      <c r="A67" s="61">
        <f t="shared" si="2"/>
        <v>41</v>
      </c>
      <c r="B67" s="61"/>
      <c r="C67" s="61" t="s">
        <v>63</v>
      </c>
      <c r="D67" s="62">
        <f t="shared" ca="1" si="3"/>
        <v>45221</v>
      </c>
      <c r="E67" s="63">
        <f t="shared" si="6"/>
        <v>51032.287499999999</v>
      </c>
      <c r="F67" s="63">
        <f t="shared" si="7"/>
        <v>2096.8655133928569</v>
      </c>
      <c r="G67" s="64">
        <f t="shared" si="8"/>
        <v>53129.153013392854</v>
      </c>
      <c r="H67" s="65">
        <f t="shared" si="5"/>
        <v>6216110.9025669508</v>
      </c>
    </row>
    <row r="68" spans="1:8">
      <c r="A68" s="61">
        <f t="shared" si="2"/>
        <v>42</v>
      </c>
      <c r="B68" s="61"/>
      <c r="C68" s="61" t="s">
        <v>64</v>
      </c>
      <c r="D68" s="62">
        <f t="shared" ca="1" si="3"/>
        <v>45252</v>
      </c>
      <c r="E68" s="63">
        <f t="shared" si="6"/>
        <v>51032.287499999999</v>
      </c>
      <c r="F68" s="63">
        <f t="shared" si="7"/>
        <v>2096.8655133928569</v>
      </c>
      <c r="G68" s="64">
        <f t="shared" si="8"/>
        <v>53129.153013392854</v>
      </c>
      <c r="H68" s="65">
        <f t="shared" si="5"/>
        <v>6162981.7495535575</v>
      </c>
    </row>
    <row r="69" spans="1:8">
      <c r="A69" s="61">
        <f t="shared" si="2"/>
        <v>43</v>
      </c>
      <c r="B69" s="61"/>
      <c r="C69" s="61" t="s">
        <v>65</v>
      </c>
      <c r="D69" s="62">
        <f t="shared" ca="1" si="3"/>
        <v>45282</v>
      </c>
      <c r="E69" s="63">
        <f t="shared" si="6"/>
        <v>51032.287499999999</v>
      </c>
      <c r="F69" s="63">
        <f t="shared" si="7"/>
        <v>2096.8655133928569</v>
      </c>
      <c r="G69" s="64">
        <f t="shared" si="8"/>
        <v>53129.153013392854</v>
      </c>
      <c r="H69" s="65">
        <f t="shared" si="5"/>
        <v>6109852.5965401642</v>
      </c>
    </row>
    <row r="70" spans="1:8">
      <c r="A70" s="61">
        <f t="shared" si="2"/>
        <v>44</v>
      </c>
      <c r="B70" s="61"/>
      <c r="C70" s="61" t="s">
        <v>66</v>
      </c>
      <c r="D70" s="62">
        <f t="shared" ca="1" si="3"/>
        <v>45313</v>
      </c>
      <c r="E70" s="63">
        <f t="shared" si="6"/>
        <v>51032.287499999999</v>
      </c>
      <c r="F70" s="63">
        <f t="shared" si="7"/>
        <v>2096.8655133928569</v>
      </c>
      <c r="G70" s="64">
        <f t="shared" si="8"/>
        <v>53129.153013392854</v>
      </c>
      <c r="H70" s="65">
        <f t="shared" si="5"/>
        <v>6056723.4435267709</v>
      </c>
    </row>
    <row r="71" spans="1:8">
      <c r="A71" s="61">
        <f t="shared" si="2"/>
        <v>45</v>
      </c>
      <c r="B71" s="61"/>
      <c r="C71" s="61" t="s">
        <v>67</v>
      </c>
      <c r="D71" s="62">
        <f t="shared" ca="1" si="3"/>
        <v>45344</v>
      </c>
      <c r="E71" s="63">
        <f t="shared" si="6"/>
        <v>51032.287499999999</v>
      </c>
      <c r="F71" s="63">
        <f t="shared" si="7"/>
        <v>2096.8655133928569</v>
      </c>
      <c r="G71" s="64">
        <f t="shared" si="8"/>
        <v>53129.153013392854</v>
      </c>
      <c r="H71" s="65">
        <f t="shared" si="5"/>
        <v>6003594.2905133776</v>
      </c>
    </row>
    <row r="72" spans="1:8">
      <c r="A72" s="61">
        <f t="shared" si="2"/>
        <v>46</v>
      </c>
      <c r="B72" s="61"/>
      <c r="C72" s="61" t="s">
        <v>68</v>
      </c>
      <c r="D72" s="62">
        <f t="shared" ca="1" si="3"/>
        <v>45373</v>
      </c>
      <c r="E72" s="63">
        <f t="shared" si="6"/>
        <v>51032.287499999999</v>
      </c>
      <c r="F72" s="63">
        <f t="shared" si="7"/>
        <v>2096.8655133928569</v>
      </c>
      <c r="G72" s="64">
        <f t="shared" si="8"/>
        <v>53129.153013392854</v>
      </c>
      <c r="H72" s="65">
        <f t="shared" si="5"/>
        <v>5950465.1374999844</v>
      </c>
    </row>
    <row r="73" spans="1:8">
      <c r="A73" s="61">
        <f t="shared" si="2"/>
        <v>47</v>
      </c>
      <c r="B73" s="61"/>
      <c r="C73" s="61" t="s">
        <v>69</v>
      </c>
      <c r="D73" s="62">
        <f t="shared" ca="1" si="3"/>
        <v>45404</v>
      </c>
      <c r="E73" s="63">
        <f t="shared" si="6"/>
        <v>51032.287499999999</v>
      </c>
      <c r="F73" s="63">
        <f t="shared" si="7"/>
        <v>2096.8655133928569</v>
      </c>
      <c r="G73" s="64">
        <f t="shared" si="8"/>
        <v>53129.153013392854</v>
      </c>
      <c r="H73" s="65">
        <f t="shared" si="5"/>
        <v>5897335.9844865911</v>
      </c>
    </row>
    <row r="74" spans="1:8">
      <c r="A74" s="61">
        <f t="shared" si="2"/>
        <v>48</v>
      </c>
      <c r="B74" s="61"/>
      <c r="C74" s="61" t="s">
        <v>70</v>
      </c>
      <c r="D74" s="62">
        <f t="shared" ca="1" si="3"/>
        <v>45434</v>
      </c>
      <c r="E74" s="63">
        <f t="shared" si="6"/>
        <v>51032.287499999999</v>
      </c>
      <c r="F74" s="63">
        <f t="shared" si="7"/>
        <v>2096.8655133928569</v>
      </c>
      <c r="G74" s="64">
        <f t="shared" si="8"/>
        <v>53129.153013392854</v>
      </c>
      <c r="H74" s="65">
        <f t="shared" si="5"/>
        <v>5844206.8314731978</v>
      </c>
    </row>
    <row r="75" spans="1:8">
      <c r="A75" s="61">
        <f t="shared" si="2"/>
        <v>49</v>
      </c>
      <c r="B75" s="61"/>
      <c r="C75" s="61" t="s">
        <v>71</v>
      </c>
      <c r="D75" s="62">
        <f t="shared" ca="1" si="3"/>
        <v>45465</v>
      </c>
      <c r="E75" s="63">
        <f t="shared" si="6"/>
        <v>51032.287499999999</v>
      </c>
      <c r="F75" s="63">
        <f t="shared" si="7"/>
        <v>2096.8655133928569</v>
      </c>
      <c r="G75" s="64">
        <f t="shared" si="8"/>
        <v>53129.153013392854</v>
      </c>
      <c r="H75" s="65">
        <f t="shared" si="5"/>
        <v>5791077.6784598045</v>
      </c>
    </row>
    <row r="76" spans="1:8">
      <c r="A76" s="61">
        <f t="shared" si="2"/>
        <v>50</v>
      </c>
      <c r="B76" s="61"/>
      <c r="C76" s="61" t="s">
        <v>72</v>
      </c>
      <c r="D76" s="62">
        <f t="shared" ca="1" si="3"/>
        <v>45495</v>
      </c>
      <c r="E76" s="63">
        <f t="shared" si="6"/>
        <v>51032.287499999999</v>
      </c>
      <c r="F76" s="63">
        <f t="shared" si="7"/>
        <v>2096.8655133928569</v>
      </c>
      <c r="G76" s="64">
        <f t="shared" si="8"/>
        <v>53129.153013392854</v>
      </c>
      <c r="H76" s="65">
        <f t="shared" si="5"/>
        <v>5737948.5254464112</v>
      </c>
    </row>
    <row r="77" spans="1:8">
      <c r="A77" s="61">
        <f t="shared" si="2"/>
        <v>51</v>
      </c>
      <c r="B77" s="61"/>
      <c r="C77" s="61" t="s">
        <v>73</v>
      </c>
      <c r="D77" s="62">
        <f t="shared" ca="1" si="3"/>
        <v>45526</v>
      </c>
      <c r="E77" s="63">
        <f t="shared" si="6"/>
        <v>51032.287499999999</v>
      </c>
      <c r="F77" s="63">
        <f t="shared" si="7"/>
        <v>2096.8655133928569</v>
      </c>
      <c r="G77" s="64">
        <f t="shared" si="8"/>
        <v>53129.153013392854</v>
      </c>
      <c r="H77" s="65">
        <f t="shared" si="5"/>
        <v>5684819.3724330179</v>
      </c>
    </row>
    <row r="78" spans="1:8">
      <c r="A78" s="61">
        <f t="shared" si="2"/>
        <v>52</v>
      </c>
      <c r="B78" s="61"/>
      <c r="C78" s="61" t="s">
        <v>74</v>
      </c>
      <c r="D78" s="62">
        <f t="shared" ca="1" si="3"/>
        <v>45557</v>
      </c>
      <c r="E78" s="63">
        <f t="shared" si="6"/>
        <v>51032.287499999999</v>
      </c>
      <c r="F78" s="63">
        <f t="shared" si="7"/>
        <v>2096.8655133928569</v>
      </c>
      <c r="G78" s="64">
        <f t="shared" si="8"/>
        <v>53129.153013392854</v>
      </c>
      <c r="H78" s="65">
        <f t="shared" si="5"/>
        <v>5631690.2194196247</v>
      </c>
    </row>
    <row r="79" spans="1:8">
      <c r="A79" s="61">
        <f t="shared" si="2"/>
        <v>53</v>
      </c>
      <c r="B79" s="61"/>
      <c r="C79" s="61" t="s">
        <v>75</v>
      </c>
      <c r="D79" s="62">
        <f t="shared" ca="1" si="3"/>
        <v>45587</v>
      </c>
      <c r="E79" s="63">
        <f t="shared" si="6"/>
        <v>51032.287499999999</v>
      </c>
      <c r="F79" s="63">
        <f t="shared" si="7"/>
        <v>2096.8655133928569</v>
      </c>
      <c r="G79" s="64">
        <f t="shared" si="8"/>
        <v>53129.153013392854</v>
      </c>
      <c r="H79" s="65">
        <f t="shared" si="5"/>
        <v>5578561.0664062314</v>
      </c>
    </row>
    <row r="80" spans="1:8">
      <c r="A80" s="61">
        <f t="shared" si="2"/>
        <v>54</v>
      </c>
      <c r="B80" s="61"/>
      <c r="C80" s="61" t="s">
        <v>76</v>
      </c>
      <c r="D80" s="62">
        <f t="shared" ca="1" si="3"/>
        <v>45618</v>
      </c>
      <c r="E80" s="63">
        <f t="shared" si="6"/>
        <v>51032.287499999999</v>
      </c>
      <c r="F80" s="63">
        <f t="shared" si="7"/>
        <v>2096.8655133928569</v>
      </c>
      <c r="G80" s="64">
        <f t="shared" si="8"/>
        <v>53129.153013392854</v>
      </c>
      <c r="H80" s="65">
        <f t="shared" si="5"/>
        <v>5525431.9133928381</v>
      </c>
    </row>
    <row r="81" spans="1:8">
      <c r="A81" s="61">
        <f t="shared" si="2"/>
        <v>55</v>
      </c>
      <c r="B81" s="66">
        <v>0.65</v>
      </c>
      <c r="C81" s="61" t="s">
        <v>105</v>
      </c>
      <c r="D81" s="62">
        <f t="shared" ca="1" si="3"/>
        <v>45648</v>
      </c>
      <c r="E81" s="63">
        <f>$D$18*65%</f>
        <v>5307357.9000000004</v>
      </c>
      <c r="F81" s="63">
        <f>$D$19*65%</f>
        <v>218074.01339285713</v>
      </c>
      <c r="G81" s="64">
        <f t="shared" si="8"/>
        <v>5525431.9133928576</v>
      </c>
      <c r="H81" s="65">
        <f t="shared" si="5"/>
        <v>-1.9557774066925049E-8</v>
      </c>
    </row>
    <row r="82" spans="1:8">
      <c r="A82" s="166" t="s">
        <v>15</v>
      </c>
      <c r="B82" s="166"/>
      <c r="C82" s="166"/>
      <c r="D82" s="166"/>
      <c r="E82" s="67">
        <f>SUM(E24:E81)</f>
        <v>8165166.0000000037</v>
      </c>
      <c r="F82" s="67">
        <f t="shared" ref="F82:G82" si="9">SUM(F24:F81)</f>
        <v>335498.48214285704</v>
      </c>
      <c r="G82" s="67">
        <f t="shared" si="9"/>
        <v>8500664.4821428563</v>
      </c>
      <c r="H82" s="68"/>
    </row>
    <row r="83" spans="1:8" s="14" customFormat="1">
      <c r="C83" s="28"/>
      <c r="D83" s="29"/>
      <c r="E83" s="30"/>
      <c r="F83" s="30"/>
      <c r="G83" s="30"/>
    </row>
    <row r="84" spans="1:8" s="14" customFormat="1">
      <c r="A84" s="162" t="s">
        <v>136</v>
      </c>
      <c r="B84" s="162"/>
      <c r="C84" s="162"/>
      <c r="D84" s="162"/>
      <c r="E84" s="162"/>
      <c r="F84" s="162"/>
      <c r="G84" s="162"/>
      <c r="H84" s="162"/>
    </row>
    <row r="85" spans="1:8" s="14" customFormat="1" ht="29.25" customHeight="1">
      <c r="A85" s="164" t="s">
        <v>175</v>
      </c>
      <c r="B85" s="164"/>
      <c r="C85" s="164"/>
      <c r="D85" s="164"/>
      <c r="E85" s="164"/>
      <c r="F85" s="164"/>
      <c r="G85" s="164"/>
      <c r="H85" s="164"/>
    </row>
    <row r="86" spans="1:8" s="14" customFormat="1" ht="16.5" customHeight="1">
      <c r="A86" s="162" t="s">
        <v>176</v>
      </c>
      <c r="B86" s="162"/>
      <c r="C86" s="162"/>
      <c r="D86" s="162"/>
      <c r="E86" s="162"/>
      <c r="F86" s="162"/>
      <c r="G86" s="162"/>
      <c r="H86" s="162"/>
    </row>
    <row r="87" spans="1:8" s="14" customFormat="1" ht="16.5" customHeight="1">
      <c r="A87" s="162" t="s">
        <v>177</v>
      </c>
      <c r="B87" s="162"/>
      <c r="C87" s="162"/>
      <c r="D87" s="162"/>
      <c r="E87" s="162"/>
      <c r="F87" s="162"/>
      <c r="G87" s="162"/>
      <c r="H87" s="162"/>
    </row>
    <row r="88" spans="1:8" s="14" customFormat="1" ht="16.5" customHeight="1">
      <c r="A88" s="162" t="s">
        <v>178</v>
      </c>
      <c r="B88" s="162"/>
      <c r="C88" s="162"/>
      <c r="D88" s="162"/>
      <c r="E88" s="162"/>
      <c r="F88" s="162"/>
      <c r="G88" s="162"/>
      <c r="H88" s="162"/>
    </row>
    <row r="89" spans="1:8" s="14" customFormat="1" ht="107.25" customHeight="1">
      <c r="A89" s="162" t="s">
        <v>179</v>
      </c>
      <c r="B89" s="162"/>
      <c r="C89" s="162"/>
      <c r="D89" s="162"/>
      <c r="E89" s="162"/>
      <c r="F89" s="162"/>
      <c r="G89" s="162"/>
      <c r="H89" s="162"/>
    </row>
    <row r="90" spans="1:8" s="14" customFormat="1" ht="42" customHeight="1">
      <c r="A90" s="162" t="s">
        <v>180</v>
      </c>
      <c r="B90" s="162"/>
      <c r="C90" s="162"/>
      <c r="D90" s="162"/>
      <c r="E90" s="162"/>
      <c r="F90" s="162"/>
      <c r="G90" s="162"/>
      <c r="H90" s="162"/>
    </row>
    <row r="91" spans="1:8" s="14" customFormat="1" ht="17.25" customHeight="1">
      <c r="A91" s="162" t="s">
        <v>181</v>
      </c>
      <c r="B91" s="162"/>
      <c r="C91" s="162"/>
      <c r="D91" s="162"/>
      <c r="E91" s="162"/>
      <c r="F91" s="162"/>
      <c r="G91" s="162"/>
      <c r="H91" s="162"/>
    </row>
    <row r="92" spans="1:8" s="14" customFormat="1">
      <c r="A92" s="162"/>
      <c r="B92" s="162"/>
      <c r="C92" s="162"/>
      <c r="D92" s="162"/>
      <c r="E92" s="162"/>
      <c r="F92" s="162"/>
      <c r="G92" s="162"/>
      <c r="H92" s="162"/>
    </row>
    <row r="93" spans="1:8" s="14" customFormat="1">
      <c r="A93" s="14" t="s">
        <v>16</v>
      </c>
      <c r="D93" s="31"/>
      <c r="G93" s="15"/>
    </row>
    <row r="94" spans="1:8" s="14" customFormat="1">
      <c r="D94" s="31"/>
      <c r="G94" s="15"/>
    </row>
    <row r="95" spans="1:8" s="14" customFormat="1" ht="15" customHeight="1">
      <c r="A95" s="32"/>
      <c r="B95" s="32"/>
      <c r="C95" s="32"/>
      <c r="D95" s="31"/>
      <c r="E95" s="32"/>
      <c r="F95" s="32"/>
      <c r="G95" s="33"/>
    </row>
    <row r="96" spans="1:8" s="14" customFormat="1">
      <c r="A96" s="179" t="s">
        <v>163</v>
      </c>
      <c r="B96" s="179"/>
      <c r="C96" s="179"/>
      <c r="D96" s="31"/>
      <c r="E96" s="179" t="s">
        <v>17</v>
      </c>
      <c r="F96" s="179"/>
      <c r="G96" s="179"/>
    </row>
    <row r="97"/>
    <row r="98"/>
  </sheetData>
  <sheetProtection password="CAF1" sheet="1" objects="1" scenarios="1" selectLockedCells="1"/>
  <mergeCells count="20">
    <mergeCell ref="A90:H90"/>
    <mergeCell ref="A91:H91"/>
    <mergeCell ref="A92:H92"/>
    <mergeCell ref="A96:C96"/>
    <mergeCell ref="E96:G96"/>
    <mergeCell ref="A88:H88"/>
    <mergeCell ref="A89:H89"/>
    <mergeCell ref="H1:H2"/>
    <mergeCell ref="A84:H84"/>
    <mergeCell ref="A85:H85"/>
    <mergeCell ref="A86:H86"/>
    <mergeCell ref="A87:H87"/>
    <mergeCell ref="A82:D82"/>
    <mergeCell ref="C5:H5"/>
    <mergeCell ref="C6:H6"/>
    <mergeCell ref="C7:H7"/>
    <mergeCell ref="C8:H8"/>
    <mergeCell ref="C9:H9"/>
    <mergeCell ref="C10:H10"/>
    <mergeCell ref="A23:G23"/>
  </mergeCells>
  <hyperlinks>
    <hyperlink ref="C1" location="'DATA SHEET'!A1" display="HIGHLANDS PRIME, INC." xr:uid="{00000000-0004-0000-0700-000000000000}"/>
    <hyperlink ref="J3" location="'DATA SHEET'!A1" display="Return to Data Sheet" xr:uid="{00000000-0004-0000-0700-000001000000}"/>
  </hyperlinks>
  <printOptions horizontalCentered="1"/>
  <pageMargins left="0.7" right="0.7" top="0.75" bottom="0.5" header="0.3" footer="0.3"/>
  <pageSetup scale="80" orientation="portrait"/>
  <headerFooter>
    <oddFooter>&amp;L&amp;8A project of HIGHLANDS PRIME, INC. Horizon Terraces HLURB License To Sell No. 032272&amp;R&amp;8Page &amp;P of &amp;N</oddFooter>
  </headerFooter>
  <ignoredErrors>
    <ignoredError sqref="D19" formula="1"/>
    <ignoredError sqref="D15" unlockedFormula="1"/>
  </ignoredError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F7941D"/>
    <pageSetUpPr fitToPage="1"/>
  </sheetPr>
  <dimension ref="A1:L107"/>
  <sheetViews>
    <sheetView showGridLines="0" workbookViewId="0">
      <selection activeCell="D15" sqref="D15"/>
    </sheetView>
  </sheetViews>
  <sheetFormatPr baseColWidth="10" defaultColWidth="0" defaultRowHeight="12.75" customHeight="1" zeroHeight="1"/>
  <cols>
    <col min="1" max="1" width="12.5" style="13" customWidth="1"/>
    <col min="2" max="2" width="11.33203125" style="13" customWidth="1"/>
    <col min="3" max="3" width="24.1640625" style="13" customWidth="1"/>
    <col min="4" max="4" width="13.5" style="35" bestFit="1" customWidth="1"/>
    <col min="5" max="5" width="13.5" style="13" bestFit="1" customWidth="1"/>
    <col min="6" max="6" width="13.6640625" style="13" bestFit="1" customWidth="1"/>
    <col min="7" max="7" width="13.5" style="36" bestFit="1" customWidth="1"/>
    <col min="8" max="8" width="16.5" style="13" bestFit="1" customWidth="1"/>
    <col min="9" max="12" width="9.1640625" style="13" customWidth="1"/>
    <col min="13" max="16384" width="9.1640625" style="13" hidden="1"/>
  </cols>
  <sheetData>
    <row r="1" spans="1:10" ht="12.75" customHeight="1">
      <c r="C1" s="34" t="s">
        <v>33</v>
      </c>
      <c r="H1" s="163" t="s">
        <v>50</v>
      </c>
    </row>
    <row r="2" spans="1:10" ht="12.75" customHeight="1">
      <c r="C2" s="36" t="s">
        <v>182</v>
      </c>
      <c r="H2" s="163"/>
    </row>
    <row r="3" spans="1:10" ht="14">
      <c r="C3" s="36" t="s">
        <v>34</v>
      </c>
      <c r="J3" s="69" t="s">
        <v>111</v>
      </c>
    </row>
    <row r="4" spans="1:10" ht="14"/>
    <row r="5" spans="1:10" ht="14">
      <c r="A5" s="37" t="s">
        <v>0</v>
      </c>
      <c r="B5" s="102"/>
      <c r="C5" s="167" t="str">
        <f>'DATA SHEET'!C9</f>
        <v xml:space="preserve"> </v>
      </c>
      <c r="D5" s="167"/>
      <c r="E5" s="167"/>
      <c r="F5" s="167"/>
      <c r="G5" s="167"/>
      <c r="H5" s="168"/>
    </row>
    <row r="6" spans="1:10" ht="14">
      <c r="A6" s="39" t="s">
        <v>30</v>
      </c>
      <c r="B6" s="40"/>
      <c r="C6" s="169" t="str">
        <f>'DATA SHEET'!C10</f>
        <v>2A</v>
      </c>
      <c r="D6" s="169"/>
      <c r="E6" s="169"/>
      <c r="F6" s="169"/>
      <c r="G6" s="169"/>
      <c r="H6" s="170"/>
    </row>
    <row r="7" spans="1:10" ht="14">
      <c r="A7" s="39" t="s">
        <v>35</v>
      </c>
      <c r="B7" s="40"/>
      <c r="C7" s="171">
        <f>'DATA SHEET'!C12</f>
        <v>49.15</v>
      </c>
      <c r="D7" s="171"/>
      <c r="E7" s="171"/>
      <c r="F7" s="171"/>
      <c r="G7" s="171"/>
      <c r="H7" s="172"/>
    </row>
    <row r="8" spans="1:10" ht="14">
      <c r="A8" s="39" t="s">
        <v>145</v>
      </c>
      <c r="B8" s="40"/>
      <c r="C8" s="173" t="str">
        <f>'DATA SHEET'!C11</f>
        <v>1-Bedroom</v>
      </c>
      <c r="D8" s="173"/>
      <c r="E8" s="173"/>
      <c r="F8" s="173"/>
      <c r="G8" s="173"/>
      <c r="H8" s="174"/>
    </row>
    <row r="9" spans="1:10" ht="14">
      <c r="A9" s="41" t="s">
        <v>167</v>
      </c>
      <c r="B9" s="40"/>
      <c r="C9" s="175">
        <f>'DATA SHEET'!C13</f>
        <v>8473400</v>
      </c>
      <c r="D9" s="175"/>
      <c r="E9" s="175"/>
      <c r="F9" s="175"/>
      <c r="G9" s="175"/>
      <c r="H9" s="176"/>
    </row>
    <row r="10" spans="1:10" ht="14">
      <c r="A10" s="42" t="s">
        <v>31</v>
      </c>
      <c r="B10" s="43"/>
      <c r="C10" s="177" t="str">
        <f>'DATA SHEET'!B23</f>
        <v>5% in 12 mos, 6% in 12 mos, 7% in 12 mos, 8% in 12 mos, 9% in 12 mos, Lumpsum - 60th month</v>
      </c>
      <c r="D10" s="177"/>
      <c r="E10" s="177"/>
      <c r="F10" s="177"/>
      <c r="G10" s="177"/>
      <c r="H10" s="178"/>
    </row>
    <row r="11" spans="1:10" ht="14"/>
    <row r="12" spans="1:10" ht="14">
      <c r="A12" s="36" t="s">
        <v>46</v>
      </c>
      <c r="B12" s="36"/>
    </row>
    <row r="13" spans="1:10" ht="14">
      <c r="A13" s="14" t="s">
        <v>170</v>
      </c>
      <c r="D13" s="44">
        <f>(C9-650000)</f>
        <v>7823400</v>
      </c>
      <c r="E13" s="45" t="str">
        <f>LEFT(C8,9)</f>
        <v>1-Bedroom</v>
      </c>
    </row>
    <row r="14" spans="1:10" ht="14">
      <c r="A14" s="46" t="s">
        <v>191</v>
      </c>
      <c r="B14" s="47"/>
      <c r="C14" s="101">
        <v>0.01</v>
      </c>
      <c r="D14" s="48">
        <f>IF(C14&lt;=1%,D13*C14,"BEYOND MAX")</f>
        <v>78234</v>
      </c>
      <c r="E14" s="35"/>
    </row>
    <row r="15" spans="1:10" ht="14">
      <c r="A15" s="46" t="s">
        <v>192</v>
      </c>
      <c r="B15" s="47"/>
      <c r="C15" s="101"/>
      <c r="D15" s="143">
        <f>VLOOKUP('DATA SHEET'!C10,'WESTCHASE PL'!$D$11:$H$33,5,0)</f>
        <v>230000</v>
      </c>
      <c r="E15" s="35"/>
    </row>
    <row r="16" spans="1:10" ht="14">
      <c r="A16" s="14" t="s">
        <v>171</v>
      </c>
      <c r="B16" s="14"/>
      <c r="C16" s="14"/>
      <c r="D16" s="49">
        <f>D13-SUM(D14:D15)</f>
        <v>7515166</v>
      </c>
      <c r="E16" s="50"/>
    </row>
    <row r="17" spans="1:8" ht="14">
      <c r="A17" s="47" t="s">
        <v>109</v>
      </c>
      <c r="B17" s="47"/>
      <c r="D17" s="51">
        <v>650000</v>
      </c>
      <c r="E17" s="50"/>
    </row>
    <row r="18" spans="1:8" ht="14">
      <c r="A18" s="52" t="s">
        <v>172</v>
      </c>
      <c r="B18" s="15"/>
      <c r="C18" s="15"/>
      <c r="D18" s="53">
        <f>+SUM(D16:D17)</f>
        <v>8165166</v>
      </c>
      <c r="E18" s="50"/>
    </row>
    <row r="19" spans="1:8" ht="14">
      <c r="A19" s="54" t="s">
        <v>154</v>
      </c>
      <c r="B19" s="54"/>
      <c r="C19" s="16">
        <v>0.05</v>
      </c>
      <c r="D19" s="55">
        <f>(D16/1.12)*C19</f>
        <v>335498.4821428571</v>
      </c>
      <c r="E19" s="50"/>
    </row>
    <row r="20" spans="1:8" ht="15" thickBot="1">
      <c r="A20" s="15" t="s">
        <v>47</v>
      </c>
      <c r="B20" s="15"/>
      <c r="C20" s="15"/>
      <c r="D20" s="56">
        <f>+SUM(D18:D19)</f>
        <v>8500664.4821428563</v>
      </c>
      <c r="E20" s="35"/>
    </row>
    <row r="21" spans="1:8" ht="15" thickTop="1"/>
    <row r="22" spans="1:8" ht="14">
      <c r="A22" s="57" t="s">
        <v>32</v>
      </c>
      <c r="B22" s="57" t="s">
        <v>155</v>
      </c>
      <c r="C22" s="57" t="s">
        <v>2</v>
      </c>
      <c r="D22" s="57" t="s">
        <v>156</v>
      </c>
      <c r="E22" s="57" t="s">
        <v>173</v>
      </c>
      <c r="F22" s="57" t="s">
        <v>158</v>
      </c>
      <c r="G22" s="59" t="s">
        <v>159</v>
      </c>
      <c r="H22" s="57" t="s">
        <v>160</v>
      </c>
    </row>
    <row r="23" spans="1:8" ht="14">
      <c r="A23" s="165" t="s">
        <v>162</v>
      </c>
      <c r="B23" s="165"/>
      <c r="C23" s="165"/>
      <c r="D23" s="165"/>
      <c r="E23" s="165"/>
      <c r="F23" s="165"/>
      <c r="G23" s="165"/>
      <c r="H23" s="60">
        <f>+D20</f>
        <v>8500664.4821428563</v>
      </c>
    </row>
    <row r="24" spans="1:8" ht="13.5" customHeight="1">
      <c r="A24" s="61">
        <v>0</v>
      </c>
      <c r="B24" s="61"/>
      <c r="C24" s="61" t="s">
        <v>36</v>
      </c>
      <c r="D24" s="62">
        <f ca="1">'DATA SHEET'!C8</f>
        <v>43973</v>
      </c>
      <c r="E24" s="63">
        <f>IF(E13="1-Bedroom",50000,100000)</f>
        <v>50000</v>
      </c>
      <c r="F24" s="63"/>
      <c r="G24" s="64">
        <f>+SUM(E24:F24)</f>
        <v>50000</v>
      </c>
      <c r="H24" s="65">
        <f>D20-E24</f>
        <v>8450664.4821428563</v>
      </c>
    </row>
    <row r="25" spans="1:8" ht="13.5" customHeight="1">
      <c r="A25" s="61"/>
      <c r="B25" s="66">
        <v>0.05</v>
      </c>
      <c r="C25" s="61" t="s">
        <v>189</v>
      </c>
      <c r="D25" s="62"/>
      <c r="E25" s="63"/>
      <c r="F25" s="63"/>
      <c r="G25" s="64"/>
      <c r="H25" s="65"/>
    </row>
    <row r="26" spans="1:8" ht="14">
      <c r="A26" s="61">
        <f>+A24+1</f>
        <v>1</v>
      </c>
      <c r="B26" s="61"/>
      <c r="C26" s="61" t="s">
        <v>3</v>
      </c>
      <c r="D26" s="62">
        <f ca="1">EDATE(D24,1)</f>
        <v>44004</v>
      </c>
      <c r="E26" s="63">
        <f>(($D$18*$B$25)-$E$24)/12</f>
        <v>29854.858333333337</v>
      </c>
      <c r="F26" s="63">
        <f>(($D$19*5%))/12</f>
        <v>1397.9103422619046</v>
      </c>
      <c r="G26" s="64">
        <f t="shared" ref="G26:G33" si="0">+SUM(E26:F26)</f>
        <v>31252.768675595242</v>
      </c>
      <c r="H26" s="65">
        <f>H24-G26</f>
        <v>8419411.7134672608</v>
      </c>
    </row>
    <row r="27" spans="1:8" ht="14">
      <c r="A27" s="61">
        <f t="shared" ref="A27:A90" si="1">+A26+1</f>
        <v>2</v>
      </c>
      <c r="B27" s="61"/>
      <c r="C27" s="61" t="s">
        <v>4</v>
      </c>
      <c r="D27" s="62">
        <f t="shared" ref="D27:D90" ca="1" si="2">EDATE(D26,1)</f>
        <v>44034</v>
      </c>
      <c r="E27" s="63">
        <f t="shared" ref="E27:E37" si="3">(($D$18*$B$25)-$E$24)/12</f>
        <v>29854.858333333337</v>
      </c>
      <c r="F27" s="63">
        <f t="shared" ref="F27:F37" si="4">(($D$19*5%))/12</f>
        <v>1397.9103422619046</v>
      </c>
      <c r="G27" s="64">
        <f t="shared" si="0"/>
        <v>31252.768675595242</v>
      </c>
      <c r="H27" s="65">
        <f t="shared" ref="H27:H31" si="5">H26-G27</f>
        <v>8388158.9447916653</v>
      </c>
    </row>
    <row r="28" spans="1:8" ht="14">
      <c r="A28" s="61">
        <f t="shared" si="1"/>
        <v>3</v>
      </c>
      <c r="B28" s="61"/>
      <c r="C28" s="61" t="s">
        <v>5</v>
      </c>
      <c r="D28" s="62">
        <f t="shared" ca="1" si="2"/>
        <v>44065</v>
      </c>
      <c r="E28" s="63">
        <f t="shared" si="3"/>
        <v>29854.858333333337</v>
      </c>
      <c r="F28" s="63">
        <f t="shared" si="4"/>
        <v>1397.9103422619046</v>
      </c>
      <c r="G28" s="64">
        <f t="shared" si="0"/>
        <v>31252.768675595242</v>
      </c>
      <c r="H28" s="65">
        <f t="shared" si="5"/>
        <v>8356906.1761160698</v>
      </c>
    </row>
    <row r="29" spans="1:8" ht="14">
      <c r="A29" s="61">
        <f t="shared" si="1"/>
        <v>4</v>
      </c>
      <c r="B29" s="61"/>
      <c r="C29" s="61" t="s">
        <v>6</v>
      </c>
      <c r="D29" s="62">
        <f t="shared" ca="1" si="2"/>
        <v>44096</v>
      </c>
      <c r="E29" s="63">
        <f t="shared" si="3"/>
        <v>29854.858333333337</v>
      </c>
      <c r="F29" s="63">
        <f t="shared" si="4"/>
        <v>1397.9103422619046</v>
      </c>
      <c r="G29" s="64">
        <f t="shared" si="0"/>
        <v>31252.768675595242</v>
      </c>
      <c r="H29" s="65">
        <f t="shared" si="5"/>
        <v>8325653.4074404743</v>
      </c>
    </row>
    <row r="30" spans="1:8" ht="14">
      <c r="A30" s="61">
        <f t="shared" si="1"/>
        <v>5</v>
      </c>
      <c r="B30" s="61"/>
      <c r="C30" s="61" t="s">
        <v>7</v>
      </c>
      <c r="D30" s="62">
        <f t="shared" ca="1" si="2"/>
        <v>44126</v>
      </c>
      <c r="E30" s="63">
        <f t="shared" si="3"/>
        <v>29854.858333333337</v>
      </c>
      <c r="F30" s="63">
        <f t="shared" si="4"/>
        <v>1397.9103422619046</v>
      </c>
      <c r="G30" s="64">
        <f t="shared" si="0"/>
        <v>31252.768675595242</v>
      </c>
      <c r="H30" s="65">
        <f t="shared" si="5"/>
        <v>8294400.6387648787</v>
      </c>
    </row>
    <row r="31" spans="1:8" ht="14">
      <c r="A31" s="61">
        <f t="shared" si="1"/>
        <v>6</v>
      </c>
      <c r="B31" s="61"/>
      <c r="C31" s="61" t="s">
        <v>8</v>
      </c>
      <c r="D31" s="62">
        <f t="shared" ca="1" si="2"/>
        <v>44157</v>
      </c>
      <c r="E31" s="63">
        <f t="shared" si="3"/>
        <v>29854.858333333337</v>
      </c>
      <c r="F31" s="63">
        <f t="shared" si="4"/>
        <v>1397.9103422619046</v>
      </c>
      <c r="G31" s="64">
        <f t="shared" si="0"/>
        <v>31252.768675595242</v>
      </c>
      <c r="H31" s="65">
        <f t="shared" si="5"/>
        <v>8263147.8700892832</v>
      </c>
    </row>
    <row r="32" spans="1:8" ht="14">
      <c r="A32" s="61">
        <f t="shared" si="1"/>
        <v>7</v>
      </c>
      <c r="B32" s="66"/>
      <c r="C32" s="61" t="s">
        <v>9</v>
      </c>
      <c r="D32" s="62">
        <f t="shared" ca="1" si="2"/>
        <v>44187</v>
      </c>
      <c r="E32" s="63">
        <f t="shared" si="3"/>
        <v>29854.858333333337</v>
      </c>
      <c r="F32" s="63">
        <f t="shared" si="4"/>
        <v>1397.9103422619046</v>
      </c>
      <c r="G32" s="64">
        <f t="shared" ref="G32" si="6">+SUM(E32:F32)</f>
        <v>31252.768675595242</v>
      </c>
      <c r="H32" s="65">
        <f t="shared" ref="H32:H90" si="7">H31-G32</f>
        <v>8231895.1014136877</v>
      </c>
    </row>
    <row r="33" spans="1:8" ht="14">
      <c r="A33" s="61">
        <f t="shared" si="1"/>
        <v>8</v>
      </c>
      <c r="B33" s="61"/>
      <c r="C33" s="61" t="s">
        <v>10</v>
      </c>
      <c r="D33" s="62">
        <f t="shared" ca="1" si="2"/>
        <v>44218</v>
      </c>
      <c r="E33" s="63">
        <f t="shared" si="3"/>
        <v>29854.858333333337</v>
      </c>
      <c r="F33" s="63">
        <f t="shared" si="4"/>
        <v>1397.9103422619046</v>
      </c>
      <c r="G33" s="64">
        <f t="shared" si="0"/>
        <v>31252.768675595242</v>
      </c>
      <c r="H33" s="65">
        <f t="shared" si="7"/>
        <v>8200642.3327380922</v>
      </c>
    </row>
    <row r="34" spans="1:8" ht="14">
      <c r="A34" s="61">
        <f t="shared" si="1"/>
        <v>9</v>
      </c>
      <c r="B34" s="61"/>
      <c r="C34" s="61" t="s">
        <v>11</v>
      </c>
      <c r="D34" s="62">
        <f t="shared" ca="1" si="2"/>
        <v>44249</v>
      </c>
      <c r="E34" s="63">
        <f t="shared" si="3"/>
        <v>29854.858333333337</v>
      </c>
      <c r="F34" s="63">
        <f t="shared" si="4"/>
        <v>1397.9103422619046</v>
      </c>
      <c r="G34" s="64">
        <f t="shared" ref="G34:G82" si="8">+SUM(E34:F34)</f>
        <v>31252.768675595242</v>
      </c>
      <c r="H34" s="65">
        <f t="shared" si="7"/>
        <v>8169389.5640624966</v>
      </c>
    </row>
    <row r="35" spans="1:8" ht="14">
      <c r="A35" s="61">
        <f t="shared" si="1"/>
        <v>10</v>
      </c>
      <c r="B35" s="61"/>
      <c r="C35" s="61" t="s">
        <v>12</v>
      </c>
      <c r="D35" s="62">
        <f t="shared" ca="1" si="2"/>
        <v>44277</v>
      </c>
      <c r="E35" s="63">
        <f t="shared" si="3"/>
        <v>29854.858333333337</v>
      </c>
      <c r="F35" s="63">
        <f t="shared" si="4"/>
        <v>1397.9103422619046</v>
      </c>
      <c r="G35" s="64">
        <f t="shared" si="8"/>
        <v>31252.768675595242</v>
      </c>
      <c r="H35" s="65">
        <f t="shared" si="7"/>
        <v>8138136.7953869011</v>
      </c>
    </row>
    <row r="36" spans="1:8" ht="14">
      <c r="A36" s="61">
        <f t="shared" si="1"/>
        <v>11</v>
      </c>
      <c r="B36" s="61"/>
      <c r="C36" s="61" t="s">
        <v>13</v>
      </c>
      <c r="D36" s="62">
        <f t="shared" ca="1" si="2"/>
        <v>44308</v>
      </c>
      <c r="E36" s="63">
        <f t="shared" si="3"/>
        <v>29854.858333333337</v>
      </c>
      <c r="F36" s="63">
        <f t="shared" si="4"/>
        <v>1397.9103422619046</v>
      </c>
      <c r="G36" s="64">
        <f t="shared" si="8"/>
        <v>31252.768675595242</v>
      </c>
      <c r="H36" s="65">
        <f t="shared" si="7"/>
        <v>8106884.0267113056</v>
      </c>
    </row>
    <row r="37" spans="1:8" ht="14">
      <c r="A37" s="61">
        <f t="shared" si="1"/>
        <v>12</v>
      </c>
      <c r="B37" s="61"/>
      <c r="C37" s="61" t="s">
        <v>14</v>
      </c>
      <c r="D37" s="62">
        <f t="shared" ca="1" si="2"/>
        <v>44338</v>
      </c>
      <c r="E37" s="63">
        <f t="shared" si="3"/>
        <v>29854.858333333337</v>
      </c>
      <c r="F37" s="63">
        <f t="shared" si="4"/>
        <v>1397.9103422619046</v>
      </c>
      <c r="G37" s="64">
        <f t="shared" si="8"/>
        <v>31252.768675595242</v>
      </c>
      <c r="H37" s="65">
        <f t="shared" si="7"/>
        <v>8075631.2580357101</v>
      </c>
    </row>
    <row r="38" spans="1:8" ht="14">
      <c r="A38" s="61"/>
      <c r="B38" s="66">
        <v>0.06</v>
      </c>
      <c r="C38" s="61" t="s">
        <v>189</v>
      </c>
      <c r="D38" s="62"/>
      <c r="E38" s="63"/>
      <c r="F38" s="63"/>
      <c r="G38" s="64"/>
      <c r="H38" s="65"/>
    </row>
    <row r="39" spans="1:8" ht="14">
      <c r="A39" s="61">
        <f>+A37+1</f>
        <v>13</v>
      </c>
      <c r="B39" s="61"/>
      <c r="C39" s="61" t="s">
        <v>18</v>
      </c>
      <c r="D39" s="62">
        <f ca="1">EDATE(D37,1)</f>
        <v>44369</v>
      </c>
      <c r="E39" s="63">
        <f>(D$18*B$38)/12</f>
        <v>40825.829999999994</v>
      </c>
      <c r="F39" s="63">
        <f>($B$38*$D$19)/12</f>
        <v>1677.4924107142854</v>
      </c>
      <c r="G39" s="64">
        <f t="shared" si="8"/>
        <v>42503.322410714281</v>
      </c>
      <c r="H39" s="65">
        <f>H37-G39</f>
        <v>8033127.9356249962</v>
      </c>
    </row>
    <row r="40" spans="1:8" ht="14">
      <c r="A40" s="61">
        <f t="shared" si="1"/>
        <v>14</v>
      </c>
      <c r="B40" s="61"/>
      <c r="C40" s="61" t="s">
        <v>19</v>
      </c>
      <c r="D40" s="62">
        <f t="shared" ca="1" si="2"/>
        <v>44399</v>
      </c>
      <c r="E40" s="63">
        <f t="shared" ref="E40:E50" si="9">(D$18*B$38)/12</f>
        <v>40825.829999999994</v>
      </c>
      <c r="F40" s="63">
        <f t="shared" ref="F40:F50" si="10">($B$38*$D$19)/12</f>
        <v>1677.4924107142854</v>
      </c>
      <c r="G40" s="64">
        <f t="shared" si="8"/>
        <v>42503.322410714281</v>
      </c>
      <c r="H40" s="65">
        <f t="shared" si="7"/>
        <v>7990624.6132142823</v>
      </c>
    </row>
    <row r="41" spans="1:8" ht="14">
      <c r="A41" s="61">
        <f t="shared" si="1"/>
        <v>15</v>
      </c>
      <c r="B41" s="61"/>
      <c r="C41" s="61" t="s">
        <v>20</v>
      </c>
      <c r="D41" s="62">
        <f t="shared" ca="1" si="2"/>
        <v>44430</v>
      </c>
      <c r="E41" s="63">
        <f t="shared" si="9"/>
        <v>40825.829999999994</v>
      </c>
      <c r="F41" s="63">
        <f t="shared" si="10"/>
        <v>1677.4924107142854</v>
      </c>
      <c r="G41" s="64">
        <f t="shared" si="8"/>
        <v>42503.322410714281</v>
      </c>
      <c r="H41" s="65">
        <f t="shared" si="7"/>
        <v>7948121.2908035684</v>
      </c>
    </row>
    <row r="42" spans="1:8" ht="14">
      <c r="A42" s="61">
        <f t="shared" si="1"/>
        <v>16</v>
      </c>
      <c r="B42" s="61"/>
      <c r="C42" s="61" t="s">
        <v>21</v>
      </c>
      <c r="D42" s="62">
        <f t="shared" ca="1" si="2"/>
        <v>44461</v>
      </c>
      <c r="E42" s="63">
        <f t="shared" si="9"/>
        <v>40825.829999999994</v>
      </c>
      <c r="F42" s="63">
        <f t="shared" si="10"/>
        <v>1677.4924107142854</v>
      </c>
      <c r="G42" s="64">
        <f t="shared" si="8"/>
        <v>42503.322410714281</v>
      </c>
      <c r="H42" s="65">
        <f t="shared" si="7"/>
        <v>7905617.9683928546</v>
      </c>
    </row>
    <row r="43" spans="1:8" ht="14">
      <c r="A43" s="61">
        <f t="shared" si="1"/>
        <v>17</v>
      </c>
      <c r="B43" s="61"/>
      <c r="C43" s="61" t="s">
        <v>22</v>
      </c>
      <c r="D43" s="62">
        <f t="shared" ca="1" si="2"/>
        <v>44491</v>
      </c>
      <c r="E43" s="63">
        <f t="shared" si="9"/>
        <v>40825.829999999994</v>
      </c>
      <c r="F43" s="63">
        <f t="shared" si="10"/>
        <v>1677.4924107142854</v>
      </c>
      <c r="G43" s="64">
        <f t="shared" si="8"/>
        <v>42503.322410714281</v>
      </c>
      <c r="H43" s="65">
        <f t="shared" si="7"/>
        <v>7863114.6459821407</v>
      </c>
    </row>
    <row r="44" spans="1:8" ht="14">
      <c r="A44" s="61">
        <f t="shared" si="1"/>
        <v>18</v>
      </c>
      <c r="B44" s="61"/>
      <c r="C44" s="61" t="s">
        <v>23</v>
      </c>
      <c r="D44" s="62">
        <f t="shared" ca="1" si="2"/>
        <v>44522</v>
      </c>
      <c r="E44" s="63">
        <f t="shared" si="9"/>
        <v>40825.829999999994</v>
      </c>
      <c r="F44" s="63">
        <f t="shared" si="10"/>
        <v>1677.4924107142854</v>
      </c>
      <c r="G44" s="64">
        <f t="shared" si="8"/>
        <v>42503.322410714281</v>
      </c>
      <c r="H44" s="65">
        <f t="shared" si="7"/>
        <v>7820611.3235714268</v>
      </c>
    </row>
    <row r="45" spans="1:8" ht="14">
      <c r="A45" s="61">
        <f t="shared" si="1"/>
        <v>19</v>
      </c>
      <c r="B45" s="61"/>
      <c r="C45" s="61" t="s">
        <v>24</v>
      </c>
      <c r="D45" s="62">
        <f t="shared" ca="1" si="2"/>
        <v>44552</v>
      </c>
      <c r="E45" s="63">
        <f t="shared" si="9"/>
        <v>40825.829999999994</v>
      </c>
      <c r="F45" s="63">
        <f t="shared" si="10"/>
        <v>1677.4924107142854</v>
      </c>
      <c r="G45" s="64">
        <f t="shared" si="8"/>
        <v>42503.322410714281</v>
      </c>
      <c r="H45" s="65">
        <f t="shared" si="7"/>
        <v>7778108.0011607129</v>
      </c>
    </row>
    <row r="46" spans="1:8" ht="14">
      <c r="A46" s="61">
        <f t="shared" si="1"/>
        <v>20</v>
      </c>
      <c r="B46" s="61"/>
      <c r="C46" s="61" t="s">
        <v>25</v>
      </c>
      <c r="D46" s="62">
        <f t="shared" ca="1" si="2"/>
        <v>44583</v>
      </c>
      <c r="E46" s="63">
        <f t="shared" si="9"/>
        <v>40825.829999999994</v>
      </c>
      <c r="F46" s="63">
        <f t="shared" si="10"/>
        <v>1677.4924107142854</v>
      </c>
      <c r="G46" s="64">
        <f t="shared" si="8"/>
        <v>42503.322410714281</v>
      </c>
      <c r="H46" s="65">
        <f t="shared" si="7"/>
        <v>7735604.678749999</v>
      </c>
    </row>
    <row r="47" spans="1:8" ht="14">
      <c r="A47" s="61">
        <f t="shared" si="1"/>
        <v>21</v>
      </c>
      <c r="B47" s="61"/>
      <c r="C47" s="61" t="s">
        <v>26</v>
      </c>
      <c r="D47" s="62">
        <f t="shared" ca="1" si="2"/>
        <v>44614</v>
      </c>
      <c r="E47" s="63">
        <f t="shared" si="9"/>
        <v>40825.829999999994</v>
      </c>
      <c r="F47" s="63">
        <f t="shared" si="10"/>
        <v>1677.4924107142854</v>
      </c>
      <c r="G47" s="64">
        <f t="shared" si="8"/>
        <v>42503.322410714281</v>
      </c>
      <c r="H47" s="65">
        <f t="shared" si="7"/>
        <v>7693101.3563392852</v>
      </c>
    </row>
    <row r="48" spans="1:8" ht="14">
      <c r="A48" s="61">
        <f t="shared" si="1"/>
        <v>22</v>
      </c>
      <c r="B48" s="61"/>
      <c r="C48" s="61" t="s">
        <v>27</v>
      </c>
      <c r="D48" s="62">
        <f t="shared" ca="1" si="2"/>
        <v>44642</v>
      </c>
      <c r="E48" s="63">
        <f t="shared" si="9"/>
        <v>40825.829999999994</v>
      </c>
      <c r="F48" s="63">
        <f t="shared" si="10"/>
        <v>1677.4924107142854</v>
      </c>
      <c r="G48" s="64">
        <f t="shared" si="8"/>
        <v>42503.322410714281</v>
      </c>
      <c r="H48" s="65">
        <f t="shared" si="7"/>
        <v>7650598.0339285713</v>
      </c>
    </row>
    <row r="49" spans="1:8" ht="14">
      <c r="A49" s="61">
        <f t="shared" si="1"/>
        <v>23</v>
      </c>
      <c r="B49" s="61"/>
      <c r="C49" s="61" t="s">
        <v>28</v>
      </c>
      <c r="D49" s="62">
        <f t="shared" ca="1" si="2"/>
        <v>44673</v>
      </c>
      <c r="E49" s="63">
        <f t="shared" si="9"/>
        <v>40825.829999999994</v>
      </c>
      <c r="F49" s="63">
        <f t="shared" si="10"/>
        <v>1677.4924107142854</v>
      </c>
      <c r="G49" s="64">
        <f t="shared" si="8"/>
        <v>42503.322410714281</v>
      </c>
      <c r="H49" s="65">
        <f t="shared" si="7"/>
        <v>7608094.7115178574</v>
      </c>
    </row>
    <row r="50" spans="1:8" ht="14">
      <c r="A50" s="61">
        <f t="shared" si="1"/>
        <v>24</v>
      </c>
      <c r="B50" s="61"/>
      <c r="C50" s="61" t="s">
        <v>29</v>
      </c>
      <c r="D50" s="62">
        <f t="shared" ca="1" si="2"/>
        <v>44703</v>
      </c>
      <c r="E50" s="63">
        <f t="shared" si="9"/>
        <v>40825.829999999994</v>
      </c>
      <c r="F50" s="63">
        <f t="shared" si="10"/>
        <v>1677.4924107142854</v>
      </c>
      <c r="G50" s="64">
        <f t="shared" si="8"/>
        <v>42503.322410714281</v>
      </c>
      <c r="H50" s="65">
        <f t="shared" si="7"/>
        <v>7565591.3891071435</v>
      </c>
    </row>
    <row r="51" spans="1:8" ht="14">
      <c r="A51" s="61"/>
      <c r="B51" s="66">
        <v>7.0000000000000007E-2</v>
      </c>
      <c r="C51" s="61" t="s">
        <v>189</v>
      </c>
      <c r="D51" s="62"/>
      <c r="E51" s="63"/>
      <c r="F51" s="63"/>
      <c r="G51" s="64"/>
      <c r="H51" s="65"/>
    </row>
    <row r="52" spans="1:8" ht="14">
      <c r="A52" s="61">
        <f>+A50+1</f>
        <v>25</v>
      </c>
      <c r="B52" s="61"/>
      <c r="C52" s="61" t="s">
        <v>40</v>
      </c>
      <c r="D52" s="62">
        <f ca="1">EDATE(D50,1)</f>
        <v>44734</v>
      </c>
      <c r="E52" s="63">
        <f>(D$18*B$51)/12</f>
        <v>47630.135000000009</v>
      </c>
      <c r="F52" s="63">
        <f>($B$51*$D$19)/12</f>
        <v>1957.0744791666666</v>
      </c>
      <c r="G52" s="64">
        <f t="shared" si="8"/>
        <v>49587.209479166675</v>
      </c>
      <c r="H52" s="65">
        <f>H50-G52</f>
        <v>7516004.1796279764</v>
      </c>
    </row>
    <row r="53" spans="1:8" ht="14">
      <c r="A53" s="61">
        <f t="shared" si="1"/>
        <v>26</v>
      </c>
      <c r="B53" s="61"/>
      <c r="C53" s="61" t="s">
        <v>41</v>
      </c>
      <c r="D53" s="62">
        <f t="shared" ca="1" si="2"/>
        <v>44764</v>
      </c>
      <c r="E53" s="63">
        <f t="shared" ref="E53:E63" si="11">(D$18*B$51)/12</f>
        <v>47630.135000000009</v>
      </c>
      <c r="F53" s="63">
        <f t="shared" ref="F53:F63" si="12">($B$51*$D$19)/12</f>
        <v>1957.0744791666666</v>
      </c>
      <c r="G53" s="64">
        <f t="shared" si="8"/>
        <v>49587.209479166675</v>
      </c>
      <c r="H53" s="65">
        <f t="shared" si="7"/>
        <v>7466416.9701488093</v>
      </c>
    </row>
    <row r="54" spans="1:8" ht="14">
      <c r="A54" s="61">
        <f t="shared" si="1"/>
        <v>27</v>
      </c>
      <c r="B54" s="61"/>
      <c r="C54" s="61" t="s">
        <v>42</v>
      </c>
      <c r="D54" s="62">
        <f t="shared" ca="1" si="2"/>
        <v>44795</v>
      </c>
      <c r="E54" s="63">
        <f t="shared" si="11"/>
        <v>47630.135000000009</v>
      </c>
      <c r="F54" s="63">
        <f t="shared" si="12"/>
        <v>1957.0744791666666</v>
      </c>
      <c r="G54" s="64">
        <f t="shared" si="8"/>
        <v>49587.209479166675</v>
      </c>
      <c r="H54" s="65">
        <f t="shared" si="7"/>
        <v>7416829.7606696421</v>
      </c>
    </row>
    <row r="55" spans="1:8" ht="14">
      <c r="A55" s="61">
        <f t="shared" si="1"/>
        <v>28</v>
      </c>
      <c r="B55" s="61"/>
      <c r="C55" s="61" t="s">
        <v>43</v>
      </c>
      <c r="D55" s="62">
        <f t="shared" ca="1" si="2"/>
        <v>44826</v>
      </c>
      <c r="E55" s="63">
        <f t="shared" si="11"/>
        <v>47630.135000000009</v>
      </c>
      <c r="F55" s="63">
        <f t="shared" si="12"/>
        <v>1957.0744791666666</v>
      </c>
      <c r="G55" s="64">
        <f t="shared" si="8"/>
        <v>49587.209479166675</v>
      </c>
      <c r="H55" s="65">
        <f t="shared" si="7"/>
        <v>7367242.551190475</v>
      </c>
    </row>
    <row r="56" spans="1:8" ht="14">
      <c r="A56" s="61">
        <f t="shared" si="1"/>
        <v>29</v>
      </c>
      <c r="B56" s="61"/>
      <c r="C56" s="61" t="s">
        <v>44</v>
      </c>
      <c r="D56" s="62">
        <f t="shared" ca="1" si="2"/>
        <v>44856</v>
      </c>
      <c r="E56" s="63">
        <f t="shared" si="11"/>
        <v>47630.135000000009</v>
      </c>
      <c r="F56" s="63">
        <f t="shared" si="12"/>
        <v>1957.0744791666666</v>
      </c>
      <c r="G56" s="64">
        <f t="shared" si="8"/>
        <v>49587.209479166675</v>
      </c>
      <c r="H56" s="65">
        <f t="shared" si="7"/>
        <v>7317655.3417113079</v>
      </c>
    </row>
    <row r="57" spans="1:8" ht="14">
      <c r="A57" s="61">
        <f t="shared" si="1"/>
        <v>30</v>
      </c>
      <c r="B57" s="61"/>
      <c r="C57" s="61" t="s">
        <v>45</v>
      </c>
      <c r="D57" s="62">
        <f t="shared" ca="1" si="2"/>
        <v>44887</v>
      </c>
      <c r="E57" s="63">
        <f t="shared" si="11"/>
        <v>47630.135000000009</v>
      </c>
      <c r="F57" s="63">
        <f t="shared" si="12"/>
        <v>1957.0744791666666</v>
      </c>
      <c r="G57" s="64">
        <f t="shared" si="8"/>
        <v>49587.209479166675</v>
      </c>
      <c r="H57" s="65">
        <f t="shared" si="7"/>
        <v>7268068.1322321407</v>
      </c>
    </row>
    <row r="58" spans="1:8" ht="14">
      <c r="A58" s="61">
        <f t="shared" si="1"/>
        <v>31</v>
      </c>
      <c r="B58" s="61"/>
      <c r="C58" s="61" t="s">
        <v>59</v>
      </c>
      <c r="D58" s="62">
        <f t="shared" ca="1" si="2"/>
        <v>44917</v>
      </c>
      <c r="E58" s="63">
        <f t="shared" si="11"/>
        <v>47630.135000000009</v>
      </c>
      <c r="F58" s="63">
        <f t="shared" si="12"/>
        <v>1957.0744791666666</v>
      </c>
      <c r="G58" s="64">
        <f t="shared" si="8"/>
        <v>49587.209479166675</v>
      </c>
      <c r="H58" s="65">
        <f t="shared" si="7"/>
        <v>7218480.9227529736</v>
      </c>
    </row>
    <row r="59" spans="1:8" ht="14">
      <c r="A59" s="61">
        <f t="shared" si="1"/>
        <v>32</v>
      </c>
      <c r="B59" s="61"/>
      <c r="C59" s="61" t="s">
        <v>60</v>
      </c>
      <c r="D59" s="62">
        <f t="shared" ca="1" si="2"/>
        <v>44948</v>
      </c>
      <c r="E59" s="63">
        <f t="shared" si="11"/>
        <v>47630.135000000009</v>
      </c>
      <c r="F59" s="63">
        <f t="shared" si="12"/>
        <v>1957.0744791666666</v>
      </c>
      <c r="G59" s="64">
        <f t="shared" si="8"/>
        <v>49587.209479166675</v>
      </c>
      <c r="H59" s="65">
        <f t="shared" si="7"/>
        <v>7168893.7132738065</v>
      </c>
    </row>
    <row r="60" spans="1:8" ht="14">
      <c r="A60" s="61">
        <f t="shared" si="1"/>
        <v>33</v>
      </c>
      <c r="B60" s="61"/>
      <c r="C60" s="61" t="s">
        <v>61</v>
      </c>
      <c r="D60" s="62">
        <f t="shared" ca="1" si="2"/>
        <v>44979</v>
      </c>
      <c r="E60" s="63">
        <f t="shared" si="11"/>
        <v>47630.135000000009</v>
      </c>
      <c r="F60" s="63">
        <f t="shared" si="12"/>
        <v>1957.0744791666666</v>
      </c>
      <c r="G60" s="64">
        <f t="shared" si="8"/>
        <v>49587.209479166675</v>
      </c>
      <c r="H60" s="65">
        <f t="shared" si="7"/>
        <v>7119306.5037946394</v>
      </c>
    </row>
    <row r="61" spans="1:8" ht="14">
      <c r="A61" s="61">
        <f t="shared" si="1"/>
        <v>34</v>
      </c>
      <c r="B61" s="61"/>
      <c r="C61" s="61" t="s">
        <v>62</v>
      </c>
      <c r="D61" s="62">
        <f t="shared" ca="1" si="2"/>
        <v>45007</v>
      </c>
      <c r="E61" s="63">
        <f t="shared" si="11"/>
        <v>47630.135000000009</v>
      </c>
      <c r="F61" s="63">
        <f t="shared" si="12"/>
        <v>1957.0744791666666</v>
      </c>
      <c r="G61" s="64">
        <f t="shared" si="8"/>
        <v>49587.209479166675</v>
      </c>
      <c r="H61" s="65">
        <f t="shared" si="7"/>
        <v>7069719.2943154722</v>
      </c>
    </row>
    <row r="62" spans="1:8" ht="14">
      <c r="A62" s="61">
        <f t="shared" si="1"/>
        <v>35</v>
      </c>
      <c r="B62" s="61"/>
      <c r="C62" s="61" t="s">
        <v>63</v>
      </c>
      <c r="D62" s="62">
        <f t="shared" ca="1" si="2"/>
        <v>45038</v>
      </c>
      <c r="E62" s="63">
        <f t="shared" si="11"/>
        <v>47630.135000000009</v>
      </c>
      <c r="F62" s="63">
        <f t="shared" si="12"/>
        <v>1957.0744791666666</v>
      </c>
      <c r="G62" s="64">
        <f t="shared" si="8"/>
        <v>49587.209479166675</v>
      </c>
      <c r="H62" s="65">
        <f t="shared" si="7"/>
        <v>7020132.0848363051</v>
      </c>
    </row>
    <row r="63" spans="1:8" ht="14">
      <c r="A63" s="61">
        <f t="shared" si="1"/>
        <v>36</v>
      </c>
      <c r="B63" s="61"/>
      <c r="C63" s="61" t="s">
        <v>64</v>
      </c>
      <c r="D63" s="62">
        <f t="shared" ca="1" si="2"/>
        <v>45068</v>
      </c>
      <c r="E63" s="63">
        <f t="shared" si="11"/>
        <v>47630.135000000009</v>
      </c>
      <c r="F63" s="63">
        <f t="shared" si="12"/>
        <v>1957.0744791666666</v>
      </c>
      <c r="G63" s="64">
        <f t="shared" si="8"/>
        <v>49587.209479166675</v>
      </c>
      <c r="H63" s="65">
        <f t="shared" si="7"/>
        <v>6970544.875357138</v>
      </c>
    </row>
    <row r="64" spans="1:8" ht="14">
      <c r="A64" s="61"/>
      <c r="B64" s="66">
        <v>0.08</v>
      </c>
      <c r="C64" s="61" t="s">
        <v>189</v>
      </c>
      <c r="D64" s="62"/>
      <c r="E64" s="63"/>
      <c r="F64" s="63"/>
      <c r="G64" s="64"/>
      <c r="H64" s="65"/>
    </row>
    <row r="65" spans="1:8" ht="14">
      <c r="A65" s="61">
        <f>+A63+1</f>
        <v>37</v>
      </c>
      <c r="B65" s="61"/>
      <c r="C65" s="61" t="s">
        <v>65</v>
      </c>
      <c r="D65" s="62">
        <f ca="1">EDATE(D63,1)</f>
        <v>45099</v>
      </c>
      <c r="E65" s="63">
        <f>(D$18*B$64)/12</f>
        <v>54434.44</v>
      </c>
      <c r="F65" s="63">
        <f>($B$64*$D$19)/12</f>
        <v>2236.6565476190476</v>
      </c>
      <c r="G65" s="64">
        <f t="shared" si="8"/>
        <v>56671.096547619047</v>
      </c>
      <c r="H65" s="65">
        <f>H63-G65</f>
        <v>6913873.7788095186</v>
      </c>
    </row>
    <row r="66" spans="1:8" ht="14">
      <c r="A66" s="61">
        <f t="shared" si="1"/>
        <v>38</v>
      </c>
      <c r="B66" s="61"/>
      <c r="C66" s="61" t="s">
        <v>66</v>
      </c>
      <c r="D66" s="62">
        <f t="shared" ca="1" si="2"/>
        <v>45129</v>
      </c>
      <c r="E66" s="63">
        <f t="shared" ref="E66:E76" si="13">(D$18*B$64)/12</f>
        <v>54434.44</v>
      </c>
      <c r="F66" s="63">
        <f t="shared" ref="F66:F76" si="14">($B$64*$D$19)/12</f>
        <v>2236.6565476190476</v>
      </c>
      <c r="G66" s="64">
        <f t="shared" si="8"/>
        <v>56671.096547619047</v>
      </c>
      <c r="H66" s="65">
        <f t="shared" si="7"/>
        <v>6857202.6822618991</v>
      </c>
    </row>
    <row r="67" spans="1:8" ht="14">
      <c r="A67" s="61">
        <f t="shared" si="1"/>
        <v>39</v>
      </c>
      <c r="B67" s="61"/>
      <c r="C67" s="61" t="s">
        <v>67</v>
      </c>
      <c r="D67" s="62">
        <f t="shared" ca="1" si="2"/>
        <v>45160</v>
      </c>
      <c r="E67" s="63">
        <f t="shared" si="13"/>
        <v>54434.44</v>
      </c>
      <c r="F67" s="63">
        <f t="shared" si="14"/>
        <v>2236.6565476190476</v>
      </c>
      <c r="G67" s="64">
        <f t="shared" si="8"/>
        <v>56671.096547619047</v>
      </c>
      <c r="H67" s="65">
        <f t="shared" si="7"/>
        <v>6800531.5857142797</v>
      </c>
    </row>
    <row r="68" spans="1:8" ht="14">
      <c r="A68" s="61">
        <f t="shared" si="1"/>
        <v>40</v>
      </c>
      <c r="B68" s="61"/>
      <c r="C68" s="61" t="s">
        <v>68</v>
      </c>
      <c r="D68" s="62">
        <f t="shared" ca="1" si="2"/>
        <v>45191</v>
      </c>
      <c r="E68" s="63">
        <f t="shared" si="13"/>
        <v>54434.44</v>
      </c>
      <c r="F68" s="63">
        <f t="shared" si="14"/>
        <v>2236.6565476190476</v>
      </c>
      <c r="G68" s="64">
        <f t="shared" si="8"/>
        <v>56671.096547619047</v>
      </c>
      <c r="H68" s="65">
        <f t="shared" si="7"/>
        <v>6743860.4891666602</v>
      </c>
    </row>
    <row r="69" spans="1:8" ht="14">
      <c r="A69" s="61">
        <f t="shared" si="1"/>
        <v>41</v>
      </c>
      <c r="B69" s="61"/>
      <c r="C69" s="61" t="s">
        <v>69</v>
      </c>
      <c r="D69" s="62">
        <f t="shared" ca="1" si="2"/>
        <v>45221</v>
      </c>
      <c r="E69" s="63">
        <f t="shared" si="13"/>
        <v>54434.44</v>
      </c>
      <c r="F69" s="63">
        <f t="shared" si="14"/>
        <v>2236.6565476190476</v>
      </c>
      <c r="G69" s="64">
        <f t="shared" si="8"/>
        <v>56671.096547619047</v>
      </c>
      <c r="H69" s="65">
        <f t="shared" si="7"/>
        <v>6687189.3926190408</v>
      </c>
    </row>
    <row r="70" spans="1:8" ht="14">
      <c r="A70" s="61">
        <f t="shared" si="1"/>
        <v>42</v>
      </c>
      <c r="B70" s="61"/>
      <c r="C70" s="61" t="s">
        <v>70</v>
      </c>
      <c r="D70" s="62">
        <f t="shared" ca="1" si="2"/>
        <v>45252</v>
      </c>
      <c r="E70" s="63">
        <f t="shared" si="13"/>
        <v>54434.44</v>
      </c>
      <c r="F70" s="63">
        <f t="shared" si="14"/>
        <v>2236.6565476190476</v>
      </c>
      <c r="G70" s="64">
        <f t="shared" si="8"/>
        <v>56671.096547619047</v>
      </c>
      <c r="H70" s="65">
        <f t="shared" si="7"/>
        <v>6630518.2960714214</v>
      </c>
    </row>
    <row r="71" spans="1:8" ht="14">
      <c r="A71" s="61">
        <f t="shared" si="1"/>
        <v>43</v>
      </c>
      <c r="B71" s="61"/>
      <c r="C71" s="61" t="s">
        <v>71</v>
      </c>
      <c r="D71" s="62">
        <f t="shared" ca="1" si="2"/>
        <v>45282</v>
      </c>
      <c r="E71" s="63">
        <f t="shared" si="13"/>
        <v>54434.44</v>
      </c>
      <c r="F71" s="63">
        <f t="shared" si="14"/>
        <v>2236.6565476190476</v>
      </c>
      <c r="G71" s="64">
        <f t="shared" si="8"/>
        <v>56671.096547619047</v>
      </c>
      <c r="H71" s="65">
        <f t="shared" si="7"/>
        <v>6573847.1995238019</v>
      </c>
    </row>
    <row r="72" spans="1:8" ht="14">
      <c r="A72" s="61">
        <f t="shared" si="1"/>
        <v>44</v>
      </c>
      <c r="B72" s="61"/>
      <c r="C72" s="61" t="s">
        <v>72</v>
      </c>
      <c r="D72" s="62">
        <f t="shared" ca="1" si="2"/>
        <v>45313</v>
      </c>
      <c r="E72" s="63">
        <f t="shared" si="13"/>
        <v>54434.44</v>
      </c>
      <c r="F72" s="63">
        <f t="shared" si="14"/>
        <v>2236.6565476190476</v>
      </c>
      <c r="G72" s="64">
        <f t="shared" si="8"/>
        <v>56671.096547619047</v>
      </c>
      <c r="H72" s="65">
        <f t="shared" si="7"/>
        <v>6517176.1029761825</v>
      </c>
    </row>
    <row r="73" spans="1:8" ht="14">
      <c r="A73" s="61">
        <f t="shared" si="1"/>
        <v>45</v>
      </c>
      <c r="B73" s="61"/>
      <c r="C73" s="61" t="s">
        <v>73</v>
      </c>
      <c r="D73" s="62">
        <f t="shared" ca="1" si="2"/>
        <v>45344</v>
      </c>
      <c r="E73" s="63">
        <f t="shared" si="13"/>
        <v>54434.44</v>
      </c>
      <c r="F73" s="63">
        <f t="shared" si="14"/>
        <v>2236.6565476190476</v>
      </c>
      <c r="G73" s="64">
        <f t="shared" si="8"/>
        <v>56671.096547619047</v>
      </c>
      <c r="H73" s="65">
        <f t="shared" si="7"/>
        <v>6460505.006428563</v>
      </c>
    </row>
    <row r="74" spans="1:8" ht="14">
      <c r="A74" s="61">
        <f t="shared" si="1"/>
        <v>46</v>
      </c>
      <c r="B74" s="61"/>
      <c r="C74" s="61" t="s">
        <v>74</v>
      </c>
      <c r="D74" s="62">
        <f t="shared" ca="1" si="2"/>
        <v>45373</v>
      </c>
      <c r="E74" s="63">
        <f t="shared" si="13"/>
        <v>54434.44</v>
      </c>
      <c r="F74" s="63">
        <f t="shared" si="14"/>
        <v>2236.6565476190476</v>
      </c>
      <c r="G74" s="64">
        <f t="shared" si="8"/>
        <v>56671.096547619047</v>
      </c>
      <c r="H74" s="65">
        <f t="shared" si="7"/>
        <v>6403833.9098809436</v>
      </c>
    </row>
    <row r="75" spans="1:8" ht="14">
      <c r="A75" s="61">
        <f t="shared" si="1"/>
        <v>47</v>
      </c>
      <c r="B75" s="61"/>
      <c r="C75" s="61" t="s">
        <v>75</v>
      </c>
      <c r="D75" s="62">
        <f t="shared" ca="1" si="2"/>
        <v>45404</v>
      </c>
      <c r="E75" s="63">
        <f t="shared" si="13"/>
        <v>54434.44</v>
      </c>
      <c r="F75" s="63">
        <f t="shared" si="14"/>
        <v>2236.6565476190476</v>
      </c>
      <c r="G75" s="64">
        <f t="shared" si="8"/>
        <v>56671.096547619047</v>
      </c>
      <c r="H75" s="65">
        <f t="shared" si="7"/>
        <v>6347162.8133333242</v>
      </c>
    </row>
    <row r="76" spans="1:8" ht="14">
      <c r="A76" s="61">
        <f t="shared" si="1"/>
        <v>48</v>
      </c>
      <c r="B76" s="61"/>
      <c r="C76" s="61" t="s">
        <v>76</v>
      </c>
      <c r="D76" s="62">
        <f t="shared" ca="1" si="2"/>
        <v>45434</v>
      </c>
      <c r="E76" s="63">
        <f t="shared" si="13"/>
        <v>54434.44</v>
      </c>
      <c r="F76" s="63">
        <f t="shared" si="14"/>
        <v>2236.6565476190476</v>
      </c>
      <c r="G76" s="64">
        <f t="shared" si="8"/>
        <v>56671.096547619047</v>
      </c>
      <c r="H76" s="65">
        <f t="shared" si="7"/>
        <v>6290491.7167857047</v>
      </c>
    </row>
    <row r="77" spans="1:8" ht="14">
      <c r="A77" s="61"/>
      <c r="B77" s="66">
        <v>0.09</v>
      </c>
      <c r="C77" s="61" t="s">
        <v>189</v>
      </c>
      <c r="D77" s="62"/>
      <c r="E77" s="63"/>
      <c r="F77" s="63"/>
      <c r="G77" s="64"/>
      <c r="H77" s="65"/>
    </row>
    <row r="78" spans="1:8" ht="14">
      <c r="A78" s="61">
        <f>+A76+1</f>
        <v>49</v>
      </c>
      <c r="B78" s="61"/>
      <c r="C78" s="61" t="s">
        <v>77</v>
      </c>
      <c r="D78" s="62">
        <f ca="1">EDATE(D76,1)</f>
        <v>45465</v>
      </c>
      <c r="E78" s="63">
        <f>(D$18*B$77)/12</f>
        <v>61238.744999999995</v>
      </c>
      <c r="F78" s="63">
        <f>($B$77*$D$19)/12</f>
        <v>2516.2386160714282</v>
      </c>
      <c r="G78" s="64">
        <f t="shared" si="8"/>
        <v>63754.983616071426</v>
      </c>
      <c r="H78" s="65">
        <f>H76-G78</f>
        <v>6226736.733169633</v>
      </c>
    </row>
    <row r="79" spans="1:8" ht="14">
      <c r="A79" s="61">
        <f t="shared" si="1"/>
        <v>50</v>
      </c>
      <c r="B79" s="61"/>
      <c r="C79" s="61" t="s">
        <v>78</v>
      </c>
      <c r="D79" s="62">
        <f t="shared" ca="1" si="2"/>
        <v>45495</v>
      </c>
      <c r="E79" s="63">
        <f t="shared" ref="E79:E89" si="15">(D$18*B$77)/12</f>
        <v>61238.744999999995</v>
      </c>
      <c r="F79" s="63">
        <f t="shared" ref="F79:F89" si="16">($B$77*$D$19)/12</f>
        <v>2516.2386160714282</v>
      </c>
      <c r="G79" s="64">
        <f t="shared" si="8"/>
        <v>63754.983616071426</v>
      </c>
      <c r="H79" s="65">
        <f t="shared" si="7"/>
        <v>6162981.7495535612</v>
      </c>
    </row>
    <row r="80" spans="1:8" ht="14">
      <c r="A80" s="61">
        <f t="shared" si="1"/>
        <v>51</v>
      </c>
      <c r="B80" s="61"/>
      <c r="C80" s="61" t="s">
        <v>79</v>
      </c>
      <c r="D80" s="62">
        <f t="shared" ca="1" si="2"/>
        <v>45526</v>
      </c>
      <c r="E80" s="63">
        <f t="shared" si="15"/>
        <v>61238.744999999995</v>
      </c>
      <c r="F80" s="63">
        <f t="shared" si="16"/>
        <v>2516.2386160714282</v>
      </c>
      <c r="G80" s="64">
        <f t="shared" si="8"/>
        <v>63754.983616071426</v>
      </c>
      <c r="H80" s="65">
        <f t="shared" si="7"/>
        <v>6099226.7659374895</v>
      </c>
    </row>
    <row r="81" spans="1:8" ht="14">
      <c r="A81" s="61">
        <f t="shared" si="1"/>
        <v>52</v>
      </c>
      <c r="B81" s="61"/>
      <c r="C81" s="61" t="s">
        <v>80</v>
      </c>
      <c r="D81" s="62">
        <f t="shared" ca="1" si="2"/>
        <v>45557</v>
      </c>
      <c r="E81" s="63">
        <f t="shared" si="15"/>
        <v>61238.744999999995</v>
      </c>
      <c r="F81" s="63">
        <f t="shared" si="16"/>
        <v>2516.2386160714282</v>
      </c>
      <c r="G81" s="64">
        <f t="shared" si="8"/>
        <v>63754.983616071426</v>
      </c>
      <c r="H81" s="65">
        <f t="shared" si="7"/>
        <v>6035471.7823214177</v>
      </c>
    </row>
    <row r="82" spans="1:8" ht="14">
      <c r="A82" s="61">
        <f t="shared" si="1"/>
        <v>53</v>
      </c>
      <c r="B82" s="61"/>
      <c r="C82" s="61" t="s">
        <v>81</v>
      </c>
      <c r="D82" s="62">
        <f t="shared" ca="1" si="2"/>
        <v>45587</v>
      </c>
      <c r="E82" s="63">
        <f t="shared" si="15"/>
        <v>61238.744999999995</v>
      </c>
      <c r="F82" s="63">
        <f t="shared" si="16"/>
        <v>2516.2386160714282</v>
      </c>
      <c r="G82" s="64">
        <f t="shared" si="8"/>
        <v>63754.983616071426</v>
      </c>
      <c r="H82" s="65">
        <f t="shared" si="7"/>
        <v>5971716.798705346</v>
      </c>
    </row>
    <row r="83" spans="1:8" ht="14">
      <c r="A83" s="61">
        <f t="shared" si="1"/>
        <v>54</v>
      </c>
      <c r="B83" s="61"/>
      <c r="C83" s="61" t="s">
        <v>82</v>
      </c>
      <c r="D83" s="62">
        <f t="shared" ca="1" si="2"/>
        <v>45618</v>
      </c>
      <c r="E83" s="63">
        <f t="shared" si="15"/>
        <v>61238.744999999995</v>
      </c>
      <c r="F83" s="63">
        <f t="shared" si="16"/>
        <v>2516.2386160714282</v>
      </c>
      <c r="G83" s="64">
        <f t="shared" ref="G83:G84" si="17">+SUM(E83:F83)</f>
        <v>63754.983616071426</v>
      </c>
      <c r="H83" s="65">
        <f t="shared" si="7"/>
        <v>5907961.8150892742</v>
      </c>
    </row>
    <row r="84" spans="1:8" ht="14">
      <c r="A84" s="61">
        <f t="shared" si="1"/>
        <v>55</v>
      </c>
      <c r="B84" s="61"/>
      <c r="C84" s="61" t="s">
        <v>83</v>
      </c>
      <c r="D84" s="62">
        <f t="shared" ca="1" si="2"/>
        <v>45648</v>
      </c>
      <c r="E84" s="63">
        <f t="shared" si="15"/>
        <v>61238.744999999995</v>
      </c>
      <c r="F84" s="63">
        <f t="shared" si="16"/>
        <v>2516.2386160714282</v>
      </c>
      <c r="G84" s="64">
        <f t="shared" si="17"/>
        <v>63754.983616071426</v>
      </c>
      <c r="H84" s="65">
        <f t="shared" si="7"/>
        <v>5844206.8314732024</v>
      </c>
    </row>
    <row r="85" spans="1:8" ht="14">
      <c r="A85" s="61">
        <f t="shared" si="1"/>
        <v>56</v>
      </c>
      <c r="B85" s="61"/>
      <c r="C85" s="61" t="s">
        <v>84</v>
      </c>
      <c r="D85" s="62">
        <f t="shared" ca="1" si="2"/>
        <v>45679</v>
      </c>
      <c r="E85" s="63">
        <f t="shared" si="15"/>
        <v>61238.744999999995</v>
      </c>
      <c r="F85" s="63">
        <f t="shared" si="16"/>
        <v>2516.2386160714282</v>
      </c>
      <c r="G85" s="64">
        <f t="shared" ref="G85:G90" si="18">+SUM(E85:F85)</f>
        <v>63754.983616071426</v>
      </c>
      <c r="H85" s="65">
        <f t="shared" si="7"/>
        <v>5780451.8478571307</v>
      </c>
    </row>
    <row r="86" spans="1:8" ht="14">
      <c r="A86" s="61">
        <f t="shared" si="1"/>
        <v>57</v>
      </c>
      <c r="B86" s="61"/>
      <c r="C86" s="61" t="s">
        <v>85</v>
      </c>
      <c r="D86" s="62">
        <f t="shared" ca="1" si="2"/>
        <v>45710</v>
      </c>
      <c r="E86" s="63">
        <f t="shared" si="15"/>
        <v>61238.744999999995</v>
      </c>
      <c r="F86" s="63">
        <f t="shared" si="16"/>
        <v>2516.2386160714282</v>
      </c>
      <c r="G86" s="64">
        <f t="shared" si="18"/>
        <v>63754.983616071426</v>
      </c>
      <c r="H86" s="65">
        <f t="shared" si="7"/>
        <v>5716696.8642410589</v>
      </c>
    </row>
    <row r="87" spans="1:8" ht="14">
      <c r="A87" s="61">
        <f t="shared" si="1"/>
        <v>58</v>
      </c>
      <c r="B87" s="61"/>
      <c r="C87" s="61" t="s">
        <v>86</v>
      </c>
      <c r="D87" s="62">
        <f t="shared" ca="1" si="2"/>
        <v>45738</v>
      </c>
      <c r="E87" s="63">
        <f t="shared" si="15"/>
        <v>61238.744999999995</v>
      </c>
      <c r="F87" s="63">
        <f t="shared" si="16"/>
        <v>2516.2386160714282</v>
      </c>
      <c r="G87" s="64">
        <f t="shared" si="18"/>
        <v>63754.983616071426</v>
      </c>
      <c r="H87" s="65">
        <f t="shared" si="7"/>
        <v>5652941.8806249872</v>
      </c>
    </row>
    <row r="88" spans="1:8" ht="14">
      <c r="A88" s="61">
        <f t="shared" si="1"/>
        <v>59</v>
      </c>
      <c r="B88" s="61"/>
      <c r="C88" s="61" t="s">
        <v>87</v>
      </c>
      <c r="D88" s="62">
        <f t="shared" ca="1" si="2"/>
        <v>45769</v>
      </c>
      <c r="E88" s="63">
        <f t="shared" si="15"/>
        <v>61238.744999999995</v>
      </c>
      <c r="F88" s="63">
        <f t="shared" si="16"/>
        <v>2516.2386160714282</v>
      </c>
      <c r="G88" s="64">
        <f t="shared" si="18"/>
        <v>63754.983616071426</v>
      </c>
      <c r="H88" s="65">
        <f t="shared" si="7"/>
        <v>5589186.8970089154</v>
      </c>
    </row>
    <row r="89" spans="1:8" ht="14">
      <c r="A89" s="61">
        <f t="shared" si="1"/>
        <v>60</v>
      </c>
      <c r="B89" s="61"/>
      <c r="C89" s="61" t="s">
        <v>88</v>
      </c>
      <c r="D89" s="62">
        <f t="shared" ca="1" si="2"/>
        <v>45799</v>
      </c>
      <c r="E89" s="63">
        <f t="shared" si="15"/>
        <v>61238.744999999995</v>
      </c>
      <c r="F89" s="63">
        <f t="shared" si="16"/>
        <v>2516.2386160714282</v>
      </c>
      <c r="G89" s="64">
        <f t="shared" si="18"/>
        <v>63754.983616071426</v>
      </c>
      <c r="H89" s="65">
        <f t="shared" si="7"/>
        <v>5525431.9133928437</v>
      </c>
    </row>
    <row r="90" spans="1:8" ht="14">
      <c r="A90" s="61">
        <f t="shared" si="1"/>
        <v>61</v>
      </c>
      <c r="B90" s="66">
        <f>1-SUM(B25:B89)</f>
        <v>0.65</v>
      </c>
      <c r="C90" s="61" t="s">
        <v>105</v>
      </c>
      <c r="D90" s="62">
        <f t="shared" ca="1" si="2"/>
        <v>45830</v>
      </c>
      <c r="E90" s="63">
        <f>B90*D18</f>
        <v>5307357.9000000004</v>
      </c>
      <c r="F90" s="63">
        <f>B90*D19</f>
        <v>218074.01339285713</v>
      </c>
      <c r="G90" s="64">
        <f t="shared" si="18"/>
        <v>5525431.9133928576</v>
      </c>
      <c r="H90" s="65">
        <f t="shared" si="7"/>
        <v>-1.3969838619232178E-8</v>
      </c>
    </row>
    <row r="91" spans="1:8" ht="14">
      <c r="A91" s="166" t="s">
        <v>15</v>
      </c>
      <c r="B91" s="166"/>
      <c r="C91" s="166"/>
      <c r="D91" s="166"/>
      <c r="E91" s="67">
        <f>SUM(E24:E90)</f>
        <v>8165166.0000000009</v>
      </c>
      <c r="F91" s="67">
        <f t="shared" ref="F91:G91" si="19">SUM(F24:F90)</f>
        <v>335498.48214285704</v>
      </c>
      <c r="G91" s="67">
        <f t="shared" si="19"/>
        <v>8500664.4821428545</v>
      </c>
      <c r="H91" s="68"/>
    </row>
    <row r="92" spans="1:8" s="14" customFormat="1" ht="14">
      <c r="C92" s="28"/>
      <c r="D92" s="29"/>
      <c r="E92" s="30"/>
      <c r="F92" s="30"/>
      <c r="G92" s="30"/>
    </row>
    <row r="93" spans="1:8" s="14" customFormat="1" ht="14">
      <c r="A93" s="162" t="s">
        <v>136</v>
      </c>
      <c r="B93" s="162"/>
      <c r="C93" s="162"/>
      <c r="D93" s="162"/>
      <c r="E93" s="162"/>
      <c r="F93" s="162"/>
      <c r="G93" s="162"/>
      <c r="H93" s="162"/>
    </row>
    <row r="94" spans="1:8" s="14" customFormat="1" ht="29.25" customHeight="1">
      <c r="A94" s="164" t="s">
        <v>175</v>
      </c>
      <c r="B94" s="164"/>
      <c r="C94" s="164"/>
      <c r="D94" s="164"/>
      <c r="E94" s="164"/>
      <c r="F94" s="164"/>
      <c r="G94" s="164"/>
      <c r="H94" s="164"/>
    </row>
    <row r="95" spans="1:8" s="14" customFormat="1" ht="16.5" customHeight="1">
      <c r="A95" s="162" t="s">
        <v>176</v>
      </c>
      <c r="B95" s="162"/>
      <c r="C95" s="162"/>
      <c r="D95" s="162"/>
      <c r="E95" s="162"/>
      <c r="F95" s="162"/>
      <c r="G95" s="162"/>
      <c r="H95" s="162"/>
    </row>
    <row r="96" spans="1:8" s="14" customFormat="1" ht="16.5" customHeight="1">
      <c r="A96" s="162" t="s">
        <v>177</v>
      </c>
      <c r="B96" s="162"/>
      <c r="C96" s="162"/>
      <c r="D96" s="162"/>
      <c r="E96" s="162"/>
      <c r="F96" s="162"/>
      <c r="G96" s="162"/>
      <c r="H96" s="162"/>
    </row>
    <row r="97" spans="1:8" s="14" customFormat="1" ht="16.5" customHeight="1">
      <c r="A97" s="162" t="s">
        <v>178</v>
      </c>
      <c r="B97" s="162"/>
      <c r="C97" s="162"/>
      <c r="D97" s="162"/>
      <c r="E97" s="162"/>
      <c r="F97" s="162"/>
      <c r="G97" s="162"/>
      <c r="H97" s="162"/>
    </row>
    <row r="98" spans="1:8" s="14" customFormat="1" ht="107.25" customHeight="1">
      <c r="A98" s="162" t="s">
        <v>179</v>
      </c>
      <c r="B98" s="162"/>
      <c r="C98" s="162"/>
      <c r="D98" s="162"/>
      <c r="E98" s="162"/>
      <c r="F98" s="162"/>
      <c r="G98" s="162"/>
      <c r="H98" s="162"/>
    </row>
    <row r="99" spans="1:8" s="14" customFormat="1" ht="42" customHeight="1">
      <c r="A99" s="162" t="s">
        <v>180</v>
      </c>
      <c r="B99" s="162"/>
      <c r="C99" s="162"/>
      <c r="D99" s="162"/>
      <c r="E99" s="162"/>
      <c r="F99" s="162"/>
      <c r="G99" s="162"/>
      <c r="H99" s="162"/>
    </row>
    <row r="100" spans="1:8" s="14" customFormat="1" ht="17.25" customHeight="1">
      <c r="A100" s="162" t="s">
        <v>181</v>
      </c>
      <c r="B100" s="162"/>
      <c r="C100" s="162"/>
      <c r="D100" s="162"/>
      <c r="E100" s="162"/>
      <c r="F100" s="162"/>
      <c r="G100" s="162"/>
      <c r="H100" s="162"/>
    </row>
    <row r="101" spans="1:8" s="14" customFormat="1" ht="14">
      <c r="A101" s="162"/>
      <c r="B101" s="162"/>
      <c r="C101" s="162"/>
      <c r="D101" s="162"/>
      <c r="E101" s="162"/>
      <c r="F101" s="162"/>
      <c r="G101" s="162"/>
      <c r="H101" s="162"/>
    </row>
    <row r="102" spans="1:8" s="14" customFormat="1" ht="14">
      <c r="A102" s="14" t="s">
        <v>16</v>
      </c>
      <c r="D102" s="31"/>
      <c r="G102" s="15"/>
    </row>
    <row r="103" spans="1:8" s="14" customFormat="1" ht="14">
      <c r="D103" s="31"/>
      <c r="G103" s="15"/>
    </row>
    <row r="104" spans="1:8" s="14" customFormat="1" ht="15" customHeight="1">
      <c r="A104" s="32"/>
      <c r="B104" s="32"/>
      <c r="C104" s="32"/>
      <c r="D104" s="31"/>
      <c r="E104" s="32"/>
      <c r="F104" s="32"/>
      <c r="G104" s="33"/>
    </row>
    <row r="105" spans="1:8" s="14" customFormat="1" ht="14">
      <c r="A105" s="179" t="s">
        <v>163</v>
      </c>
      <c r="B105" s="179"/>
      <c r="C105" s="179"/>
      <c r="D105" s="31"/>
      <c r="E105" s="179" t="s">
        <v>17</v>
      </c>
      <c r="F105" s="179"/>
      <c r="G105" s="179"/>
    </row>
    <row r="106" spans="1:8" ht="14"/>
    <row r="107" spans="1:8" ht="14"/>
  </sheetData>
  <sheetProtection password="CAF1" sheet="1" objects="1" scenarios="1" selectLockedCells="1"/>
  <mergeCells count="20">
    <mergeCell ref="A105:C105"/>
    <mergeCell ref="E105:G105"/>
    <mergeCell ref="A96:H96"/>
    <mergeCell ref="A97:H97"/>
    <mergeCell ref="A98:H98"/>
    <mergeCell ref="A99:H99"/>
    <mergeCell ref="A100:H100"/>
    <mergeCell ref="A101:H101"/>
    <mergeCell ref="A95:H95"/>
    <mergeCell ref="H1:H2"/>
    <mergeCell ref="C5:H5"/>
    <mergeCell ref="C6:H6"/>
    <mergeCell ref="C7:H7"/>
    <mergeCell ref="C8:H8"/>
    <mergeCell ref="C9:H9"/>
    <mergeCell ref="C10:H10"/>
    <mergeCell ref="A23:G23"/>
    <mergeCell ref="A91:D91"/>
    <mergeCell ref="A93:H93"/>
    <mergeCell ref="A94:H94"/>
  </mergeCells>
  <hyperlinks>
    <hyperlink ref="C1" location="'DATA SHEET'!A1" display="HIGHLANDS PRIME, INC." xr:uid="{00000000-0004-0000-0800-000000000000}"/>
    <hyperlink ref="J3" location="'DATA SHEET'!A1" display="Return to Data Sheet" xr:uid="{00000000-0004-0000-0800-000001000000}"/>
  </hyperlinks>
  <printOptions horizontalCentered="1"/>
  <pageMargins left="0.7" right="0.7" top="0.75" bottom="0.5" header="0.3" footer="0.3"/>
  <pageSetup scale="80" orientation="portrait"/>
  <headerFooter>
    <oddFooter>&amp;L&amp;8A project of HIGHLANDS PRIME, INC. Horizon Terraces HLURB License To Sell No. 032272&amp;R&amp;8Page &amp;P of &amp;N</oddFooter>
  </headerFooter>
  <ignoredErrors>
    <ignoredError sqref="D19" formula="1"/>
    <ignoredError sqref="D15" unlockedFormula="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DATA SHEET</vt:lpstr>
      <vt:lpstr>WESTCHASE PL</vt:lpstr>
      <vt:lpstr>CASH_Non-mem</vt:lpstr>
      <vt:lpstr>DP Term1_Non-mem</vt:lpstr>
      <vt:lpstr>No DP Term1_Non-mem</vt:lpstr>
      <vt:lpstr>No DP Term2_Non-mem</vt:lpstr>
      <vt:lpstr>No DP Term3_Non-mem</vt:lpstr>
      <vt:lpstr>No DP Term4_Non-mem</vt:lpstr>
      <vt:lpstr>No DP Term5_Non-mem</vt:lpstr>
      <vt:lpstr>CASH_Member</vt:lpstr>
      <vt:lpstr>DP Term1_Member</vt:lpstr>
      <vt:lpstr>No DP Term1_Member</vt:lpstr>
      <vt:lpstr>No DP Term2_Member</vt:lpstr>
      <vt:lpstr>No DP Term3_Member</vt:lpstr>
      <vt:lpstr>No DP Term4_Member</vt:lpstr>
      <vt:lpstr>No DP Term5_Member</vt:lpstr>
      <vt:lpstr>CASH_Member!Print_Area</vt:lpstr>
      <vt:lpstr>'CASH_Non-mem'!Print_Area</vt:lpstr>
      <vt:lpstr>'DP Term1_Member'!Print_Area</vt:lpstr>
      <vt:lpstr>'DP Term1_Non-mem'!Print_Area</vt:lpstr>
      <vt:lpstr>'No DP Term1_Non-mem'!Print_Area</vt:lpstr>
      <vt:lpstr>'No DP Term3_Member'!Print_Area</vt:lpstr>
      <vt:lpstr>'No DP Term3_Non-mem'!Print_Area</vt:lpstr>
      <vt:lpstr>'No DP Term4_Member'!Print_Area</vt:lpstr>
      <vt:lpstr>'No DP Term4_Non-mem'!Print_Area</vt:lpstr>
      <vt:lpstr>'No DP Term5_Non-mem'!Print_Area</vt:lpstr>
      <vt:lpstr>CASH_Member!Print_Titles</vt:lpstr>
      <vt:lpstr>'No DP Term2_Member'!Print_Titles</vt:lpstr>
      <vt:lpstr>'No DP Term3_Member'!Print_Titles</vt:lpstr>
      <vt:lpstr>'No DP Term3_Non-mem'!Print_Titles</vt:lpstr>
      <vt:lpstr>'No DP Term4_Non-mem'!Print_Titles</vt:lpstr>
      <vt:lpstr>'No DP Term5_Non-mem'!Print_Titles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ariel david acuzar</cp:lastModifiedBy>
  <cp:lastPrinted>2020-04-16T10:05:18Z</cp:lastPrinted>
  <dcterms:created xsi:type="dcterms:W3CDTF">2012-10-30T18:10:05Z</dcterms:created>
  <dcterms:modified xsi:type="dcterms:W3CDTF">2020-05-22T13:55:01Z</dcterms:modified>
</cp:coreProperties>
</file>