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codeName="ThisWorkbook" defaultThemeVersion="124226"/>
  <mc:AlternateContent xmlns:mc="http://schemas.openxmlformats.org/markup-compatibility/2006">
    <mc:Choice Requires="x15">
      <x15ac:absPath xmlns:x15ac="http://schemas.microsoft.com/office/spreadsheetml/2010/11/ac" url="/Users/arielacuzar/Desktop/highlands templates/"/>
    </mc:Choice>
  </mc:AlternateContent>
  <xr:revisionPtr revIDLastSave="0" documentId="8_{0418BF93-CAD1-794F-90C5-96779E69896F}" xr6:coauthVersionLast="36" xr6:coauthVersionMax="36" xr10:uidLastSave="{00000000-0000-0000-0000-000000000000}"/>
  <workbookProtection workbookPassword="CAF1" lockStructure="1"/>
  <bookViews>
    <workbookView xWindow="0" yWindow="460" windowWidth="23820" windowHeight="13120" xr2:uid="{00000000-000D-0000-FFFF-FFFF00000000}"/>
  </bookViews>
  <sheets>
    <sheet name="DATA SHEET" sheetId="4" r:id="rId1"/>
    <sheet name=" " sheetId="238" state="hidden" r:id="rId2"/>
    <sheet name=" Garden Suites PL" sheetId="233" state="hidden" r:id="rId3"/>
    <sheet name="Cash_Non-mem" sheetId="132" state="hidden" r:id="rId4"/>
    <sheet name="Cash_Mem" sheetId="133" state="hidden" r:id="rId5"/>
    <sheet name="Deferred Cash_Non-mem" sheetId="51" state="hidden" r:id="rId6"/>
    <sheet name="Deferred Cash_Mem" sheetId="134" state="hidden" r:id="rId7"/>
    <sheet name="INST1_Non-mem" sheetId="128" state="hidden" r:id="rId8"/>
    <sheet name="INST1_Mem" sheetId="129" state="hidden" r:id="rId9"/>
    <sheet name="INST2_Non-mem" sheetId="130" state="hidden" r:id="rId10"/>
    <sheet name="INST2_Mem" sheetId="131" state="hidden" r:id="rId11"/>
    <sheet name="Promo Term 1_Non-mem" sheetId="135" state="hidden" r:id="rId12"/>
    <sheet name="Promo Term 1_Mem" sheetId="136" state="hidden" r:id="rId13"/>
    <sheet name="Promo Term 2_Non-mem" sheetId="147" state="hidden" r:id="rId14"/>
    <sheet name="Promo Term 2_Mem" sheetId="148" state="hidden" r:id="rId15"/>
    <sheet name="Cash_Non mem" sheetId="241" r:id="rId16"/>
    <sheet name="DP term1_Non Mem" sheetId="242" r:id="rId17"/>
    <sheet name="DP term2_Non-member" sheetId="223" r:id="rId18"/>
    <sheet name="DP term3_Non mem" sheetId="221" r:id="rId19"/>
    <sheet name="DP term4_Non mem" sheetId="245" r:id="rId20"/>
    <sheet name="NO DP term1_Non-member" sheetId="228" r:id="rId21"/>
    <sheet name="NO DP term2_Non-member" sheetId="236" r:id="rId22"/>
    <sheet name="NO DP term4_Non-mem" sheetId="225" state="hidden" r:id="rId23"/>
    <sheet name="PROMO_Non Member " sheetId="247" r:id="rId24"/>
    <sheet name="Cash_Member" sheetId="243" r:id="rId25"/>
    <sheet name="DP term1_Member" sheetId="244" r:id="rId26"/>
    <sheet name="DP term2_Member" sheetId="224" r:id="rId27"/>
    <sheet name="DP term3_Member" sheetId="240" r:id="rId28"/>
    <sheet name="DP term4_Member" sheetId="246" r:id="rId29"/>
    <sheet name="NO DP Term1__Member" sheetId="222" r:id="rId30"/>
    <sheet name="NO DP term1_Member" sheetId="229" state="hidden" r:id="rId31"/>
    <sheet name="NO DP Term2_Member" sheetId="237" r:id="rId32"/>
    <sheet name="PROMO_Member" sheetId="249" r:id="rId33"/>
    <sheet name="No DP term3_Non-mem" sheetId="239" state="hidden" r:id="rId34"/>
    <sheet name="NO DP term4_Member" sheetId="150" state="hidden" r:id="rId35"/>
    <sheet name="Compatibility Report" sheetId="232" state="hidden" r:id="rId36"/>
  </sheets>
  <externalReferences>
    <externalReference r:id="rId37"/>
    <externalReference r:id="rId38"/>
    <externalReference r:id="rId39"/>
    <externalReference r:id="rId40"/>
    <externalReference r:id="rId41"/>
    <externalReference r:id="rId42"/>
    <externalReference r:id="rId43"/>
    <externalReference r:id="rId44"/>
  </externalReferences>
  <definedNames>
    <definedName name="____xlnm.Print_Area_4" localSheetId="4">#REF!</definedName>
    <definedName name="____xlnm.Print_Area_4" localSheetId="3">#REF!</definedName>
    <definedName name="____xlnm.Print_Area_4" localSheetId="6">#REF!</definedName>
    <definedName name="____xlnm.Print_Area_4" localSheetId="5">#REF!</definedName>
    <definedName name="____xlnm.Print_Area_4" localSheetId="26">#REF!</definedName>
    <definedName name="____xlnm.Print_Area_4" localSheetId="17">#REF!</definedName>
    <definedName name="____xlnm.Print_Area_4" localSheetId="18">#REF!</definedName>
    <definedName name="____xlnm.Print_Area_4" localSheetId="28">#REF!</definedName>
    <definedName name="____xlnm.Print_Area_4" localSheetId="19">#REF!</definedName>
    <definedName name="____xlnm.Print_Area_4" localSheetId="8">#REF!</definedName>
    <definedName name="____xlnm.Print_Area_4" localSheetId="7">#REF!</definedName>
    <definedName name="____xlnm.Print_Area_4" localSheetId="10">#REF!</definedName>
    <definedName name="____xlnm.Print_Area_4" localSheetId="9">#REF!</definedName>
    <definedName name="____xlnm.Print_Area_4" localSheetId="29">#REF!</definedName>
    <definedName name="____xlnm.Print_Area_4" localSheetId="30">#REF!</definedName>
    <definedName name="____xlnm.Print_Area_4" localSheetId="20">#REF!</definedName>
    <definedName name="____xlnm.Print_Area_4" localSheetId="21">#REF!</definedName>
    <definedName name="____xlnm.Print_Area_4" localSheetId="34">#REF!</definedName>
    <definedName name="____xlnm.Print_Area_4" localSheetId="22">#REF!</definedName>
    <definedName name="____xlnm.Print_Area_4" localSheetId="12">#REF!</definedName>
    <definedName name="____xlnm.Print_Area_4" localSheetId="11">#REF!</definedName>
    <definedName name="____xlnm.Print_Area_4" localSheetId="14">#REF!</definedName>
    <definedName name="____xlnm.Print_Area_4" localSheetId="13">#REF!</definedName>
    <definedName name="____xlnm.Print_Area_4" localSheetId="32">#REF!</definedName>
    <definedName name="____xlnm.Print_Area_4" localSheetId="23">#REF!</definedName>
    <definedName name="____xlnm.Print_Area_4">#REF!</definedName>
    <definedName name="___xlnm.Print_Area_4" localSheetId="4">#REF!</definedName>
    <definedName name="___xlnm.Print_Area_4" localSheetId="3">#REF!</definedName>
    <definedName name="___xlnm.Print_Area_4" localSheetId="6">#REF!</definedName>
    <definedName name="___xlnm.Print_Area_4" localSheetId="5">#REF!</definedName>
    <definedName name="___xlnm.Print_Area_4" localSheetId="26">#REF!</definedName>
    <definedName name="___xlnm.Print_Area_4" localSheetId="17">#REF!</definedName>
    <definedName name="___xlnm.Print_Area_4" localSheetId="18">#REF!</definedName>
    <definedName name="___xlnm.Print_Area_4" localSheetId="28">#REF!</definedName>
    <definedName name="___xlnm.Print_Area_4" localSheetId="19">#REF!</definedName>
    <definedName name="___xlnm.Print_Area_4" localSheetId="8">#REF!</definedName>
    <definedName name="___xlnm.Print_Area_4" localSheetId="7">#REF!</definedName>
    <definedName name="___xlnm.Print_Area_4" localSheetId="10">#REF!</definedName>
    <definedName name="___xlnm.Print_Area_4" localSheetId="9">#REF!</definedName>
    <definedName name="___xlnm.Print_Area_4" localSheetId="29">#REF!</definedName>
    <definedName name="___xlnm.Print_Area_4" localSheetId="30">#REF!</definedName>
    <definedName name="___xlnm.Print_Area_4" localSheetId="20">#REF!</definedName>
    <definedName name="___xlnm.Print_Area_4" localSheetId="21">#REF!</definedName>
    <definedName name="___xlnm.Print_Area_4" localSheetId="34">#REF!</definedName>
    <definedName name="___xlnm.Print_Area_4" localSheetId="22">#REF!</definedName>
    <definedName name="___xlnm.Print_Area_4" localSheetId="12">#REF!</definedName>
    <definedName name="___xlnm.Print_Area_4" localSheetId="11">#REF!</definedName>
    <definedName name="___xlnm.Print_Area_4" localSheetId="14">#REF!</definedName>
    <definedName name="___xlnm.Print_Area_4" localSheetId="13">#REF!</definedName>
    <definedName name="___xlnm.Print_Area_4" localSheetId="32">#REF!</definedName>
    <definedName name="___xlnm.Print_Area_4" localSheetId="23">#REF!</definedName>
    <definedName name="___xlnm.Print_Area_4">#REF!</definedName>
    <definedName name="__FEU8" localSheetId="4">[1]Assumptions!#REF!</definedName>
    <definedName name="__FEU8" localSheetId="3">[1]Assumptions!#REF!</definedName>
    <definedName name="__FEU8" localSheetId="6">[1]Assumptions!#REF!</definedName>
    <definedName name="__FEU8" localSheetId="26">[1]Assumptions!#REF!</definedName>
    <definedName name="__FEU8" localSheetId="17">[1]Assumptions!#REF!</definedName>
    <definedName name="__FEU8" localSheetId="18">[1]Assumptions!#REF!</definedName>
    <definedName name="__FEU8" localSheetId="28">[1]Assumptions!#REF!</definedName>
    <definedName name="__FEU8" localSheetId="19">[1]Assumptions!#REF!</definedName>
    <definedName name="__FEU8" localSheetId="8">[1]Assumptions!#REF!</definedName>
    <definedName name="__FEU8" localSheetId="7">[1]Assumptions!#REF!</definedName>
    <definedName name="__FEU8" localSheetId="10">[1]Assumptions!#REF!</definedName>
    <definedName name="__FEU8" localSheetId="9">[1]Assumptions!#REF!</definedName>
    <definedName name="__FEU8" localSheetId="29">[1]Assumptions!#REF!</definedName>
    <definedName name="__FEU8" localSheetId="30">[1]Assumptions!#REF!</definedName>
    <definedName name="__FEU8" localSheetId="20">[1]Assumptions!#REF!</definedName>
    <definedName name="__FEU8" localSheetId="21">[1]Assumptions!#REF!</definedName>
    <definedName name="__FEU8" localSheetId="34">[1]Assumptions!#REF!</definedName>
    <definedName name="__FEU8" localSheetId="22">[1]Assumptions!#REF!</definedName>
    <definedName name="__FEU8" localSheetId="12">[1]Assumptions!#REF!</definedName>
    <definedName name="__FEU8" localSheetId="11">[1]Assumptions!#REF!</definedName>
    <definedName name="__FEU8" localSheetId="14">[1]Assumptions!#REF!</definedName>
    <definedName name="__FEU8" localSheetId="13">[1]Assumptions!#REF!</definedName>
    <definedName name="__FEU8" localSheetId="32">[1]Assumptions!#REF!</definedName>
    <definedName name="__FEU8" localSheetId="23">[1]Assumptions!#REF!</definedName>
    <definedName name="__FEU8">[1]Assumptions!#REF!</definedName>
    <definedName name="__klq6" localSheetId="4">#REF!</definedName>
    <definedName name="__klq6" localSheetId="3">#REF!</definedName>
    <definedName name="__klq6" localSheetId="6">#REF!</definedName>
    <definedName name="__klq6" localSheetId="26">#REF!</definedName>
    <definedName name="__klq6" localSheetId="17">#REF!</definedName>
    <definedName name="__klq6" localSheetId="18">#REF!</definedName>
    <definedName name="__klq6" localSheetId="28">#REF!</definedName>
    <definedName name="__klq6" localSheetId="19">#REF!</definedName>
    <definedName name="__klq6" localSheetId="8">#REF!</definedName>
    <definedName name="__klq6" localSheetId="7">#REF!</definedName>
    <definedName name="__klq6" localSheetId="10">#REF!</definedName>
    <definedName name="__klq6" localSheetId="9">#REF!</definedName>
    <definedName name="__klq6" localSheetId="29">#REF!</definedName>
    <definedName name="__klq6" localSheetId="30">#REF!</definedName>
    <definedName name="__klq6" localSheetId="20">#REF!</definedName>
    <definedName name="__klq6" localSheetId="21">#REF!</definedName>
    <definedName name="__klq6" localSheetId="34">#REF!</definedName>
    <definedName name="__klq6" localSheetId="22">#REF!</definedName>
    <definedName name="__klq6" localSheetId="12">#REF!</definedName>
    <definedName name="__klq6" localSheetId="11">#REF!</definedName>
    <definedName name="__klq6" localSheetId="14">#REF!</definedName>
    <definedName name="__klq6" localSheetId="13">#REF!</definedName>
    <definedName name="__klq6" localSheetId="32">#REF!</definedName>
    <definedName name="__klq6" localSheetId="23">#REF!</definedName>
    <definedName name="__klq6">#REF!</definedName>
    <definedName name="__kz6" localSheetId="4">#REF!</definedName>
    <definedName name="__kz6" localSheetId="3">#REF!</definedName>
    <definedName name="__kz6" localSheetId="6">#REF!</definedName>
    <definedName name="__kz6" localSheetId="26">#REF!</definedName>
    <definedName name="__kz6" localSheetId="17">#REF!</definedName>
    <definedName name="__kz6" localSheetId="18">#REF!</definedName>
    <definedName name="__kz6" localSheetId="28">#REF!</definedName>
    <definedName name="__kz6" localSheetId="19">#REF!</definedName>
    <definedName name="__kz6" localSheetId="8">#REF!</definedName>
    <definedName name="__kz6" localSheetId="7">#REF!</definedName>
    <definedName name="__kz6" localSheetId="10">#REF!</definedName>
    <definedName name="__kz6" localSheetId="9">#REF!</definedName>
    <definedName name="__kz6" localSheetId="29">#REF!</definedName>
    <definedName name="__kz6" localSheetId="30">#REF!</definedName>
    <definedName name="__kz6" localSheetId="20">#REF!</definedName>
    <definedName name="__kz6" localSheetId="21">#REF!</definedName>
    <definedName name="__kz6" localSheetId="34">#REF!</definedName>
    <definedName name="__kz6" localSheetId="22">#REF!</definedName>
    <definedName name="__kz6" localSheetId="12">#REF!</definedName>
    <definedName name="__kz6" localSheetId="11">#REF!</definedName>
    <definedName name="__kz6" localSheetId="14">#REF!</definedName>
    <definedName name="__kz6" localSheetId="13">#REF!</definedName>
    <definedName name="__kz6" localSheetId="32">#REF!</definedName>
    <definedName name="__kz6" localSheetId="23">#REF!</definedName>
    <definedName name="__kz6">#REF!</definedName>
    <definedName name="__SL101" localSheetId="4">#REF!</definedName>
    <definedName name="__SL101" localSheetId="3">#REF!</definedName>
    <definedName name="__SL101" localSheetId="6">#REF!</definedName>
    <definedName name="__SL101" localSheetId="26">#REF!</definedName>
    <definedName name="__SL101" localSheetId="17">#REF!</definedName>
    <definedName name="__SL101" localSheetId="18">#REF!</definedName>
    <definedName name="__SL101" localSheetId="28">#REF!</definedName>
    <definedName name="__SL101" localSheetId="19">#REF!</definedName>
    <definedName name="__SL101" localSheetId="8">#REF!</definedName>
    <definedName name="__SL101" localSheetId="7">#REF!</definedName>
    <definedName name="__SL101" localSheetId="10">#REF!</definedName>
    <definedName name="__SL101" localSheetId="9">#REF!</definedName>
    <definedName name="__SL101" localSheetId="29">#REF!</definedName>
    <definedName name="__SL101" localSheetId="30">#REF!</definedName>
    <definedName name="__SL101" localSheetId="20">#REF!</definedName>
    <definedName name="__SL101" localSheetId="21">#REF!</definedName>
    <definedName name="__SL101" localSheetId="34">#REF!</definedName>
    <definedName name="__SL101" localSheetId="22">#REF!</definedName>
    <definedName name="__SL101" localSheetId="12">#REF!</definedName>
    <definedName name="__SL101" localSheetId="11">#REF!</definedName>
    <definedName name="__SL101" localSheetId="14">#REF!</definedName>
    <definedName name="__SL101" localSheetId="13">#REF!</definedName>
    <definedName name="__SL101" localSheetId="32">#REF!</definedName>
    <definedName name="__SL101" localSheetId="23">#REF!</definedName>
    <definedName name="__SL101">#REF!</definedName>
    <definedName name="__xlnm.Print_Area_4" localSheetId="4">#REF!</definedName>
    <definedName name="__xlnm.Print_Area_4" localSheetId="3">#REF!</definedName>
    <definedName name="__xlnm.Print_Area_4" localSheetId="6">#REF!</definedName>
    <definedName name="__xlnm.Print_Area_4" localSheetId="5">#REF!</definedName>
    <definedName name="__xlnm.Print_Area_4" localSheetId="26">#REF!</definedName>
    <definedName name="__xlnm.Print_Area_4" localSheetId="17">#REF!</definedName>
    <definedName name="__xlnm.Print_Area_4" localSheetId="18">#REF!</definedName>
    <definedName name="__xlnm.Print_Area_4" localSheetId="28">#REF!</definedName>
    <definedName name="__xlnm.Print_Area_4" localSheetId="19">#REF!</definedName>
    <definedName name="__xlnm.Print_Area_4" localSheetId="8">#REF!</definedName>
    <definedName name="__xlnm.Print_Area_4" localSheetId="7">#REF!</definedName>
    <definedName name="__xlnm.Print_Area_4" localSheetId="10">#REF!</definedName>
    <definedName name="__xlnm.Print_Area_4" localSheetId="9">#REF!</definedName>
    <definedName name="__xlnm.Print_Area_4" localSheetId="29">#REF!</definedName>
    <definedName name="__xlnm.Print_Area_4" localSheetId="30">#REF!</definedName>
    <definedName name="__xlnm.Print_Area_4" localSheetId="20">#REF!</definedName>
    <definedName name="__xlnm.Print_Area_4" localSheetId="21">#REF!</definedName>
    <definedName name="__xlnm.Print_Area_4" localSheetId="34">#REF!</definedName>
    <definedName name="__xlnm.Print_Area_4" localSheetId="22">#REF!</definedName>
    <definedName name="__xlnm.Print_Area_4" localSheetId="12">#REF!</definedName>
    <definedName name="__xlnm.Print_Area_4" localSheetId="11">#REF!</definedName>
    <definedName name="__xlnm.Print_Area_4" localSheetId="14">#REF!</definedName>
    <definedName name="__xlnm.Print_Area_4" localSheetId="13">#REF!</definedName>
    <definedName name="__xlnm.Print_Area_4" localSheetId="32">#REF!</definedName>
    <definedName name="__xlnm.Print_Area_4" localSheetId="23">#REF!</definedName>
    <definedName name="__xlnm.Print_Area_4">#REF!</definedName>
    <definedName name="_CTS_STATUS" localSheetId="4">#REF!</definedName>
    <definedName name="_CTS_STATUS" localSheetId="3">#REF!</definedName>
    <definedName name="_CTS_STATUS" localSheetId="6">#REF!</definedName>
    <definedName name="_CTS_STATUS" localSheetId="5">#REF!</definedName>
    <definedName name="_CTS_STATUS" localSheetId="26">#REF!</definedName>
    <definedName name="_CTS_STATUS" localSheetId="17">#REF!</definedName>
    <definedName name="_CTS_STATUS" localSheetId="18">#REF!</definedName>
    <definedName name="_CTS_STATUS" localSheetId="28">#REF!</definedName>
    <definedName name="_CTS_STATUS" localSheetId="19">#REF!</definedName>
    <definedName name="_CTS_STATUS" localSheetId="8">#REF!</definedName>
    <definedName name="_CTS_STATUS" localSheetId="7">#REF!</definedName>
    <definedName name="_CTS_STATUS" localSheetId="10">#REF!</definedName>
    <definedName name="_CTS_STATUS" localSheetId="9">#REF!</definedName>
    <definedName name="_CTS_STATUS" localSheetId="29">#REF!</definedName>
    <definedName name="_CTS_STATUS" localSheetId="30">#REF!</definedName>
    <definedName name="_CTS_STATUS" localSheetId="20">#REF!</definedName>
    <definedName name="_CTS_STATUS" localSheetId="21">#REF!</definedName>
    <definedName name="_CTS_STATUS" localSheetId="34">#REF!</definedName>
    <definedName name="_CTS_STATUS" localSheetId="22">#REF!</definedName>
    <definedName name="_CTS_STATUS" localSheetId="12">#REF!</definedName>
    <definedName name="_CTS_STATUS" localSheetId="11">#REF!</definedName>
    <definedName name="_CTS_STATUS" localSheetId="14">#REF!</definedName>
    <definedName name="_CTS_STATUS" localSheetId="13">#REF!</definedName>
    <definedName name="_CTS_STATUS" localSheetId="32">#REF!</definedName>
    <definedName name="_CTS_STATUS" localSheetId="23">#REF!</definedName>
    <definedName name="_CTS_STATUS">#REF!</definedName>
    <definedName name="_FEU8" localSheetId="4">[1]Assumptions!#REF!</definedName>
    <definedName name="_FEU8" localSheetId="3">[1]Assumptions!#REF!</definedName>
    <definedName name="_FEU8" localSheetId="6">[1]Assumptions!#REF!</definedName>
    <definedName name="_FEU8" localSheetId="5">[1]Assumptions!#REF!</definedName>
    <definedName name="_FEU8" localSheetId="26">[1]Assumptions!#REF!</definedName>
    <definedName name="_FEU8" localSheetId="17">[1]Assumptions!#REF!</definedName>
    <definedName name="_FEU8" localSheetId="18">[1]Assumptions!#REF!</definedName>
    <definedName name="_FEU8" localSheetId="28">[1]Assumptions!#REF!</definedName>
    <definedName name="_FEU8" localSheetId="19">[1]Assumptions!#REF!</definedName>
    <definedName name="_FEU8" localSheetId="8">[1]Assumptions!#REF!</definedName>
    <definedName name="_FEU8" localSheetId="7">[1]Assumptions!#REF!</definedName>
    <definedName name="_FEU8" localSheetId="10">[1]Assumptions!#REF!</definedName>
    <definedName name="_FEU8" localSheetId="9">[1]Assumptions!#REF!</definedName>
    <definedName name="_FEU8" localSheetId="29">[1]Assumptions!#REF!</definedName>
    <definedName name="_FEU8" localSheetId="30">[1]Assumptions!#REF!</definedName>
    <definedName name="_FEU8" localSheetId="20">[1]Assumptions!#REF!</definedName>
    <definedName name="_FEU8" localSheetId="21">[1]Assumptions!#REF!</definedName>
    <definedName name="_FEU8" localSheetId="34">[1]Assumptions!#REF!</definedName>
    <definedName name="_FEU8" localSheetId="22">[1]Assumptions!#REF!</definedName>
    <definedName name="_FEU8" localSheetId="12">[1]Assumptions!#REF!</definedName>
    <definedName name="_FEU8" localSheetId="11">[1]Assumptions!#REF!</definedName>
    <definedName name="_FEU8" localSheetId="14">[1]Assumptions!#REF!</definedName>
    <definedName name="_FEU8" localSheetId="13">[1]Assumptions!#REF!</definedName>
    <definedName name="_FEU8" localSheetId="32">[1]Assumptions!#REF!</definedName>
    <definedName name="_FEU8" localSheetId="23">[1]Assumptions!#REF!</definedName>
    <definedName name="_FEU8">[1]Assumptions!#REF!</definedName>
    <definedName name="_hillside123" localSheetId="4">#REF!</definedName>
    <definedName name="_hillside123" localSheetId="3">#REF!</definedName>
    <definedName name="_hillside123" localSheetId="6">#REF!</definedName>
    <definedName name="_hillside123" localSheetId="5">#REF!</definedName>
    <definedName name="_hillside123" localSheetId="26">#REF!</definedName>
    <definedName name="_hillside123" localSheetId="17">#REF!</definedName>
    <definedName name="_hillside123" localSheetId="18">#REF!</definedName>
    <definedName name="_hillside123" localSheetId="28">#REF!</definedName>
    <definedName name="_hillside123" localSheetId="19">#REF!</definedName>
    <definedName name="_hillside123" localSheetId="8">#REF!</definedName>
    <definedName name="_hillside123" localSheetId="7">#REF!</definedName>
    <definedName name="_hillside123" localSheetId="10">#REF!</definedName>
    <definedName name="_hillside123" localSheetId="9">#REF!</definedName>
    <definedName name="_hillside123" localSheetId="29">#REF!</definedName>
    <definedName name="_hillside123" localSheetId="30">#REF!</definedName>
    <definedName name="_hillside123" localSheetId="20">#REF!</definedName>
    <definedName name="_hillside123" localSheetId="21">#REF!</definedName>
    <definedName name="_hillside123" localSheetId="34">#REF!</definedName>
    <definedName name="_hillside123" localSheetId="22">#REF!</definedName>
    <definedName name="_hillside123" localSheetId="12">#REF!</definedName>
    <definedName name="_hillside123" localSheetId="11">#REF!</definedName>
    <definedName name="_hillside123" localSheetId="14">#REF!</definedName>
    <definedName name="_hillside123" localSheetId="13">#REF!</definedName>
    <definedName name="_hillside123" localSheetId="32">#REF!</definedName>
    <definedName name="_hillside123" localSheetId="23">#REF!</definedName>
    <definedName name="_hillside123">#REF!</definedName>
    <definedName name="_klq6" localSheetId="4">#REF!</definedName>
    <definedName name="_klq6" localSheetId="3">#REF!</definedName>
    <definedName name="_klq6" localSheetId="6">#REF!</definedName>
    <definedName name="_klq6" localSheetId="5">#REF!</definedName>
    <definedName name="_klq6" localSheetId="26">#REF!</definedName>
    <definedName name="_klq6" localSheetId="17">#REF!</definedName>
    <definedName name="_klq6" localSheetId="18">#REF!</definedName>
    <definedName name="_klq6" localSheetId="28">#REF!</definedName>
    <definedName name="_klq6" localSheetId="19">#REF!</definedName>
    <definedName name="_klq6" localSheetId="8">#REF!</definedName>
    <definedName name="_klq6" localSheetId="7">#REF!</definedName>
    <definedName name="_klq6" localSheetId="10">#REF!</definedName>
    <definedName name="_klq6" localSheetId="9">#REF!</definedName>
    <definedName name="_klq6" localSheetId="29">#REF!</definedName>
    <definedName name="_klq6" localSheetId="30">#REF!</definedName>
    <definedName name="_klq6" localSheetId="20">#REF!</definedName>
    <definedName name="_klq6" localSheetId="21">#REF!</definedName>
    <definedName name="_klq6" localSheetId="34">#REF!</definedName>
    <definedName name="_klq6" localSheetId="22">#REF!</definedName>
    <definedName name="_klq6" localSheetId="12">#REF!</definedName>
    <definedName name="_klq6" localSheetId="11">#REF!</definedName>
    <definedName name="_klq6" localSheetId="14">#REF!</definedName>
    <definedName name="_klq6" localSheetId="13">#REF!</definedName>
    <definedName name="_klq6" localSheetId="32">#REF!</definedName>
    <definedName name="_klq6" localSheetId="23">#REF!</definedName>
    <definedName name="_klq6">#REF!</definedName>
    <definedName name="_kz6" localSheetId="4">#REF!</definedName>
    <definedName name="_kz6" localSheetId="3">#REF!</definedName>
    <definedName name="_kz6" localSheetId="6">#REF!</definedName>
    <definedName name="_kz6" localSheetId="5">#REF!</definedName>
    <definedName name="_kz6" localSheetId="26">#REF!</definedName>
    <definedName name="_kz6" localSheetId="17">#REF!</definedName>
    <definedName name="_kz6" localSheetId="18">#REF!</definedName>
    <definedName name="_kz6" localSheetId="28">#REF!</definedName>
    <definedName name="_kz6" localSheetId="19">#REF!</definedName>
    <definedName name="_kz6" localSheetId="8">#REF!</definedName>
    <definedName name="_kz6" localSheetId="7">#REF!</definedName>
    <definedName name="_kz6" localSheetId="10">#REF!</definedName>
    <definedName name="_kz6" localSheetId="9">#REF!</definedName>
    <definedName name="_kz6" localSheetId="29">#REF!</definedName>
    <definedName name="_kz6" localSheetId="30">#REF!</definedName>
    <definedName name="_kz6" localSheetId="20">#REF!</definedName>
    <definedName name="_kz6" localSheetId="21">#REF!</definedName>
    <definedName name="_kz6" localSheetId="34">#REF!</definedName>
    <definedName name="_kz6" localSheetId="22">#REF!</definedName>
    <definedName name="_kz6" localSheetId="12">#REF!</definedName>
    <definedName name="_kz6" localSheetId="11">#REF!</definedName>
    <definedName name="_kz6" localSheetId="14">#REF!</definedName>
    <definedName name="_kz6" localSheetId="13">#REF!</definedName>
    <definedName name="_kz6" localSheetId="32">#REF!</definedName>
    <definedName name="_kz6" localSheetId="23">#REF!</definedName>
    <definedName name="_kz6">#REF!</definedName>
    <definedName name="_OWNERSHIP" localSheetId="4">#REF!</definedName>
    <definedName name="_OWNERSHIP" localSheetId="3">#REF!</definedName>
    <definedName name="_OWNERSHIP" localSheetId="6">#REF!</definedName>
    <definedName name="_OWNERSHIP" localSheetId="5">#REF!</definedName>
    <definedName name="_OWNERSHIP" localSheetId="26">#REF!</definedName>
    <definedName name="_OWNERSHIP" localSheetId="17">#REF!</definedName>
    <definedName name="_OWNERSHIP" localSheetId="18">#REF!</definedName>
    <definedName name="_OWNERSHIP" localSheetId="28">#REF!</definedName>
    <definedName name="_OWNERSHIP" localSheetId="19">#REF!</definedName>
    <definedName name="_OWNERSHIP" localSheetId="8">#REF!</definedName>
    <definedName name="_OWNERSHIP" localSheetId="7">#REF!</definedName>
    <definedName name="_OWNERSHIP" localSheetId="10">#REF!</definedName>
    <definedName name="_OWNERSHIP" localSheetId="9">#REF!</definedName>
    <definedName name="_OWNERSHIP" localSheetId="29">#REF!</definedName>
    <definedName name="_OWNERSHIP" localSheetId="30">#REF!</definedName>
    <definedName name="_OWNERSHIP" localSheetId="20">#REF!</definedName>
    <definedName name="_OWNERSHIP" localSheetId="21">#REF!</definedName>
    <definedName name="_OWNERSHIP" localSheetId="34">#REF!</definedName>
    <definedName name="_OWNERSHIP" localSheetId="22">#REF!</definedName>
    <definedName name="_OWNERSHIP" localSheetId="12">#REF!</definedName>
    <definedName name="_OWNERSHIP" localSheetId="11">#REF!</definedName>
    <definedName name="_OWNERSHIP" localSheetId="14">#REF!</definedName>
    <definedName name="_OWNERSHIP" localSheetId="13">#REF!</definedName>
    <definedName name="_OWNERSHIP" localSheetId="32">#REF!</definedName>
    <definedName name="_OWNERSHIP" localSheetId="23">#REF!</definedName>
    <definedName name="_OWNERSHIP">#REF!</definedName>
    <definedName name="_SL101" localSheetId="4">#REF!</definedName>
    <definedName name="_SL101" localSheetId="3">#REF!</definedName>
    <definedName name="_SL101" localSheetId="6">#REF!</definedName>
    <definedName name="_SL101" localSheetId="5">#REF!</definedName>
    <definedName name="_SL101" localSheetId="26">#REF!</definedName>
    <definedName name="_SL101" localSheetId="17">#REF!</definedName>
    <definedName name="_SL101" localSheetId="18">#REF!</definedName>
    <definedName name="_SL101" localSheetId="28">#REF!</definedName>
    <definedName name="_SL101" localSheetId="19">#REF!</definedName>
    <definedName name="_SL101" localSheetId="8">#REF!</definedName>
    <definedName name="_SL101" localSheetId="7">#REF!</definedName>
    <definedName name="_SL101" localSheetId="10">#REF!</definedName>
    <definedName name="_SL101" localSheetId="9">#REF!</definedName>
    <definedName name="_SL101" localSheetId="29">#REF!</definedName>
    <definedName name="_SL101" localSheetId="30">#REF!</definedName>
    <definedName name="_SL101" localSheetId="20">#REF!</definedName>
    <definedName name="_SL101" localSheetId="21">#REF!</definedName>
    <definedName name="_SL101" localSheetId="34">#REF!</definedName>
    <definedName name="_SL101" localSheetId="22">#REF!</definedName>
    <definedName name="_SL101" localSheetId="12">#REF!</definedName>
    <definedName name="_SL101" localSheetId="11">#REF!</definedName>
    <definedName name="_SL101" localSheetId="14">#REF!</definedName>
    <definedName name="_SL101" localSheetId="13">#REF!</definedName>
    <definedName name="_SL101" localSheetId="32">#REF!</definedName>
    <definedName name="_SL101" localSheetId="23">#REF!</definedName>
    <definedName name="_SL101">#REF!</definedName>
    <definedName name="\" localSheetId="4">#REF!</definedName>
    <definedName name="\" localSheetId="3">#REF!</definedName>
    <definedName name="\" localSheetId="6">#REF!</definedName>
    <definedName name="\" localSheetId="5">#REF!</definedName>
    <definedName name="\" localSheetId="26">#REF!</definedName>
    <definedName name="\" localSheetId="17">#REF!</definedName>
    <definedName name="\" localSheetId="18">#REF!</definedName>
    <definedName name="\" localSheetId="28">#REF!</definedName>
    <definedName name="\" localSheetId="19">#REF!</definedName>
    <definedName name="\" localSheetId="8">#REF!</definedName>
    <definedName name="\" localSheetId="7">#REF!</definedName>
    <definedName name="\" localSheetId="10">#REF!</definedName>
    <definedName name="\" localSheetId="9">#REF!</definedName>
    <definedName name="\" localSheetId="29">#REF!</definedName>
    <definedName name="\" localSheetId="30">#REF!</definedName>
    <definedName name="\" localSheetId="20">#REF!</definedName>
    <definedName name="\" localSheetId="21">#REF!</definedName>
    <definedName name="\" localSheetId="34">#REF!</definedName>
    <definedName name="\" localSheetId="22">#REF!</definedName>
    <definedName name="\" localSheetId="12">#REF!</definedName>
    <definedName name="\" localSheetId="11">#REF!</definedName>
    <definedName name="\" localSheetId="14">#REF!</definedName>
    <definedName name="\" localSheetId="13">#REF!</definedName>
    <definedName name="\" localSheetId="32">#REF!</definedName>
    <definedName name="\" localSheetId="23">#REF!</definedName>
    <definedName name="\">#REF!</definedName>
    <definedName name="A" localSheetId="4">#REF!</definedName>
    <definedName name="A" localSheetId="3">#REF!</definedName>
    <definedName name="A" localSheetId="6">#REF!</definedName>
    <definedName name="A" localSheetId="5">#REF!</definedName>
    <definedName name="A" localSheetId="26">#REF!</definedName>
    <definedName name="A" localSheetId="17">#REF!</definedName>
    <definedName name="A" localSheetId="18">#REF!</definedName>
    <definedName name="A" localSheetId="28">#REF!</definedName>
    <definedName name="A" localSheetId="19">#REF!</definedName>
    <definedName name="A" localSheetId="8">#REF!</definedName>
    <definedName name="A" localSheetId="7">#REF!</definedName>
    <definedName name="A" localSheetId="10">#REF!</definedName>
    <definedName name="A" localSheetId="9">#REF!</definedName>
    <definedName name="A" localSheetId="29">#REF!</definedName>
    <definedName name="A" localSheetId="30">#REF!</definedName>
    <definedName name="A" localSheetId="20">#REF!</definedName>
    <definedName name="A" localSheetId="21">#REF!</definedName>
    <definedName name="A" localSheetId="34">#REF!</definedName>
    <definedName name="A" localSheetId="22">#REF!</definedName>
    <definedName name="A" localSheetId="12">#REF!</definedName>
    <definedName name="A" localSheetId="11">#REF!</definedName>
    <definedName name="A" localSheetId="14">#REF!</definedName>
    <definedName name="A" localSheetId="13">#REF!</definedName>
    <definedName name="A" localSheetId="32">#REF!</definedName>
    <definedName name="A" localSheetId="23">#REF!</definedName>
    <definedName name="A">#REF!</definedName>
    <definedName name="A_3" localSheetId="4">#REF!</definedName>
    <definedName name="A_3" localSheetId="3">#REF!</definedName>
    <definedName name="A_3" localSheetId="6">#REF!</definedName>
    <definedName name="A_3" localSheetId="5">#REF!</definedName>
    <definedName name="A_3" localSheetId="26">#REF!</definedName>
    <definedName name="A_3" localSheetId="17">#REF!</definedName>
    <definedName name="A_3" localSheetId="18">#REF!</definedName>
    <definedName name="A_3" localSheetId="28">#REF!</definedName>
    <definedName name="A_3" localSheetId="19">#REF!</definedName>
    <definedName name="A_3" localSheetId="8">#REF!</definedName>
    <definedName name="A_3" localSheetId="7">#REF!</definedName>
    <definedName name="A_3" localSheetId="10">#REF!</definedName>
    <definedName name="A_3" localSheetId="9">#REF!</definedName>
    <definedName name="A_3" localSheetId="29">#REF!</definedName>
    <definedName name="A_3" localSheetId="30">#REF!</definedName>
    <definedName name="A_3" localSheetId="20">#REF!</definedName>
    <definedName name="A_3" localSheetId="21">#REF!</definedName>
    <definedName name="A_3" localSheetId="34">#REF!</definedName>
    <definedName name="A_3" localSheetId="22">#REF!</definedName>
    <definedName name="A_3" localSheetId="12">#REF!</definedName>
    <definedName name="A_3" localSheetId="11">#REF!</definedName>
    <definedName name="A_3" localSheetId="14">#REF!</definedName>
    <definedName name="A_3" localSheetId="13">#REF!</definedName>
    <definedName name="A_3" localSheetId="32">#REF!</definedName>
    <definedName name="A_3" localSheetId="23">#REF!</definedName>
    <definedName name="A_3">#REF!</definedName>
    <definedName name="AdPromo">[2]Assumptions!$E$77</definedName>
    <definedName name="ALlan" localSheetId="4">#REF!</definedName>
    <definedName name="ALlan" localSheetId="3">#REF!</definedName>
    <definedName name="ALlan" localSheetId="6">#REF!</definedName>
    <definedName name="ALlan" localSheetId="5">#REF!</definedName>
    <definedName name="ALlan" localSheetId="26">#REF!</definedName>
    <definedName name="ALlan" localSheetId="17">#REF!</definedName>
    <definedName name="ALlan" localSheetId="18">#REF!</definedName>
    <definedName name="ALlan" localSheetId="28">#REF!</definedName>
    <definedName name="ALlan" localSheetId="19">#REF!</definedName>
    <definedName name="ALlan" localSheetId="8">#REF!</definedName>
    <definedName name="ALlan" localSheetId="7">#REF!</definedName>
    <definedName name="ALlan" localSheetId="10">#REF!</definedName>
    <definedName name="ALlan" localSheetId="9">#REF!</definedName>
    <definedName name="ALlan" localSheetId="29">#REF!</definedName>
    <definedName name="ALlan" localSheetId="30">#REF!</definedName>
    <definedName name="ALlan" localSheetId="20">#REF!</definedName>
    <definedName name="ALlan" localSheetId="21">#REF!</definedName>
    <definedName name="ALlan" localSheetId="34">#REF!</definedName>
    <definedName name="ALlan" localSheetId="22">#REF!</definedName>
    <definedName name="ALlan" localSheetId="12">#REF!</definedName>
    <definedName name="ALlan" localSheetId="11">#REF!</definedName>
    <definedName name="ALlan" localSheetId="14">#REF!</definedName>
    <definedName name="ALlan" localSheetId="13">#REF!</definedName>
    <definedName name="ALlan" localSheetId="32">#REF!</definedName>
    <definedName name="ALlan" localSheetId="23">#REF!</definedName>
    <definedName name="ALlan">#REF!</definedName>
    <definedName name="B" localSheetId="4">#REF!</definedName>
    <definedName name="B" localSheetId="3">#REF!</definedName>
    <definedName name="B" localSheetId="6">#REF!</definedName>
    <definedName name="B" localSheetId="26">#REF!</definedName>
    <definedName name="B" localSheetId="17">#REF!</definedName>
    <definedName name="B" localSheetId="18">#REF!</definedName>
    <definedName name="B" localSheetId="28">#REF!</definedName>
    <definedName name="B" localSheetId="19">#REF!</definedName>
    <definedName name="B" localSheetId="8">#REF!</definedName>
    <definedName name="B" localSheetId="7">#REF!</definedName>
    <definedName name="B" localSheetId="10">#REF!</definedName>
    <definedName name="B" localSheetId="9">#REF!</definedName>
    <definedName name="B" localSheetId="29">#REF!</definedName>
    <definedName name="B" localSheetId="30">#REF!</definedName>
    <definedName name="B" localSheetId="20">#REF!</definedName>
    <definedName name="B" localSheetId="21">#REF!</definedName>
    <definedName name="B" localSheetId="34">#REF!</definedName>
    <definedName name="B" localSheetId="22">#REF!</definedName>
    <definedName name="B" localSheetId="12">#REF!</definedName>
    <definedName name="B" localSheetId="11">#REF!</definedName>
    <definedName name="B" localSheetId="14">#REF!</definedName>
    <definedName name="B" localSheetId="13">#REF!</definedName>
    <definedName name="B" localSheetId="32">#REF!</definedName>
    <definedName name="B" localSheetId="23">#REF!</definedName>
    <definedName name="B">#REF!</definedName>
    <definedName name="BALA" localSheetId="4">[2]Assumptions!#REF!</definedName>
    <definedName name="BALA" localSheetId="3">[2]Assumptions!#REF!</definedName>
    <definedName name="BALA" localSheetId="6">[2]Assumptions!#REF!</definedName>
    <definedName name="BALA" localSheetId="5">[2]Assumptions!#REF!</definedName>
    <definedName name="BALA" localSheetId="26">[2]Assumptions!#REF!</definedName>
    <definedName name="BALA" localSheetId="17">[2]Assumptions!#REF!</definedName>
    <definedName name="BALA" localSheetId="18">[2]Assumptions!#REF!</definedName>
    <definedName name="BALA" localSheetId="28">[2]Assumptions!#REF!</definedName>
    <definedName name="BALA" localSheetId="19">[2]Assumptions!#REF!</definedName>
    <definedName name="BALA" localSheetId="8">[2]Assumptions!#REF!</definedName>
    <definedName name="BALA" localSheetId="7">[2]Assumptions!#REF!</definedName>
    <definedName name="BALA" localSheetId="10">[2]Assumptions!#REF!</definedName>
    <definedName name="BALA" localSheetId="9">[2]Assumptions!#REF!</definedName>
    <definedName name="BALA" localSheetId="29">[2]Assumptions!#REF!</definedName>
    <definedName name="BALA" localSheetId="30">[2]Assumptions!#REF!</definedName>
    <definedName name="BALA" localSheetId="20">[2]Assumptions!#REF!</definedName>
    <definedName name="BALA" localSheetId="21">[2]Assumptions!#REF!</definedName>
    <definedName name="BALA" localSheetId="34">[2]Assumptions!#REF!</definedName>
    <definedName name="BALA" localSheetId="22">[2]Assumptions!#REF!</definedName>
    <definedName name="BALA" localSheetId="12">[2]Assumptions!#REF!</definedName>
    <definedName name="BALA" localSheetId="11">[2]Assumptions!#REF!</definedName>
    <definedName name="BALA" localSheetId="14">[2]Assumptions!#REF!</definedName>
    <definedName name="BALA" localSheetId="13">[2]Assumptions!#REF!</definedName>
    <definedName name="BALA" localSheetId="32">[2]Assumptions!#REF!</definedName>
    <definedName name="BALA" localSheetId="23">[2]Assumptions!#REF!</definedName>
    <definedName name="BALA">[2]Assumptions!#REF!</definedName>
    <definedName name="BaseNPV" localSheetId="4">#REF!</definedName>
    <definedName name="BaseNPV" localSheetId="3">#REF!</definedName>
    <definedName name="BaseNPV" localSheetId="6">#REF!</definedName>
    <definedName name="BaseNPV" localSheetId="5">#REF!</definedName>
    <definedName name="BaseNPV" localSheetId="26">#REF!</definedName>
    <definedName name="BaseNPV" localSheetId="17">#REF!</definedName>
    <definedName name="BaseNPV" localSheetId="18">#REF!</definedName>
    <definedName name="BaseNPV" localSheetId="28">#REF!</definedName>
    <definedName name="BaseNPV" localSheetId="19">#REF!</definedName>
    <definedName name="BaseNPV" localSheetId="8">#REF!</definedName>
    <definedName name="BaseNPV" localSheetId="7">#REF!</definedName>
    <definedName name="BaseNPV" localSheetId="10">#REF!</definedName>
    <definedName name="BaseNPV" localSheetId="9">#REF!</definedName>
    <definedName name="BaseNPV" localSheetId="29">#REF!</definedName>
    <definedName name="BaseNPV" localSheetId="30">#REF!</definedName>
    <definedName name="BaseNPV" localSheetId="20">#REF!</definedName>
    <definedName name="BaseNPV" localSheetId="21">#REF!</definedName>
    <definedName name="BaseNPV" localSheetId="34">#REF!</definedName>
    <definedName name="BaseNPV" localSheetId="22">#REF!</definedName>
    <definedName name="BaseNPV" localSheetId="12">#REF!</definedName>
    <definedName name="BaseNPV" localSheetId="11">#REF!</definedName>
    <definedName name="BaseNPV" localSheetId="14">#REF!</definedName>
    <definedName name="BaseNPV" localSheetId="13">#REF!</definedName>
    <definedName name="BaseNPV" localSheetId="32">#REF!</definedName>
    <definedName name="BaseNPV" localSheetId="23">#REF!</definedName>
    <definedName name="BaseNPV">#REF!</definedName>
    <definedName name="BaseNPV_1" localSheetId="4">#REF!</definedName>
    <definedName name="BaseNPV_1" localSheetId="3">#REF!</definedName>
    <definedName name="BaseNPV_1" localSheetId="6">#REF!</definedName>
    <definedName name="BaseNPV_1" localSheetId="5">#REF!</definedName>
    <definedName name="BaseNPV_1" localSheetId="26">#REF!</definedName>
    <definedName name="BaseNPV_1" localSheetId="17">#REF!</definedName>
    <definedName name="BaseNPV_1" localSheetId="18">#REF!</definedName>
    <definedName name="BaseNPV_1" localSheetId="28">#REF!</definedName>
    <definedName name="BaseNPV_1" localSheetId="19">#REF!</definedName>
    <definedName name="BaseNPV_1" localSheetId="8">#REF!</definedName>
    <definedName name="BaseNPV_1" localSheetId="7">#REF!</definedName>
    <definedName name="BaseNPV_1" localSheetId="10">#REF!</definedName>
    <definedName name="BaseNPV_1" localSheetId="9">#REF!</definedName>
    <definedName name="BaseNPV_1" localSheetId="29">#REF!</definedName>
    <definedName name="BaseNPV_1" localSheetId="30">#REF!</definedName>
    <definedName name="BaseNPV_1" localSheetId="20">#REF!</definedName>
    <definedName name="BaseNPV_1" localSheetId="21">#REF!</definedName>
    <definedName name="BaseNPV_1" localSheetId="34">#REF!</definedName>
    <definedName name="BaseNPV_1" localSheetId="22">#REF!</definedName>
    <definedName name="BaseNPV_1" localSheetId="12">#REF!</definedName>
    <definedName name="BaseNPV_1" localSheetId="11">#REF!</definedName>
    <definedName name="BaseNPV_1" localSheetId="14">#REF!</definedName>
    <definedName name="BaseNPV_1" localSheetId="13">#REF!</definedName>
    <definedName name="BaseNPV_1" localSheetId="32">#REF!</definedName>
    <definedName name="BaseNPV_1" localSheetId="23">#REF!</definedName>
    <definedName name="BaseNPV_1">#REF!</definedName>
    <definedName name="blk_l0t" localSheetId="4">#REF!</definedName>
    <definedName name="blk_l0t" localSheetId="3">#REF!</definedName>
    <definedName name="blk_l0t" localSheetId="6">#REF!</definedName>
    <definedName name="blk_l0t" localSheetId="5">#REF!</definedName>
    <definedName name="blk_l0t" localSheetId="26">#REF!</definedName>
    <definedName name="blk_l0t" localSheetId="17">#REF!</definedName>
    <definedName name="blk_l0t" localSheetId="18">#REF!</definedName>
    <definedName name="blk_l0t" localSheetId="28">#REF!</definedName>
    <definedName name="blk_l0t" localSheetId="19">#REF!</definedName>
    <definedName name="blk_l0t" localSheetId="8">#REF!</definedName>
    <definedName name="blk_l0t" localSheetId="7">#REF!</definedName>
    <definedName name="blk_l0t" localSheetId="10">#REF!</definedName>
    <definedName name="blk_l0t" localSheetId="9">#REF!</definedName>
    <definedName name="blk_l0t" localSheetId="29">#REF!</definedName>
    <definedName name="blk_l0t" localSheetId="30">#REF!</definedName>
    <definedName name="blk_l0t" localSheetId="20">#REF!</definedName>
    <definedName name="blk_l0t" localSheetId="21">#REF!</definedName>
    <definedName name="blk_l0t" localSheetId="34">#REF!</definedName>
    <definedName name="blk_l0t" localSheetId="22">#REF!</definedName>
    <definedName name="blk_l0t" localSheetId="12">#REF!</definedName>
    <definedName name="blk_l0t" localSheetId="11">#REF!</definedName>
    <definedName name="blk_l0t" localSheetId="14">#REF!</definedName>
    <definedName name="blk_l0t" localSheetId="13">#REF!</definedName>
    <definedName name="blk_l0t" localSheetId="32">#REF!</definedName>
    <definedName name="blk_l0t" localSheetId="23">#REF!</definedName>
    <definedName name="blk_l0t">#REF!</definedName>
    <definedName name="case_current" localSheetId="4">#REF!</definedName>
    <definedName name="case_current" localSheetId="3">#REF!</definedName>
    <definedName name="case_current" localSheetId="6">#REF!</definedName>
    <definedName name="case_current" localSheetId="5">#REF!</definedName>
    <definedName name="case_current" localSheetId="26">#REF!</definedName>
    <definedName name="case_current" localSheetId="17">#REF!</definedName>
    <definedName name="case_current" localSheetId="18">#REF!</definedName>
    <definedName name="case_current" localSheetId="28">#REF!</definedName>
    <definedName name="case_current" localSheetId="19">#REF!</definedName>
    <definedName name="case_current" localSheetId="8">#REF!</definedName>
    <definedName name="case_current" localSheetId="7">#REF!</definedName>
    <definedName name="case_current" localSheetId="10">#REF!</definedName>
    <definedName name="case_current" localSheetId="9">#REF!</definedName>
    <definedName name="case_current" localSheetId="29">#REF!</definedName>
    <definedName name="case_current" localSheetId="30">#REF!</definedName>
    <definedName name="case_current" localSheetId="20">#REF!</definedName>
    <definedName name="case_current" localSheetId="21">#REF!</definedName>
    <definedName name="case_current" localSheetId="34">#REF!</definedName>
    <definedName name="case_current" localSheetId="22">#REF!</definedName>
    <definedName name="case_current" localSheetId="12">#REF!</definedName>
    <definedName name="case_current" localSheetId="11">#REF!</definedName>
    <definedName name="case_current" localSheetId="14">#REF!</definedName>
    <definedName name="case_current" localSheetId="13">#REF!</definedName>
    <definedName name="case_current" localSheetId="32">#REF!</definedName>
    <definedName name="case_current" localSheetId="23">#REF!</definedName>
    <definedName name="case_current">#REF!</definedName>
    <definedName name="case_current_1" localSheetId="4">#REF!</definedName>
    <definedName name="case_current_1" localSheetId="3">#REF!</definedName>
    <definedName name="case_current_1" localSheetId="6">#REF!</definedName>
    <definedName name="case_current_1" localSheetId="5">#REF!</definedName>
    <definedName name="case_current_1" localSheetId="26">#REF!</definedName>
    <definedName name="case_current_1" localSheetId="17">#REF!</definedName>
    <definedName name="case_current_1" localSheetId="18">#REF!</definedName>
    <definedName name="case_current_1" localSheetId="28">#REF!</definedName>
    <definedName name="case_current_1" localSheetId="19">#REF!</definedName>
    <definedName name="case_current_1" localSheetId="8">#REF!</definedName>
    <definedName name="case_current_1" localSheetId="7">#REF!</definedName>
    <definedName name="case_current_1" localSheetId="10">#REF!</definedName>
    <definedName name="case_current_1" localSheetId="9">#REF!</definedName>
    <definedName name="case_current_1" localSheetId="29">#REF!</definedName>
    <definedName name="case_current_1" localSheetId="30">#REF!</definedName>
    <definedName name="case_current_1" localSheetId="20">#REF!</definedName>
    <definedName name="case_current_1" localSheetId="21">#REF!</definedName>
    <definedName name="case_current_1" localSheetId="34">#REF!</definedName>
    <definedName name="case_current_1" localSheetId="22">#REF!</definedName>
    <definedName name="case_current_1" localSheetId="12">#REF!</definedName>
    <definedName name="case_current_1" localSheetId="11">#REF!</definedName>
    <definedName name="case_current_1" localSheetId="14">#REF!</definedName>
    <definedName name="case_current_1" localSheetId="13">#REF!</definedName>
    <definedName name="case_current_1" localSheetId="32">#REF!</definedName>
    <definedName name="case_current_1" localSheetId="23">#REF!</definedName>
    <definedName name="case_current_1">#REF!</definedName>
    <definedName name="CASE_kwje" localSheetId="4">#REF!</definedName>
    <definedName name="CASE_kwje" localSheetId="3">#REF!</definedName>
    <definedName name="CASE_kwje" localSheetId="6">#REF!</definedName>
    <definedName name="CASE_kwje" localSheetId="5">#REF!</definedName>
    <definedName name="CASE_kwje" localSheetId="26">#REF!</definedName>
    <definedName name="CASE_kwje" localSheetId="17">#REF!</definedName>
    <definedName name="CASE_kwje" localSheetId="18">#REF!</definedName>
    <definedName name="CASE_kwje" localSheetId="28">#REF!</definedName>
    <definedName name="CASE_kwje" localSheetId="19">#REF!</definedName>
    <definedName name="CASE_kwje" localSheetId="8">#REF!</definedName>
    <definedName name="CASE_kwje" localSheetId="7">#REF!</definedName>
    <definedName name="CASE_kwje" localSheetId="10">#REF!</definedName>
    <definedName name="CASE_kwje" localSheetId="9">#REF!</definedName>
    <definedName name="CASE_kwje" localSheetId="29">#REF!</definedName>
    <definedName name="CASE_kwje" localSheetId="30">#REF!</definedName>
    <definedName name="CASE_kwje" localSheetId="20">#REF!</definedName>
    <definedName name="CASE_kwje" localSheetId="21">#REF!</definedName>
    <definedName name="CASE_kwje" localSheetId="34">#REF!</definedName>
    <definedName name="CASE_kwje" localSheetId="22">#REF!</definedName>
    <definedName name="CASE_kwje" localSheetId="12">#REF!</definedName>
    <definedName name="CASE_kwje" localSheetId="11">#REF!</definedName>
    <definedName name="CASE_kwje" localSheetId="14">#REF!</definedName>
    <definedName name="CASE_kwje" localSheetId="13">#REF!</definedName>
    <definedName name="CASE_kwje" localSheetId="32">#REF!</definedName>
    <definedName name="CASE_kwje" localSheetId="23">#REF!</definedName>
    <definedName name="CASE_kwje">#REF!</definedName>
    <definedName name="case_max" localSheetId="4">#REF!</definedName>
    <definedName name="case_max" localSheetId="3">#REF!</definedName>
    <definedName name="case_max" localSheetId="6">#REF!</definedName>
    <definedName name="case_max" localSheetId="5">#REF!</definedName>
    <definedName name="case_max" localSheetId="26">#REF!</definedName>
    <definedName name="case_max" localSheetId="17">#REF!</definedName>
    <definedName name="case_max" localSheetId="18">#REF!</definedName>
    <definedName name="case_max" localSheetId="28">#REF!</definedName>
    <definedName name="case_max" localSheetId="19">#REF!</definedName>
    <definedName name="case_max" localSheetId="8">#REF!</definedName>
    <definedName name="case_max" localSheetId="7">#REF!</definedName>
    <definedName name="case_max" localSheetId="10">#REF!</definedName>
    <definedName name="case_max" localSheetId="9">#REF!</definedName>
    <definedName name="case_max" localSheetId="29">#REF!</definedName>
    <definedName name="case_max" localSheetId="30">#REF!</definedName>
    <definedName name="case_max" localSheetId="20">#REF!</definedName>
    <definedName name="case_max" localSheetId="21">#REF!</definedName>
    <definedName name="case_max" localSheetId="34">#REF!</definedName>
    <definedName name="case_max" localSheetId="22">#REF!</definedName>
    <definedName name="case_max" localSheetId="12">#REF!</definedName>
    <definedName name="case_max" localSheetId="11">#REF!</definedName>
    <definedName name="case_max" localSheetId="14">#REF!</definedName>
    <definedName name="case_max" localSheetId="13">#REF!</definedName>
    <definedName name="case_max" localSheetId="32">#REF!</definedName>
    <definedName name="case_max" localSheetId="23">#REF!</definedName>
    <definedName name="case_max">#REF!</definedName>
    <definedName name="case_max_1" localSheetId="4">#REF!</definedName>
    <definedName name="case_max_1" localSheetId="3">#REF!</definedName>
    <definedName name="case_max_1" localSheetId="6">#REF!</definedName>
    <definedName name="case_max_1" localSheetId="5">#REF!</definedName>
    <definedName name="case_max_1" localSheetId="26">#REF!</definedName>
    <definedName name="case_max_1" localSheetId="17">#REF!</definedName>
    <definedName name="case_max_1" localSheetId="18">#REF!</definedName>
    <definedName name="case_max_1" localSheetId="28">#REF!</definedName>
    <definedName name="case_max_1" localSheetId="19">#REF!</definedName>
    <definedName name="case_max_1" localSheetId="8">#REF!</definedName>
    <definedName name="case_max_1" localSheetId="7">#REF!</definedName>
    <definedName name="case_max_1" localSheetId="10">#REF!</definedName>
    <definedName name="case_max_1" localSheetId="9">#REF!</definedName>
    <definedName name="case_max_1" localSheetId="29">#REF!</definedName>
    <definedName name="case_max_1" localSheetId="30">#REF!</definedName>
    <definedName name="case_max_1" localSheetId="20">#REF!</definedName>
    <definedName name="case_max_1" localSheetId="21">#REF!</definedName>
    <definedName name="case_max_1" localSheetId="34">#REF!</definedName>
    <definedName name="case_max_1" localSheetId="22">#REF!</definedName>
    <definedName name="case_max_1" localSheetId="12">#REF!</definedName>
    <definedName name="case_max_1" localSheetId="11">#REF!</definedName>
    <definedName name="case_max_1" localSheetId="14">#REF!</definedName>
    <definedName name="case_max_1" localSheetId="13">#REF!</definedName>
    <definedName name="case_max_1" localSheetId="32">#REF!</definedName>
    <definedName name="case_max_1" localSheetId="23">#REF!</definedName>
    <definedName name="case_max_1">#REF!</definedName>
    <definedName name="case_min" localSheetId="4">#REF!</definedName>
    <definedName name="case_min" localSheetId="3">#REF!</definedName>
    <definedName name="case_min" localSheetId="6">#REF!</definedName>
    <definedName name="case_min" localSheetId="5">#REF!</definedName>
    <definedName name="case_min" localSheetId="26">#REF!</definedName>
    <definedName name="case_min" localSheetId="17">#REF!</definedName>
    <definedName name="case_min" localSheetId="18">#REF!</definedName>
    <definedName name="case_min" localSheetId="28">#REF!</definedName>
    <definedName name="case_min" localSheetId="19">#REF!</definedName>
    <definedName name="case_min" localSheetId="8">#REF!</definedName>
    <definedName name="case_min" localSheetId="7">#REF!</definedName>
    <definedName name="case_min" localSheetId="10">#REF!</definedName>
    <definedName name="case_min" localSheetId="9">#REF!</definedName>
    <definedName name="case_min" localSheetId="29">#REF!</definedName>
    <definedName name="case_min" localSheetId="30">#REF!</definedName>
    <definedName name="case_min" localSheetId="20">#REF!</definedName>
    <definedName name="case_min" localSheetId="21">#REF!</definedName>
    <definedName name="case_min" localSheetId="34">#REF!</definedName>
    <definedName name="case_min" localSheetId="22">#REF!</definedName>
    <definedName name="case_min" localSheetId="12">#REF!</definedName>
    <definedName name="case_min" localSheetId="11">#REF!</definedName>
    <definedName name="case_min" localSheetId="14">#REF!</definedName>
    <definedName name="case_min" localSheetId="13">#REF!</definedName>
    <definedName name="case_min" localSheetId="32">#REF!</definedName>
    <definedName name="case_min" localSheetId="23">#REF!</definedName>
    <definedName name="case_min">#REF!</definedName>
    <definedName name="case_min_1" localSheetId="4">#REF!</definedName>
    <definedName name="case_min_1" localSheetId="3">#REF!</definedName>
    <definedName name="case_min_1" localSheetId="6">#REF!</definedName>
    <definedName name="case_min_1" localSheetId="5">#REF!</definedName>
    <definedName name="case_min_1" localSheetId="26">#REF!</definedName>
    <definedName name="case_min_1" localSheetId="17">#REF!</definedName>
    <definedName name="case_min_1" localSheetId="18">#REF!</definedName>
    <definedName name="case_min_1" localSheetId="28">#REF!</definedName>
    <definedName name="case_min_1" localSheetId="19">#REF!</definedName>
    <definedName name="case_min_1" localSheetId="8">#REF!</definedName>
    <definedName name="case_min_1" localSheetId="7">#REF!</definedName>
    <definedName name="case_min_1" localSheetId="10">#REF!</definedName>
    <definedName name="case_min_1" localSheetId="9">#REF!</definedName>
    <definedName name="case_min_1" localSheetId="29">#REF!</definedName>
    <definedName name="case_min_1" localSheetId="30">#REF!</definedName>
    <definedName name="case_min_1" localSheetId="20">#REF!</definedName>
    <definedName name="case_min_1" localSheetId="21">#REF!</definedName>
    <definedName name="case_min_1" localSheetId="34">#REF!</definedName>
    <definedName name="case_min_1" localSheetId="22">#REF!</definedName>
    <definedName name="case_min_1" localSheetId="12">#REF!</definedName>
    <definedName name="case_min_1" localSheetId="11">#REF!</definedName>
    <definedName name="case_min_1" localSheetId="14">#REF!</definedName>
    <definedName name="case_min_1" localSheetId="13">#REF!</definedName>
    <definedName name="case_min_1" localSheetId="32">#REF!</definedName>
    <definedName name="case_min_1" localSheetId="23">#REF!</definedName>
    <definedName name="case_min_1">#REF!</definedName>
    <definedName name="case_row" localSheetId="4">#REF!</definedName>
    <definedName name="case_row" localSheetId="3">#REF!</definedName>
    <definedName name="case_row" localSheetId="6">#REF!</definedName>
    <definedName name="case_row" localSheetId="5">#REF!</definedName>
    <definedName name="case_row" localSheetId="26">#REF!</definedName>
    <definedName name="case_row" localSheetId="17">#REF!</definedName>
    <definedName name="case_row" localSheetId="18">#REF!</definedName>
    <definedName name="case_row" localSheetId="28">#REF!</definedName>
    <definedName name="case_row" localSheetId="19">#REF!</definedName>
    <definedName name="case_row" localSheetId="8">#REF!</definedName>
    <definedName name="case_row" localSheetId="7">#REF!</definedName>
    <definedName name="case_row" localSheetId="10">#REF!</definedName>
    <definedName name="case_row" localSheetId="9">#REF!</definedName>
    <definedName name="case_row" localSheetId="29">#REF!</definedName>
    <definedName name="case_row" localSheetId="30">#REF!</definedName>
    <definedName name="case_row" localSheetId="20">#REF!</definedName>
    <definedName name="case_row" localSheetId="21">#REF!</definedName>
    <definedName name="case_row" localSheetId="34">#REF!</definedName>
    <definedName name="case_row" localSheetId="22">#REF!</definedName>
    <definedName name="case_row" localSheetId="12">#REF!</definedName>
    <definedName name="case_row" localSheetId="11">#REF!</definedName>
    <definedName name="case_row" localSheetId="14">#REF!</definedName>
    <definedName name="case_row" localSheetId="13">#REF!</definedName>
    <definedName name="case_row" localSheetId="32">#REF!</definedName>
    <definedName name="case_row" localSheetId="23">#REF!</definedName>
    <definedName name="case_row">#REF!</definedName>
    <definedName name="case_row_1" localSheetId="4">#REF!</definedName>
    <definedName name="case_row_1" localSheetId="3">#REF!</definedName>
    <definedName name="case_row_1" localSheetId="6">#REF!</definedName>
    <definedName name="case_row_1" localSheetId="5">#REF!</definedName>
    <definedName name="case_row_1" localSheetId="26">#REF!</definedName>
    <definedName name="case_row_1" localSheetId="17">#REF!</definedName>
    <definedName name="case_row_1" localSheetId="18">#REF!</definedName>
    <definedName name="case_row_1" localSheetId="28">#REF!</definedName>
    <definedName name="case_row_1" localSheetId="19">#REF!</definedName>
    <definedName name="case_row_1" localSheetId="8">#REF!</definedName>
    <definedName name="case_row_1" localSheetId="7">#REF!</definedName>
    <definedName name="case_row_1" localSheetId="10">#REF!</definedName>
    <definedName name="case_row_1" localSheetId="9">#REF!</definedName>
    <definedName name="case_row_1" localSheetId="29">#REF!</definedName>
    <definedName name="case_row_1" localSheetId="30">#REF!</definedName>
    <definedName name="case_row_1" localSheetId="20">#REF!</definedName>
    <definedName name="case_row_1" localSheetId="21">#REF!</definedName>
    <definedName name="case_row_1" localSheetId="34">#REF!</definedName>
    <definedName name="case_row_1" localSheetId="22">#REF!</definedName>
    <definedName name="case_row_1" localSheetId="12">#REF!</definedName>
    <definedName name="case_row_1" localSheetId="11">#REF!</definedName>
    <definedName name="case_row_1" localSheetId="14">#REF!</definedName>
    <definedName name="case_row_1" localSheetId="13">#REF!</definedName>
    <definedName name="case_row_1" localSheetId="32">#REF!</definedName>
    <definedName name="case_row_1" localSheetId="23">#REF!</definedName>
    <definedName name="case_row_1">#REF!</definedName>
    <definedName name="case_rowmax" localSheetId="4">#REF!</definedName>
    <definedName name="case_rowmax" localSheetId="3">#REF!</definedName>
    <definedName name="case_rowmax" localSheetId="6">#REF!</definedName>
    <definedName name="case_rowmax" localSheetId="5">#REF!</definedName>
    <definedName name="case_rowmax" localSheetId="26">#REF!</definedName>
    <definedName name="case_rowmax" localSheetId="17">#REF!</definedName>
    <definedName name="case_rowmax" localSheetId="18">#REF!</definedName>
    <definedName name="case_rowmax" localSheetId="28">#REF!</definedName>
    <definedName name="case_rowmax" localSheetId="19">#REF!</definedName>
    <definedName name="case_rowmax" localSheetId="8">#REF!</definedName>
    <definedName name="case_rowmax" localSheetId="7">#REF!</definedName>
    <definedName name="case_rowmax" localSheetId="10">#REF!</definedName>
    <definedName name="case_rowmax" localSheetId="9">#REF!</definedName>
    <definedName name="case_rowmax" localSheetId="29">#REF!</definedName>
    <definedName name="case_rowmax" localSheetId="30">#REF!</definedName>
    <definedName name="case_rowmax" localSheetId="20">#REF!</definedName>
    <definedName name="case_rowmax" localSheetId="21">#REF!</definedName>
    <definedName name="case_rowmax" localSheetId="34">#REF!</definedName>
    <definedName name="case_rowmax" localSheetId="22">#REF!</definedName>
    <definedName name="case_rowmax" localSheetId="12">#REF!</definedName>
    <definedName name="case_rowmax" localSheetId="11">#REF!</definedName>
    <definedName name="case_rowmax" localSheetId="14">#REF!</definedName>
    <definedName name="case_rowmax" localSheetId="13">#REF!</definedName>
    <definedName name="case_rowmax" localSheetId="32">#REF!</definedName>
    <definedName name="case_rowmax" localSheetId="23">#REF!</definedName>
    <definedName name="case_rowmax">#REF!</definedName>
    <definedName name="case_rowmax_1" localSheetId="4">#REF!</definedName>
    <definedName name="case_rowmax_1" localSheetId="3">#REF!</definedName>
    <definedName name="case_rowmax_1" localSheetId="6">#REF!</definedName>
    <definedName name="case_rowmax_1" localSheetId="5">#REF!</definedName>
    <definedName name="case_rowmax_1" localSheetId="26">#REF!</definedName>
    <definedName name="case_rowmax_1" localSheetId="17">#REF!</definedName>
    <definedName name="case_rowmax_1" localSheetId="18">#REF!</definedName>
    <definedName name="case_rowmax_1" localSheetId="28">#REF!</definedName>
    <definedName name="case_rowmax_1" localSheetId="19">#REF!</definedName>
    <definedName name="case_rowmax_1" localSheetId="8">#REF!</definedName>
    <definedName name="case_rowmax_1" localSheetId="7">#REF!</definedName>
    <definedName name="case_rowmax_1" localSheetId="10">#REF!</definedName>
    <definedName name="case_rowmax_1" localSheetId="9">#REF!</definedName>
    <definedName name="case_rowmax_1" localSheetId="29">#REF!</definedName>
    <definedName name="case_rowmax_1" localSheetId="30">#REF!</definedName>
    <definedName name="case_rowmax_1" localSheetId="20">#REF!</definedName>
    <definedName name="case_rowmax_1" localSheetId="21">#REF!</definedName>
    <definedName name="case_rowmax_1" localSheetId="34">#REF!</definedName>
    <definedName name="case_rowmax_1" localSheetId="22">#REF!</definedName>
    <definedName name="case_rowmax_1" localSheetId="12">#REF!</definedName>
    <definedName name="case_rowmax_1" localSheetId="11">#REF!</definedName>
    <definedName name="case_rowmax_1" localSheetId="14">#REF!</definedName>
    <definedName name="case_rowmax_1" localSheetId="13">#REF!</definedName>
    <definedName name="case_rowmax_1" localSheetId="32">#REF!</definedName>
    <definedName name="case_rowmax_1" localSheetId="23">#REF!</definedName>
    <definedName name="case_rowmax_1">#REF!</definedName>
    <definedName name="case_rowmin" localSheetId="4">#REF!</definedName>
    <definedName name="case_rowmin" localSheetId="3">#REF!</definedName>
    <definedName name="case_rowmin" localSheetId="6">#REF!</definedName>
    <definedName name="case_rowmin" localSheetId="5">#REF!</definedName>
    <definedName name="case_rowmin" localSheetId="26">#REF!</definedName>
    <definedName name="case_rowmin" localSheetId="17">#REF!</definedName>
    <definedName name="case_rowmin" localSheetId="18">#REF!</definedName>
    <definedName name="case_rowmin" localSheetId="28">#REF!</definedName>
    <definedName name="case_rowmin" localSheetId="19">#REF!</definedName>
    <definedName name="case_rowmin" localSheetId="8">#REF!</definedName>
    <definedName name="case_rowmin" localSheetId="7">#REF!</definedName>
    <definedName name="case_rowmin" localSheetId="10">#REF!</definedName>
    <definedName name="case_rowmin" localSheetId="9">#REF!</definedName>
    <definedName name="case_rowmin" localSheetId="29">#REF!</definedName>
    <definedName name="case_rowmin" localSheetId="30">#REF!</definedName>
    <definedName name="case_rowmin" localSheetId="20">#REF!</definedName>
    <definedName name="case_rowmin" localSheetId="21">#REF!</definedName>
    <definedName name="case_rowmin" localSheetId="34">#REF!</definedName>
    <definedName name="case_rowmin" localSheetId="22">#REF!</definedName>
    <definedName name="case_rowmin" localSheetId="12">#REF!</definedName>
    <definedName name="case_rowmin" localSheetId="11">#REF!</definedName>
    <definedName name="case_rowmin" localSheetId="14">#REF!</definedName>
    <definedName name="case_rowmin" localSheetId="13">#REF!</definedName>
    <definedName name="case_rowmin" localSheetId="32">#REF!</definedName>
    <definedName name="case_rowmin" localSheetId="23">#REF!</definedName>
    <definedName name="case_rowmin">#REF!</definedName>
    <definedName name="case_rowmin_1" localSheetId="4">#REF!</definedName>
    <definedName name="case_rowmin_1" localSheetId="3">#REF!</definedName>
    <definedName name="case_rowmin_1" localSheetId="6">#REF!</definedName>
    <definedName name="case_rowmin_1" localSheetId="5">#REF!</definedName>
    <definedName name="case_rowmin_1" localSheetId="26">#REF!</definedName>
    <definedName name="case_rowmin_1" localSheetId="17">#REF!</definedName>
    <definedName name="case_rowmin_1" localSheetId="18">#REF!</definedName>
    <definedName name="case_rowmin_1" localSheetId="28">#REF!</definedName>
    <definedName name="case_rowmin_1" localSheetId="19">#REF!</definedName>
    <definedName name="case_rowmin_1" localSheetId="8">#REF!</definedName>
    <definedName name="case_rowmin_1" localSheetId="7">#REF!</definedName>
    <definedName name="case_rowmin_1" localSheetId="10">#REF!</definedName>
    <definedName name="case_rowmin_1" localSheetId="9">#REF!</definedName>
    <definedName name="case_rowmin_1" localSheetId="29">#REF!</definedName>
    <definedName name="case_rowmin_1" localSheetId="30">#REF!</definedName>
    <definedName name="case_rowmin_1" localSheetId="20">#REF!</definedName>
    <definedName name="case_rowmin_1" localSheetId="21">#REF!</definedName>
    <definedName name="case_rowmin_1" localSheetId="34">#REF!</definedName>
    <definedName name="case_rowmin_1" localSheetId="22">#REF!</definedName>
    <definedName name="case_rowmin_1" localSheetId="12">#REF!</definedName>
    <definedName name="case_rowmin_1" localSheetId="11">#REF!</definedName>
    <definedName name="case_rowmin_1" localSheetId="14">#REF!</definedName>
    <definedName name="case_rowmin_1" localSheetId="13">#REF!</definedName>
    <definedName name="case_rowmin_1" localSheetId="32">#REF!</definedName>
    <definedName name="case_rowmin_1" localSheetId="23">#REF!</definedName>
    <definedName name="case_rowmin_1">#REF!</definedName>
    <definedName name="CashAdvance" localSheetId="4">[3]Assumptions!#REF!</definedName>
    <definedName name="CashAdvance" localSheetId="3">[3]Assumptions!#REF!</definedName>
    <definedName name="CashAdvance" localSheetId="6">[3]Assumptions!#REF!</definedName>
    <definedName name="CashAdvance" localSheetId="5">[3]Assumptions!#REF!</definedName>
    <definedName name="CashAdvance" localSheetId="26">[3]Assumptions!#REF!</definedName>
    <definedName name="CashAdvance" localSheetId="17">[3]Assumptions!#REF!</definedName>
    <definedName name="CashAdvance" localSheetId="18">[3]Assumptions!#REF!</definedName>
    <definedName name="CashAdvance" localSheetId="28">[3]Assumptions!#REF!</definedName>
    <definedName name="CashAdvance" localSheetId="19">[3]Assumptions!#REF!</definedName>
    <definedName name="CashAdvance" localSheetId="8">[3]Assumptions!#REF!</definedName>
    <definedName name="CashAdvance" localSheetId="7">[3]Assumptions!#REF!</definedName>
    <definedName name="CashAdvance" localSheetId="10">[3]Assumptions!#REF!</definedName>
    <definedName name="CashAdvance" localSheetId="9">[3]Assumptions!#REF!</definedName>
    <definedName name="CashAdvance" localSheetId="29">[3]Assumptions!#REF!</definedName>
    <definedName name="CashAdvance" localSheetId="30">[3]Assumptions!#REF!</definedName>
    <definedName name="CashAdvance" localSheetId="20">[3]Assumptions!#REF!</definedName>
    <definedName name="CashAdvance" localSheetId="21">[3]Assumptions!#REF!</definedName>
    <definedName name="CashAdvance" localSheetId="34">[3]Assumptions!#REF!</definedName>
    <definedName name="CashAdvance" localSheetId="22">[3]Assumptions!#REF!</definedName>
    <definedName name="CashAdvance" localSheetId="12">[3]Assumptions!#REF!</definedName>
    <definedName name="CashAdvance" localSheetId="11">[3]Assumptions!#REF!</definedName>
    <definedName name="CashAdvance" localSheetId="14">[3]Assumptions!#REF!</definedName>
    <definedName name="CashAdvance" localSheetId="13">[3]Assumptions!#REF!</definedName>
    <definedName name="CashAdvance" localSheetId="32">[3]Assumptions!#REF!</definedName>
    <definedName name="CashAdvance" localSheetId="23">[3]Assumptions!#REF!</definedName>
    <definedName name="CashAdvance">[3]Assumptions!#REF!</definedName>
    <definedName name="cmiercjrice_7" localSheetId="4">#REF!</definedName>
    <definedName name="cmiercjrice_7" localSheetId="3">#REF!</definedName>
    <definedName name="cmiercjrice_7" localSheetId="6">#REF!</definedName>
    <definedName name="cmiercjrice_7" localSheetId="5">#REF!</definedName>
    <definedName name="cmiercjrice_7" localSheetId="26">#REF!</definedName>
    <definedName name="cmiercjrice_7" localSheetId="17">#REF!</definedName>
    <definedName name="cmiercjrice_7" localSheetId="18">#REF!</definedName>
    <definedName name="cmiercjrice_7" localSheetId="28">#REF!</definedName>
    <definedName name="cmiercjrice_7" localSheetId="19">#REF!</definedName>
    <definedName name="cmiercjrice_7" localSheetId="8">#REF!</definedName>
    <definedName name="cmiercjrice_7" localSheetId="7">#REF!</definedName>
    <definedName name="cmiercjrice_7" localSheetId="10">#REF!</definedName>
    <definedName name="cmiercjrice_7" localSheetId="9">#REF!</definedName>
    <definedName name="cmiercjrice_7" localSheetId="29">#REF!</definedName>
    <definedName name="cmiercjrice_7" localSheetId="30">#REF!</definedName>
    <definedName name="cmiercjrice_7" localSheetId="20">#REF!</definedName>
    <definedName name="cmiercjrice_7" localSheetId="21">#REF!</definedName>
    <definedName name="cmiercjrice_7" localSheetId="34">#REF!</definedName>
    <definedName name="cmiercjrice_7" localSheetId="22">#REF!</definedName>
    <definedName name="cmiercjrice_7" localSheetId="12">#REF!</definedName>
    <definedName name="cmiercjrice_7" localSheetId="11">#REF!</definedName>
    <definedName name="cmiercjrice_7" localSheetId="14">#REF!</definedName>
    <definedName name="cmiercjrice_7" localSheetId="13">#REF!</definedName>
    <definedName name="cmiercjrice_7" localSheetId="32">#REF!</definedName>
    <definedName name="cmiercjrice_7" localSheetId="23">#REF!</definedName>
    <definedName name="cmiercjrice_7">#REF!</definedName>
    <definedName name="CX" localSheetId="4">#REF!</definedName>
    <definedName name="CX" localSheetId="3">#REF!</definedName>
    <definedName name="CX" localSheetId="6">#REF!</definedName>
    <definedName name="CX" localSheetId="5">#REF!</definedName>
    <definedName name="CX" localSheetId="26">#REF!</definedName>
    <definedName name="CX" localSheetId="17">#REF!</definedName>
    <definedName name="CX" localSheetId="18">#REF!</definedName>
    <definedName name="CX" localSheetId="28">#REF!</definedName>
    <definedName name="CX" localSheetId="19">#REF!</definedName>
    <definedName name="CX" localSheetId="8">#REF!</definedName>
    <definedName name="CX" localSheetId="7">#REF!</definedName>
    <definedName name="CX" localSheetId="10">#REF!</definedName>
    <definedName name="CX" localSheetId="9">#REF!</definedName>
    <definedName name="CX" localSheetId="29">#REF!</definedName>
    <definedName name="CX" localSheetId="30">#REF!</definedName>
    <definedName name="CX" localSheetId="20">#REF!</definedName>
    <definedName name="CX" localSheetId="21">#REF!</definedName>
    <definedName name="CX" localSheetId="34">#REF!</definedName>
    <definedName name="CX" localSheetId="22">#REF!</definedName>
    <definedName name="CX" localSheetId="12">#REF!</definedName>
    <definedName name="CX" localSheetId="11">#REF!</definedName>
    <definedName name="CX" localSheetId="14">#REF!</definedName>
    <definedName name="CX" localSheetId="13">#REF!</definedName>
    <definedName name="CX" localSheetId="32">#REF!</definedName>
    <definedName name="CX" localSheetId="23">#REF!</definedName>
    <definedName name="CX">#REF!</definedName>
    <definedName name="D" localSheetId="4">#REF!</definedName>
    <definedName name="D" localSheetId="3">#REF!</definedName>
    <definedName name="D" localSheetId="6">#REF!</definedName>
    <definedName name="D" localSheetId="5">#REF!</definedName>
    <definedName name="D" localSheetId="26">#REF!</definedName>
    <definedName name="D" localSheetId="17">#REF!</definedName>
    <definedName name="D" localSheetId="18">#REF!</definedName>
    <definedName name="D" localSheetId="28">#REF!</definedName>
    <definedName name="D" localSheetId="19">#REF!</definedName>
    <definedName name="D" localSheetId="8">#REF!</definedName>
    <definedName name="D" localSheetId="7">#REF!</definedName>
    <definedName name="D" localSheetId="10">#REF!</definedName>
    <definedName name="D" localSheetId="9">#REF!</definedName>
    <definedName name="D" localSheetId="29">#REF!</definedName>
    <definedName name="D" localSheetId="30">#REF!</definedName>
    <definedName name="D" localSheetId="20">#REF!</definedName>
    <definedName name="D" localSheetId="21">#REF!</definedName>
    <definedName name="D" localSheetId="34">#REF!</definedName>
    <definedName name="D" localSheetId="22">#REF!</definedName>
    <definedName name="D" localSheetId="12">#REF!</definedName>
    <definedName name="D" localSheetId="11">#REF!</definedName>
    <definedName name="D" localSheetId="14">#REF!</definedName>
    <definedName name="D" localSheetId="13">#REF!</definedName>
    <definedName name="D" localSheetId="32">#REF!</definedName>
    <definedName name="D" localSheetId="23">#REF!</definedName>
    <definedName name="D">#REF!</definedName>
    <definedName name="data">[4]data!$B$2:$AH$790</definedName>
    <definedName name="DeliverBag" localSheetId="4">[3]Assumptions!#REF!</definedName>
    <definedName name="DeliverBag" localSheetId="3">[3]Assumptions!#REF!</definedName>
    <definedName name="DeliverBag" localSheetId="6">[3]Assumptions!#REF!</definedName>
    <definedName name="DeliverBag" localSheetId="5">[3]Assumptions!#REF!</definedName>
    <definedName name="DeliverBag" localSheetId="26">[3]Assumptions!#REF!</definedName>
    <definedName name="DeliverBag" localSheetId="17">[3]Assumptions!#REF!</definedName>
    <definedName name="DeliverBag" localSheetId="18">[3]Assumptions!#REF!</definedName>
    <definedName name="DeliverBag" localSheetId="28">[3]Assumptions!#REF!</definedName>
    <definedName name="DeliverBag" localSheetId="19">[3]Assumptions!#REF!</definedName>
    <definedName name="DeliverBag" localSheetId="8">[3]Assumptions!#REF!</definedName>
    <definedName name="DeliverBag" localSheetId="7">[3]Assumptions!#REF!</definedName>
    <definedName name="DeliverBag" localSheetId="10">[3]Assumptions!#REF!</definedName>
    <definedName name="DeliverBag" localSheetId="9">[3]Assumptions!#REF!</definedName>
    <definedName name="DeliverBag" localSheetId="29">[3]Assumptions!#REF!</definedName>
    <definedName name="DeliverBag" localSheetId="30">[3]Assumptions!#REF!</definedName>
    <definedName name="DeliverBag" localSheetId="20">[3]Assumptions!#REF!</definedName>
    <definedName name="DeliverBag" localSheetId="21">[3]Assumptions!#REF!</definedName>
    <definedName name="DeliverBag" localSheetId="34">[3]Assumptions!#REF!</definedName>
    <definedName name="DeliverBag" localSheetId="22">[3]Assumptions!#REF!</definedName>
    <definedName name="DeliverBag" localSheetId="12">[3]Assumptions!#REF!</definedName>
    <definedName name="DeliverBag" localSheetId="11">[3]Assumptions!#REF!</definedName>
    <definedName name="DeliverBag" localSheetId="14">[3]Assumptions!#REF!</definedName>
    <definedName name="DeliverBag" localSheetId="13">[3]Assumptions!#REF!</definedName>
    <definedName name="DeliverBag" localSheetId="32">[3]Assumptions!#REF!</definedName>
    <definedName name="DeliverBag" localSheetId="23">[3]Assumptions!#REF!</definedName>
    <definedName name="DeliverBag">[3]Assumptions!#REF!</definedName>
    <definedName name="DevCost">[2]Assumptions!$F$68</definedName>
    <definedName name="diana" localSheetId="4">#REF!</definedName>
    <definedName name="diana" localSheetId="3">#REF!</definedName>
    <definedName name="diana" localSheetId="6">#REF!</definedName>
    <definedName name="diana" localSheetId="5">#REF!</definedName>
    <definedName name="diana" localSheetId="26">#REF!</definedName>
    <definedName name="diana" localSheetId="17">#REF!</definedName>
    <definedName name="diana" localSheetId="18">#REF!</definedName>
    <definedName name="diana" localSheetId="28">#REF!</definedName>
    <definedName name="diana" localSheetId="19">#REF!</definedName>
    <definedName name="diana" localSheetId="8">#REF!</definedName>
    <definedName name="diana" localSheetId="7">#REF!</definedName>
    <definedName name="diana" localSheetId="10">#REF!</definedName>
    <definedName name="diana" localSheetId="9">#REF!</definedName>
    <definedName name="diana" localSheetId="29">#REF!</definedName>
    <definedName name="diana" localSheetId="30">#REF!</definedName>
    <definedName name="diana" localSheetId="20">#REF!</definedName>
    <definedName name="diana" localSheetId="21">#REF!</definedName>
    <definedName name="diana" localSheetId="34">#REF!</definedName>
    <definedName name="diana" localSheetId="22">#REF!</definedName>
    <definedName name="diana" localSheetId="12">#REF!</definedName>
    <definedName name="diana" localSheetId="11">#REF!</definedName>
    <definedName name="diana" localSheetId="14">#REF!</definedName>
    <definedName name="diana" localSheetId="13">#REF!</definedName>
    <definedName name="diana" localSheetId="32">#REF!</definedName>
    <definedName name="diana" localSheetId="23">#REF!</definedName>
    <definedName name="diana">#REF!</definedName>
    <definedName name="dianaLicop0" localSheetId="4">#REF!</definedName>
    <definedName name="dianaLicop0" localSheetId="3">#REF!</definedName>
    <definedName name="dianaLicop0" localSheetId="6">#REF!</definedName>
    <definedName name="dianaLicop0" localSheetId="5">#REF!</definedName>
    <definedName name="dianaLicop0" localSheetId="26">#REF!</definedName>
    <definedName name="dianaLicop0" localSheetId="17">#REF!</definedName>
    <definedName name="dianaLicop0" localSheetId="18">#REF!</definedName>
    <definedName name="dianaLicop0" localSheetId="28">#REF!</definedName>
    <definedName name="dianaLicop0" localSheetId="19">#REF!</definedName>
    <definedName name="dianaLicop0" localSheetId="8">#REF!</definedName>
    <definedName name="dianaLicop0" localSheetId="7">#REF!</definedName>
    <definedName name="dianaLicop0" localSheetId="10">#REF!</definedName>
    <definedName name="dianaLicop0" localSheetId="9">#REF!</definedName>
    <definedName name="dianaLicop0" localSheetId="29">#REF!</definedName>
    <definedName name="dianaLicop0" localSheetId="30">#REF!</definedName>
    <definedName name="dianaLicop0" localSheetId="20">#REF!</definedName>
    <definedName name="dianaLicop0" localSheetId="21">#REF!</definedName>
    <definedName name="dianaLicop0" localSheetId="34">#REF!</definedName>
    <definedName name="dianaLicop0" localSheetId="22">#REF!</definedName>
    <definedName name="dianaLicop0" localSheetId="12">#REF!</definedName>
    <definedName name="dianaLicop0" localSheetId="11">#REF!</definedName>
    <definedName name="dianaLicop0" localSheetId="14">#REF!</definedName>
    <definedName name="dianaLicop0" localSheetId="13">#REF!</definedName>
    <definedName name="dianaLicop0" localSheetId="32">#REF!</definedName>
    <definedName name="dianaLicop0" localSheetId="23">#REF!</definedName>
    <definedName name="dianaLicop0">#REF!</definedName>
    <definedName name="Dolores" localSheetId="4">#REF!</definedName>
    <definedName name="Dolores" localSheetId="3">#REF!</definedName>
    <definedName name="Dolores" localSheetId="6">#REF!</definedName>
    <definedName name="Dolores" localSheetId="5">#REF!</definedName>
    <definedName name="Dolores" localSheetId="26">#REF!</definedName>
    <definedName name="Dolores" localSheetId="17">#REF!</definedName>
    <definedName name="Dolores" localSheetId="18">#REF!</definedName>
    <definedName name="Dolores" localSheetId="28">#REF!</definedName>
    <definedName name="Dolores" localSheetId="19">#REF!</definedName>
    <definedName name="Dolores" localSheetId="8">#REF!</definedName>
    <definedName name="Dolores" localSheetId="7">#REF!</definedName>
    <definedName name="Dolores" localSheetId="10">#REF!</definedName>
    <definedName name="Dolores" localSheetId="9">#REF!</definedName>
    <definedName name="Dolores" localSheetId="29">#REF!</definedName>
    <definedName name="Dolores" localSheetId="30">#REF!</definedName>
    <definedName name="Dolores" localSheetId="20">#REF!</definedName>
    <definedName name="Dolores" localSheetId="21">#REF!</definedName>
    <definedName name="Dolores" localSheetId="34">#REF!</definedName>
    <definedName name="Dolores" localSheetId="22">#REF!</definedName>
    <definedName name="Dolores" localSheetId="12">#REF!</definedName>
    <definedName name="Dolores" localSheetId="11">#REF!</definedName>
    <definedName name="Dolores" localSheetId="14">#REF!</definedName>
    <definedName name="Dolores" localSheetId="13">#REF!</definedName>
    <definedName name="Dolores" localSheetId="32">#REF!</definedName>
    <definedName name="Dolores" localSheetId="23">#REF!</definedName>
    <definedName name="Dolores">#REF!</definedName>
    <definedName name="FAR" localSheetId="4">[3]Assumptions!#REF!</definedName>
    <definedName name="FAR" localSheetId="3">[3]Assumptions!#REF!</definedName>
    <definedName name="FAR" localSheetId="6">[3]Assumptions!#REF!</definedName>
    <definedName name="FAR" localSheetId="5">[3]Assumptions!#REF!</definedName>
    <definedName name="FAR" localSheetId="26">[3]Assumptions!#REF!</definedName>
    <definedName name="FAR" localSheetId="17">[3]Assumptions!#REF!</definedName>
    <definedName name="FAR" localSheetId="18">[3]Assumptions!#REF!</definedName>
    <definedName name="FAR" localSheetId="28">[3]Assumptions!#REF!</definedName>
    <definedName name="FAR" localSheetId="19">[3]Assumptions!#REF!</definedName>
    <definedName name="FAR" localSheetId="8">[3]Assumptions!#REF!</definedName>
    <definedName name="FAR" localSheetId="7">[3]Assumptions!#REF!</definedName>
    <definedName name="FAR" localSheetId="10">[3]Assumptions!#REF!</definedName>
    <definedName name="FAR" localSheetId="9">[3]Assumptions!#REF!</definedName>
    <definedName name="FAR" localSheetId="29">[3]Assumptions!#REF!</definedName>
    <definedName name="FAR" localSheetId="30">[3]Assumptions!#REF!</definedName>
    <definedName name="FAR" localSheetId="20">[3]Assumptions!#REF!</definedName>
    <definedName name="FAR" localSheetId="21">[3]Assumptions!#REF!</definedName>
    <definedName name="FAR" localSheetId="34">[3]Assumptions!#REF!</definedName>
    <definedName name="FAR" localSheetId="22">[3]Assumptions!#REF!</definedName>
    <definedName name="FAR" localSheetId="12">[3]Assumptions!#REF!</definedName>
    <definedName name="FAR" localSheetId="11">[3]Assumptions!#REF!</definedName>
    <definedName name="FAR" localSheetId="14">[3]Assumptions!#REF!</definedName>
    <definedName name="FAR" localSheetId="13">[3]Assumptions!#REF!</definedName>
    <definedName name="FAR" localSheetId="32">[3]Assumptions!#REF!</definedName>
    <definedName name="FAR" localSheetId="23">[3]Assumptions!#REF!</definedName>
    <definedName name="FAR">[3]Assumptions!#REF!</definedName>
    <definedName name="FAR_4" localSheetId="4">[1]Assumptions!#REF!</definedName>
    <definedName name="FAR_4" localSheetId="3">[1]Assumptions!#REF!</definedName>
    <definedName name="FAR_4" localSheetId="6">[1]Assumptions!#REF!</definedName>
    <definedName name="FAR_4" localSheetId="5">[1]Assumptions!#REF!</definedName>
    <definedName name="FAR_4" localSheetId="26">[1]Assumptions!#REF!</definedName>
    <definedName name="FAR_4" localSheetId="17">[1]Assumptions!#REF!</definedName>
    <definedName name="FAR_4" localSheetId="18">[1]Assumptions!#REF!</definedName>
    <definedName name="FAR_4" localSheetId="28">[1]Assumptions!#REF!</definedName>
    <definedName name="FAR_4" localSheetId="19">[1]Assumptions!#REF!</definedName>
    <definedName name="FAR_4" localSheetId="8">[1]Assumptions!#REF!</definedName>
    <definedName name="FAR_4" localSheetId="7">[1]Assumptions!#REF!</definedName>
    <definedName name="FAR_4" localSheetId="10">[1]Assumptions!#REF!</definedName>
    <definedName name="FAR_4" localSheetId="9">[1]Assumptions!#REF!</definedName>
    <definedName name="FAR_4" localSheetId="29">[1]Assumptions!#REF!</definedName>
    <definedName name="FAR_4" localSheetId="30">[1]Assumptions!#REF!</definedName>
    <definedName name="FAR_4" localSheetId="20">[1]Assumptions!#REF!</definedName>
    <definedName name="FAR_4" localSheetId="21">[1]Assumptions!#REF!</definedName>
    <definedName name="FAR_4" localSheetId="34">[1]Assumptions!#REF!</definedName>
    <definedName name="FAR_4" localSheetId="22">[1]Assumptions!#REF!</definedName>
    <definedName name="FAR_4" localSheetId="12">[1]Assumptions!#REF!</definedName>
    <definedName name="FAR_4" localSheetId="11">[1]Assumptions!#REF!</definedName>
    <definedName name="FAR_4" localSheetId="14">[1]Assumptions!#REF!</definedName>
    <definedName name="FAR_4" localSheetId="13">[1]Assumptions!#REF!</definedName>
    <definedName name="FAR_4" localSheetId="32">[1]Assumptions!#REF!</definedName>
    <definedName name="FAR_4" localSheetId="23">[1]Assumptions!#REF!</definedName>
    <definedName name="FAR_4">[1]Assumptions!#REF!</definedName>
    <definedName name="ferla2" localSheetId="4">#REF!</definedName>
    <definedName name="ferla2" localSheetId="3">#REF!</definedName>
    <definedName name="ferla2" localSheetId="6">#REF!</definedName>
    <definedName name="ferla2" localSheetId="5">#REF!</definedName>
    <definedName name="ferla2" localSheetId="26">#REF!</definedName>
    <definedName name="ferla2" localSheetId="17">#REF!</definedName>
    <definedName name="ferla2" localSheetId="18">#REF!</definedName>
    <definedName name="ferla2" localSheetId="28">#REF!</definedName>
    <definedName name="ferla2" localSheetId="19">#REF!</definedName>
    <definedName name="ferla2" localSheetId="8">#REF!</definedName>
    <definedName name="ferla2" localSheetId="7">#REF!</definedName>
    <definedName name="ferla2" localSheetId="10">#REF!</definedName>
    <definedName name="ferla2" localSheetId="9">#REF!</definedName>
    <definedName name="ferla2" localSheetId="29">#REF!</definedName>
    <definedName name="ferla2" localSheetId="30">#REF!</definedName>
    <definedName name="ferla2" localSheetId="20">#REF!</definedName>
    <definedName name="ferla2" localSheetId="21">#REF!</definedName>
    <definedName name="ferla2" localSheetId="34">#REF!</definedName>
    <definedName name="ferla2" localSheetId="22">#REF!</definedName>
    <definedName name="ferla2" localSheetId="12">#REF!</definedName>
    <definedName name="ferla2" localSheetId="11">#REF!</definedName>
    <definedName name="ferla2" localSheetId="14">#REF!</definedName>
    <definedName name="ferla2" localSheetId="13">#REF!</definedName>
    <definedName name="ferla2" localSheetId="32">#REF!</definedName>
    <definedName name="ferla2" localSheetId="23">#REF!</definedName>
    <definedName name="ferla2">#REF!</definedName>
    <definedName name="figures_max" localSheetId="4">#REF!</definedName>
    <definedName name="figures_max" localSheetId="3">#REF!</definedName>
    <definedName name="figures_max" localSheetId="6">#REF!</definedName>
    <definedName name="figures_max" localSheetId="5">#REF!</definedName>
    <definedName name="figures_max" localSheetId="26">#REF!</definedName>
    <definedName name="figures_max" localSheetId="17">#REF!</definedName>
    <definedName name="figures_max" localSheetId="18">#REF!</definedName>
    <definedName name="figures_max" localSheetId="28">#REF!</definedName>
    <definedName name="figures_max" localSheetId="19">#REF!</definedName>
    <definedName name="figures_max" localSheetId="8">#REF!</definedName>
    <definedName name="figures_max" localSheetId="7">#REF!</definedName>
    <definedName name="figures_max" localSheetId="10">#REF!</definedName>
    <definedName name="figures_max" localSheetId="9">#REF!</definedName>
    <definedName name="figures_max" localSheetId="29">#REF!</definedName>
    <definedName name="figures_max" localSheetId="30">#REF!</definedName>
    <definedName name="figures_max" localSheetId="20">#REF!</definedName>
    <definedName name="figures_max" localSheetId="21">#REF!</definedName>
    <definedName name="figures_max" localSheetId="34">#REF!</definedName>
    <definedName name="figures_max" localSheetId="22">#REF!</definedName>
    <definedName name="figures_max" localSheetId="12">#REF!</definedName>
    <definedName name="figures_max" localSheetId="11">#REF!</definedName>
    <definedName name="figures_max" localSheetId="14">#REF!</definedName>
    <definedName name="figures_max" localSheetId="13">#REF!</definedName>
    <definedName name="figures_max" localSheetId="32">#REF!</definedName>
    <definedName name="figures_max" localSheetId="23">#REF!</definedName>
    <definedName name="figures_max">#REF!</definedName>
    <definedName name="figures_max_1" localSheetId="4">#REF!</definedName>
    <definedName name="figures_max_1" localSheetId="3">#REF!</definedName>
    <definedName name="figures_max_1" localSheetId="6">#REF!</definedName>
    <definedName name="figures_max_1" localSheetId="5">#REF!</definedName>
    <definedName name="figures_max_1" localSheetId="26">#REF!</definedName>
    <definedName name="figures_max_1" localSheetId="17">#REF!</definedName>
    <definedName name="figures_max_1" localSheetId="18">#REF!</definedName>
    <definedName name="figures_max_1" localSheetId="28">#REF!</definedName>
    <definedName name="figures_max_1" localSheetId="19">#REF!</definedName>
    <definedName name="figures_max_1" localSheetId="8">#REF!</definedName>
    <definedName name="figures_max_1" localSheetId="7">#REF!</definedName>
    <definedName name="figures_max_1" localSheetId="10">#REF!</definedName>
    <definedName name="figures_max_1" localSheetId="9">#REF!</definedName>
    <definedName name="figures_max_1" localSheetId="29">#REF!</definedName>
    <definedName name="figures_max_1" localSheetId="30">#REF!</definedName>
    <definedName name="figures_max_1" localSheetId="20">#REF!</definedName>
    <definedName name="figures_max_1" localSheetId="21">#REF!</definedName>
    <definedName name="figures_max_1" localSheetId="34">#REF!</definedName>
    <definedName name="figures_max_1" localSheetId="22">#REF!</definedName>
    <definedName name="figures_max_1" localSheetId="12">#REF!</definedName>
    <definedName name="figures_max_1" localSheetId="11">#REF!</definedName>
    <definedName name="figures_max_1" localSheetId="14">#REF!</definedName>
    <definedName name="figures_max_1" localSheetId="13">#REF!</definedName>
    <definedName name="figures_max_1" localSheetId="32">#REF!</definedName>
    <definedName name="figures_max_1" localSheetId="23">#REF!</definedName>
    <definedName name="figures_max_1">#REF!</definedName>
    <definedName name="figures_min" localSheetId="4">#REF!</definedName>
    <definedName name="figures_min" localSheetId="3">#REF!</definedName>
    <definedName name="figures_min" localSheetId="6">#REF!</definedName>
    <definedName name="figures_min" localSheetId="5">#REF!</definedName>
    <definedName name="figures_min" localSheetId="26">#REF!</definedName>
    <definedName name="figures_min" localSheetId="17">#REF!</definedName>
    <definedName name="figures_min" localSheetId="18">#REF!</definedName>
    <definedName name="figures_min" localSheetId="28">#REF!</definedName>
    <definedName name="figures_min" localSheetId="19">#REF!</definedName>
    <definedName name="figures_min" localSheetId="8">#REF!</definedName>
    <definedName name="figures_min" localSheetId="7">#REF!</definedName>
    <definedName name="figures_min" localSheetId="10">#REF!</definedName>
    <definedName name="figures_min" localSheetId="9">#REF!</definedName>
    <definedName name="figures_min" localSheetId="29">#REF!</definedName>
    <definedName name="figures_min" localSheetId="30">#REF!</definedName>
    <definedName name="figures_min" localSheetId="20">#REF!</definedName>
    <definedName name="figures_min" localSheetId="21">#REF!</definedName>
    <definedName name="figures_min" localSheetId="34">#REF!</definedName>
    <definedName name="figures_min" localSheetId="22">#REF!</definedName>
    <definedName name="figures_min" localSheetId="12">#REF!</definedName>
    <definedName name="figures_min" localSheetId="11">#REF!</definedName>
    <definedName name="figures_min" localSheetId="14">#REF!</definedName>
    <definedName name="figures_min" localSheetId="13">#REF!</definedName>
    <definedName name="figures_min" localSheetId="32">#REF!</definedName>
    <definedName name="figures_min" localSheetId="23">#REF!</definedName>
    <definedName name="figures_min">#REF!</definedName>
    <definedName name="figures_min_1" localSheetId="4">#REF!</definedName>
    <definedName name="figures_min_1" localSheetId="3">#REF!</definedName>
    <definedName name="figures_min_1" localSheetId="6">#REF!</definedName>
    <definedName name="figures_min_1" localSheetId="5">#REF!</definedName>
    <definedName name="figures_min_1" localSheetId="26">#REF!</definedName>
    <definedName name="figures_min_1" localSheetId="17">#REF!</definedName>
    <definedName name="figures_min_1" localSheetId="18">#REF!</definedName>
    <definedName name="figures_min_1" localSheetId="28">#REF!</definedName>
    <definedName name="figures_min_1" localSheetId="19">#REF!</definedName>
    <definedName name="figures_min_1" localSheetId="8">#REF!</definedName>
    <definedName name="figures_min_1" localSheetId="7">#REF!</definedName>
    <definedName name="figures_min_1" localSheetId="10">#REF!</definedName>
    <definedName name="figures_min_1" localSheetId="9">#REF!</definedName>
    <definedName name="figures_min_1" localSheetId="29">#REF!</definedName>
    <definedName name="figures_min_1" localSheetId="30">#REF!</definedName>
    <definedName name="figures_min_1" localSheetId="20">#REF!</definedName>
    <definedName name="figures_min_1" localSheetId="21">#REF!</definedName>
    <definedName name="figures_min_1" localSheetId="34">#REF!</definedName>
    <definedName name="figures_min_1" localSheetId="22">#REF!</definedName>
    <definedName name="figures_min_1" localSheetId="12">#REF!</definedName>
    <definedName name="figures_min_1" localSheetId="11">#REF!</definedName>
    <definedName name="figures_min_1" localSheetId="14">#REF!</definedName>
    <definedName name="figures_min_1" localSheetId="13">#REF!</definedName>
    <definedName name="figures_min_1" localSheetId="32">#REF!</definedName>
    <definedName name="figures_min_1" localSheetId="23">#REF!</definedName>
    <definedName name="figures_min_1">#REF!</definedName>
    <definedName name="G" localSheetId="4">#REF!</definedName>
    <definedName name="G" localSheetId="3">#REF!</definedName>
    <definedName name="G" localSheetId="6">#REF!</definedName>
    <definedName name="G" localSheetId="5">#REF!</definedName>
    <definedName name="G" localSheetId="26">#REF!</definedName>
    <definedName name="G" localSheetId="17">#REF!</definedName>
    <definedName name="G" localSheetId="18">#REF!</definedName>
    <definedName name="G" localSheetId="28">#REF!</definedName>
    <definedName name="G" localSheetId="19">#REF!</definedName>
    <definedName name="G" localSheetId="8">#REF!</definedName>
    <definedName name="G" localSheetId="7">#REF!</definedName>
    <definedName name="G" localSheetId="10">#REF!</definedName>
    <definedName name="G" localSheetId="9">#REF!</definedName>
    <definedName name="G" localSheetId="29">#REF!</definedName>
    <definedName name="G" localSheetId="30">#REF!</definedName>
    <definedName name="G" localSheetId="20">#REF!</definedName>
    <definedName name="G" localSheetId="21">#REF!</definedName>
    <definedName name="G" localSheetId="34">#REF!</definedName>
    <definedName name="G" localSheetId="22">#REF!</definedName>
    <definedName name="G" localSheetId="12">#REF!</definedName>
    <definedName name="G" localSheetId="11">#REF!</definedName>
    <definedName name="G" localSheetId="14">#REF!</definedName>
    <definedName name="G" localSheetId="13">#REF!</definedName>
    <definedName name="G" localSheetId="32">#REF!</definedName>
    <definedName name="G" localSheetId="23">#REF!</definedName>
    <definedName name="G">#REF!</definedName>
    <definedName name="GAE">[2]Assumptions!$E$80</definedName>
    <definedName name="GemmabeL" localSheetId="4">#REF!</definedName>
    <definedName name="GemmabeL" localSheetId="3">#REF!</definedName>
    <definedName name="GemmabeL" localSheetId="6">#REF!</definedName>
    <definedName name="GemmabeL" localSheetId="5">#REF!</definedName>
    <definedName name="GemmabeL" localSheetId="26">#REF!</definedName>
    <definedName name="GemmabeL" localSheetId="17">#REF!</definedName>
    <definedName name="GemmabeL" localSheetId="18">#REF!</definedName>
    <definedName name="GemmabeL" localSheetId="28">#REF!</definedName>
    <definedName name="GemmabeL" localSheetId="19">#REF!</definedName>
    <definedName name="GemmabeL" localSheetId="8">#REF!</definedName>
    <definedName name="GemmabeL" localSheetId="7">#REF!</definedName>
    <definedName name="GemmabeL" localSheetId="10">#REF!</definedName>
    <definedName name="GemmabeL" localSheetId="9">#REF!</definedName>
    <definedName name="GemmabeL" localSheetId="29">#REF!</definedName>
    <definedName name="GemmabeL" localSheetId="30">#REF!</definedName>
    <definedName name="GemmabeL" localSheetId="20">#REF!</definedName>
    <definedName name="GemmabeL" localSheetId="21">#REF!</definedName>
    <definedName name="GemmabeL" localSheetId="34">#REF!</definedName>
    <definedName name="GemmabeL" localSheetId="22">#REF!</definedName>
    <definedName name="GemmabeL" localSheetId="12">#REF!</definedName>
    <definedName name="GemmabeL" localSheetId="11">#REF!</definedName>
    <definedName name="GemmabeL" localSheetId="14">#REF!</definedName>
    <definedName name="GemmabeL" localSheetId="13">#REF!</definedName>
    <definedName name="GemmabeL" localSheetId="32">#REF!</definedName>
    <definedName name="GemmabeL" localSheetId="23">#REF!</definedName>
    <definedName name="GemmabeL">#REF!</definedName>
    <definedName name="H" localSheetId="4">#REF!</definedName>
    <definedName name="H" localSheetId="3">#REF!</definedName>
    <definedName name="H" localSheetId="6">#REF!</definedName>
    <definedName name="H" localSheetId="5">#REF!</definedName>
    <definedName name="H" localSheetId="26">#REF!</definedName>
    <definedName name="H" localSheetId="17">#REF!</definedName>
    <definedName name="H" localSheetId="18">#REF!</definedName>
    <definedName name="H" localSheetId="28">#REF!</definedName>
    <definedName name="H" localSheetId="19">#REF!</definedName>
    <definedName name="H" localSheetId="8">#REF!</definedName>
    <definedName name="H" localSheetId="7">#REF!</definedName>
    <definedName name="H" localSheetId="10">#REF!</definedName>
    <definedName name="H" localSheetId="9">#REF!</definedName>
    <definedName name="H" localSheetId="29">#REF!</definedName>
    <definedName name="H" localSheetId="30">#REF!</definedName>
    <definedName name="H" localSheetId="20">#REF!</definedName>
    <definedName name="H" localSheetId="21">#REF!</definedName>
    <definedName name="H" localSheetId="34">#REF!</definedName>
    <definedName name="H" localSheetId="22">#REF!</definedName>
    <definedName name="H" localSheetId="12">#REF!</definedName>
    <definedName name="H" localSheetId="11">#REF!</definedName>
    <definedName name="H" localSheetId="14">#REF!</definedName>
    <definedName name="H" localSheetId="13">#REF!</definedName>
    <definedName name="H" localSheetId="32">#REF!</definedName>
    <definedName name="H" localSheetId="23">#REF!</definedName>
    <definedName name="H">#REF!</definedName>
    <definedName name="Heraclene888" localSheetId="4">#REF!</definedName>
    <definedName name="Heraclene888" localSheetId="3">#REF!</definedName>
    <definedName name="Heraclene888" localSheetId="6">#REF!</definedName>
    <definedName name="Heraclene888" localSheetId="5">#REF!</definedName>
    <definedName name="Heraclene888" localSheetId="26">#REF!</definedName>
    <definedName name="Heraclene888" localSheetId="17">#REF!</definedName>
    <definedName name="Heraclene888" localSheetId="18">#REF!</definedName>
    <definedName name="Heraclene888" localSheetId="28">#REF!</definedName>
    <definedName name="Heraclene888" localSheetId="19">#REF!</definedName>
    <definedName name="Heraclene888" localSheetId="8">#REF!</definedName>
    <definedName name="Heraclene888" localSheetId="7">#REF!</definedName>
    <definedName name="Heraclene888" localSheetId="10">#REF!</definedName>
    <definedName name="Heraclene888" localSheetId="9">#REF!</definedName>
    <definedName name="Heraclene888" localSheetId="29">#REF!</definedName>
    <definedName name="Heraclene888" localSheetId="30">#REF!</definedName>
    <definedName name="Heraclene888" localSheetId="20">#REF!</definedName>
    <definedName name="Heraclene888" localSheetId="21">#REF!</definedName>
    <definedName name="Heraclene888" localSheetId="34">#REF!</definedName>
    <definedName name="Heraclene888" localSheetId="22">#REF!</definedName>
    <definedName name="Heraclene888" localSheetId="12">#REF!</definedName>
    <definedName name="Heraclene888" localSheetId="11">#REF!</definedName>
    <definedName name="Heraclene888" localSheetId="14">#REF!</definedName>
    <definedName name="Heraclene888" localSheetId="13">#REF!</definedName>
    <definedName name="Heraclene888" localSheetId="32">#REF!</definedName>
    <definedName name="Heraclene888" localSheetId="23">#REF!</definedName>
    <definedName name="Heraclene888">#REF!</definedName>
    <definedName name="hILLSIDE" localSheetId="4">#REF!</definedName>
    <definedName name="hILLSIDE" localSheetId="3">#REF!</definedName>
    <definedName name="hILLSIDE" localSheetId="6">#REF!</definedName>
    <definedName name="hILLSIDE" localSheetId="5">#REF!</definedName>
    <definedName name="hILLSIDE" localSheetId="26">#REF!</definedName>
    <definedName name="hILLSIDE" localSheetId="17">#REF!</definedName>
    <definedName name="hILLSIDE" localSheetId="18">#REF!</definedName>
    <definedName name="hILLSIDE" localSheetId="28">#REF!</definedName>
    <definedName name="hILLSIDE" localSheetId="19">#REF!</definedName>
    <definedName name="hILLSIDE" localSheetId="8">#REF!</definedName>
    <definedName name="hILLSIDE" localSheetId="7">#REF!</definedName>
    <definedName name="hILLSIDE" localSheetId="10">#REF!</definedName>
    <definedName name="hILLSIDE" localSheetId="9">#REF!</definedName>
    <definedName name="hILLSIDE" localSheetId="29">#REF!</definedName>
    <definedName name="hILLSIDE" localSheetId="30">#REF!</definedName>
    <definedName name="hILLSIDE" localSheetId="20">#REF!</definedName>
    <definedName name="hILLSIDE" localSheetId="21">#REF!</definedName>
    <definedName name="hILLSIDE" localSheetId="34">#REF!</definedName>
    <definedName name="hILLSIDE" localSheetId="22">#REF!</definedName>
    <definedName name="hILLSIDE" localSheetId="12">#REF!</definedName>
    <definedName name="hILLSIDE" localSheetId="11">#REF!</definedName>
    <definedName name="hILLSIDE" localSheetId="14">#REF!</definedName>
    <definedName name="hILLSIDE" localSheetId="13">#REF!</definedName>
    <definedName name="hILLSIDE" localSheetId="32">#REF!</definedName>
    <definedName name="hILLSIDE" localSheetId="23">#REF!</definedName>
    <definedName name="hILLSIDE">#REF!</definedName>
    <definedName name="hsproject143" localSheetId="4">#REF!</definedName>
    <definedName name="hsproject143" localSheetId="3">#REF!</definedName>
    <definedName name="hsproject143" localSheetId="6">#REF!</definedName>
    <definedName name="hsproject143" localSheetId="5">#REF!</definedName>
    <definedName name="hsproject143" localSheetId="26">#REF!</definedName>
    <definedName name="hsproject143" localSheetId="17">#REF!</definedName>
    <definedName name="hsproject143" localSheetId="18">#REF!</definedName>
    <definedName name="hsproject143" localSheetId="28">#REF!</definedName>
    <definedName name="hsproject143" localSheetId="19">#REF!</definedName>
    <definedName name="hsproject143" localSheetId="8">#REF!</definedName>
    <definedName name="hsproject143" localSheetId="7">#REF!</definedName>
    <definedName name="hsproject143" localSheetId="10">#REF!</definedName>
    <definedName name="hsproject143" localSheetId="9">#REF!</definedName>
    <definedName name="hsproject143" localSheetId="29">#REF!</definedName>
    <definedName name="hsproject143" localSheetId="30">#REF!</definedName>
    <definedName name="hsproject143" localSheetId="20">#REF!</definedName>
    <definedName name="hsproject143" localSheetId="21">#REF!</definedName>
    <definedName name="hsproject143" localSheetId="34">#REF!</definedName>
    <definedName name="hsproject143" localSheetId="22">#REF!</definedName>
    <definedName name="hsproject143" localSheetId="12">#REF!</definedName>
    <definedName name="hsproject143" localSheetId="11">#REF!</definedName>
    <definedName name="hsproject143" localSheetId="14">#REF!</definedName>
    <definedName name="hsproject143" localSheetId="13">#REF!</definedName>
    <definedName name="hsproject143" localSheetId="32">#REF!</definedName>
    <definedName name="hsproject143" localSheetId="23">#REF!</definedName>
    <definedName name="hsproject143">#REF!</definedName>
    <definedName name="I" localSheetId="4">#REF!</definedName>
    <definedName name="I" localSheetId="3">#REF!</definedName>
    <definedName name="I" localSheetId="6">#REF!</definedName>
    <definedName name="I" localSheetId="5">#REF!</definedName>
    <definedName name="I" localSheetId="26">#REF!</definedName>
    <definedName name="I" localSheetId="17">#REF!</definedName>
    <definedName name="I" localSheetId="18">#REF!</definedName>
    <definedName name="I" localSheetId="28">#REF!</definedName>
    <definedName name="I" localSheetId="19">#REF!</definedName>
    <definedName name="I" localSheetId="8">#REF!</definedName>
    <definedName name="I" localSheetId="7">#REF!</definedName>
    <definedName name="I" localSheetId="10">#REF!</definedName>
    <definedName name="I" localSheetId="9">#REF!</definedName>
    <definedName name="I" localSheetId="29">#REF!</definedName>
    <definedName name="I" localSheetId="30">#REF!</definedName>
    <definedName name="I" localSheetId="20">#REF!</definedName>
    <definedName name="I" localSheetId="21">#REF!</definedName>
    <definedName name="I" localSheetId="34">#REF!</definedName>
    <definedName name="I" localSheetId="22">#REF!</definedName>
    <definedName name="I" localSheetId="12">#REF!</definedName>
    <definedName name="I" localSheetId="11">#REF!</definedName>
    <definedName name="I" localSheetId="14">#REF!</definedName>
    <definedName name="I" localSheetId="13">#REF!</definedName>
    <definedName name="I" localSheetId="32">#REF!</definedName>
    <definedName name="I" localSheetId="23">#REF!</definedName>
    <definedName name="I">#REF!</definedName>
    <definedName name="Ikay" localSheetId="4">#REF!</definedName>
    <definedName name="Ikay" localSheetId="3">#REF!</definedName>
    <definedName name="Ikay" localSheetId="6">#REF!</definedName>
    <definedName name="Ikay" localSheetId="5">#REF!</definedName>
    <definedName name="Ikay" localSheetId="26">#REF!</definedName>
    <definedName name="Ikay" localSheetId="17">#REF!</definedName>
    <definedName name="Ikay" localSheetId="18">#REF!</definedName>
    <definedName name="Ikay" localSheetId="28">#REF!</definedName>
    <definedName name="Ikay" localSheetId="19">#REF!</definedName>
    <definedName name="Ikay" localSheetId="8">#REF!</definedName>
    <definedName name="Ikay" localSheetId="7">#REF!</definedName>
    <definedName name="Ikay" localSheetId="10">#REF!</definedName>
    <definedName name="Ikay" localSheetId="9">#REF!</definedName>
    <definedName name="Ikay" localSheetId="29">#REF!</definedName>
    <definedName name="Ikay" localSheetId="30">#REF!</definedName>
    <definedName name="Ikay" localSheetId="20">#REF!</definedName>
    <definedName name="Ikay" localSheetId="21">#REF!</definedName>
    <definedName name="Ikay" localSheetId="34">#REF!</definedName>
    <definedName name="Ikay" localSheetId="22">#REF!</definedName>
    <definedName name="Ikay" localSheetId="12">#REF!</definedName>
    <definedName name="Ikay" localSheetId="11">#REF!</definedName>
    <definedName name="Ikay" localSheetId="14">#REF!</definedName>
    <definedName name="Ikay" localSheetId="13">#REF!</definedName>
    <definedName name="Ikay" localSheetId="32">#REF!</definedName>
    <definedName name="Ikay" localSheetId="23">#REF!</definedName>
    <definedName name="Ikay">#REF!</definedName>
    <definedName name="IL" localSheetId="4">#REF!</definedName>
    <definedName name="IL" localSheetId="3">#REF!</definedName>
    <definedName name="IL" localSheetId="6">#REF!</definedName>
    <definedName name="IL" localSheetId="5">#REF!</definedName>
    <definedName name="IL" localSheetId="26">#REF!</definedName>
    <definedName name="IL" localSheetId="17">#REF!</definedName>
    <definedName name="IL" localSheetId="18">#REF!</definedName>
    <definedName name="IL" localSheetId="28">#REF!</definedName>
    <definedName name="IL" localSheetId="19">#REF!</definedName>
    <definedName name="IL" localSheetId="8">#REF!</definedName>
    <definedName name="IL" localSheetId="7">#REF!</definedName>
    <definedName name="IL" localSheetId="10">#REF!</definedName>
    <definedName name="IL" localSheetId="9">#REF!</definedName>
    <definedName name="IL" localSheetId="29">#REF!</definedName>
    <definedName name="IL" localSheetId="30">#REF!</definedName>
    <definedName name="IL" localSheetId="20">#REF!</definedName>
    <definedName name="IL" localSheetId="21">#REF!</definedName>
    <definedName name="IL" localSheetId="34">#REF!</definedName>
    <definedName name="IL" localSheetId="22">#REF!</definedName>
    <definedName name="IL" localSheetId="12">#REF!</definedName>
    <definedName name="IL" localSheetId="11">#REF!</definedName>
    <definedName name="IL" localSheetId="14">#REF!</definedName>
    <definedName name="IL" localSheetId="13">#REF!</definedName>
    <definedName name="IL" localSheetId="32">#REF!</definedName>
    <definedName name="IL" localSheetId="23">#REF!</definedName>
    <definedName name="IL">#REF!</definedName>
    <definedName name="ILInoise_4" localSheetId="4">#REF!</definedName>
    <definedName name="ILInoise_4" localSheetId="3">#REF!</definedName>
    <definedName name="ILInoise_4" localSheetId="6">#REF!</definedName>
    <definedName name="ILInoise_4" localSheetId="5">#REF!</definedName>
    <definedName name="ILInoise_4" localSheetId="26">#REF!</definedName>
    <definedName name="ILInoise_4" localSheetId="17">#REF!</definedName>
    <definedName name="ILInoise_4" localSheetId="18">#REF!</definedName>
    <definedName name="ILInoise_4" localSheetId="28">#REF!</definedName>
    <definedName name="ILInoise_4" localSheetId="19">#REF!</definedName>
    <definedName name="ILInoise_4" localSheetId="8">#REF!</definedName>
    <definedName name="ILInoise_4" localSheetId="7">#REF!</definedName>
    <definedName name="ILInoise_4" localSheetId="10">#REF!</definedName>
    <definedName name="ILInoise_4" localSheetId="9">#REF!</definedName>
    <definedName name="ILInoise_4" localSheetId="29">#REF!</definedName>
    <definedName name="ILInoise_4" localSheetId="30">#REF!</definedName>
    <definedName name="ILInoise_4" localSheetId="20">#REF!</definedName>
    <definedName name="ILInoise_4" localSheetId="21">#REF!</definedName>
    <definedName name="ILInoise_4" localSheetId="34">#REF!</definedName>
    <definedName name="ILInoise_4" localSheetId="22">#REF!</definedName>
    <definedName name="ILInoise_4" localSheetId="12">#REF!</definedName>
    <definedName name="ILInoise_4" localSheetId="11">#REF!</definedName>
    <definedName name="ILInoise_4" localSheetId="14">#REF!</definedName>
    <definedName name="ILInoise_4" localSheetId="13">#REF!</definedName>
    <definedName name="ILInoise_4" localSheetId="32">#REF!</definedName>
    <definedName name="ILInoise_4" localSheetId="23">#REF!</definedName>
    <definedName name="ILInoise_4">#REF!</definedName>
    <definedName name="ILOVEYOU" localSheetId="4">#REF!</definedName>
    <definedName name="ILOVEYOU" localSheetId="3">#REF!</definedName>
    <definedName name="ILOVEYOU" localSheetId="6">#REF!</definedName>
    <definedName name="ILOVEYOU" localSheetId="5">#REF!</definedName>
    <definedName name="ILOVEYOU" localSheetId="26">#REF!</definedName>
    <definedName name="ILOVEYOU" localSheetId="17">#REF!</definedName>
    <definedName name="ILOVEYOU" localSheetId="18">#REF!</definedName>
    <definedName name="ILOVEYOU" localSheetId="28">#REF!</definedName>
    <definedName name="ILOVEYOU" localSheetId="19">#REF!</definedName>
    <definedName name="ILOVEYOU" localSheetId="8">#REF!</definedName>
    <definedName name="ILOVEYOU" localSheetId="7">#REF!</definedName>
    <definedName name="ILOVEYOU" localSheetId="10">#REF!</definedName>
    <definedName name="ILOVEYOU" localSheetId="9">#REF!</definedName>
    <definedName name="ILOVEYOU" localSheetId="29">#REF!</definedName>
    <definedName name="ILOVEYOU" localSheetId="30">#REF!</definedName>
    <definedName name="ILOVEYOU" localSheetId="20">#REF!</definedName>
    <definedName name="ILOVEYOU" localSheetId="21">#REF!</definedName>
    <definedName name="ILOVEYOU" localSheetId="34">#REF!</definedName>
    <definedName name="ILOVEYOU" localSheetId="22">#REF!</definedName>
    <definedName name="ILOVEYOU" localSheetId="12">#REF!</definedName>
    <definedName name="ILOVEYOU" localSheetId="11">#REF!</definedName>
    <definedName name="ILOVEYOU" localSheetId="14">#REF!</definedName>
    <definedName name="ILOVEYOU" localSheetId="13">#REF!</definedName>
    <definedName name="ILOVEYOU" localSheetId="32">#REF!</definedName>
    <definedName name="ILOVEYOU" localSheetId="23">#REF!</definedName>
    <definedName name="ILOVEYOU">#REF!</definedName>
    <definedName name="Jan_I11" localSheetId="4">#REF!</definedName>
    <definedName name="Jan_I11" localSheetId="3">#REF!</definedName>
    <definedName name="Jan_I11" localSheetId="6">#REF!</definedName>
    <definedName name="Jan_I11" localSheetId="5">#REF!</definedName>
    <definedName name="Jan_I11" localSheetId="26">#REF!</definedName>
    <definedName name="Jan_I11" localSheetId="17">#REF!</definedName>
    <definedName name="Jan_I11" localSheetId="18">#REF!</definedName>
    <definedName name="Jan_I11" localSheetId="28">#REF!</definedName>
    <definedName name="Jan_I11" localSheetId="19">#REF!</definedName>
    <definedName name="Jan_I11" localSheetId="8">#REF!</definedName>
    <definedName name="Jan_I11" localSheetId="7">#REF!</definedName>
    <definedName name="Jan_I11" localSheetId="10">#REF!</definedName>
    <definedName name="Jan_I11" localSheetId="9">#REF!</definedName>
    <definedName name="Jan_I11" localSheetId="29">#REF!</definedName>
    <definedName name="Jan_I11" localSheetId="30">#REF!</definedName>
    <definedName name="Jan_I11" localSheetId="20">#REF!</definedName>
    <definedName name="Jan_I11" localSheetId="21">#REF!</definedName>
    <definedName name="Jan_I11" localSheetId="34">#REF!</definedName>
    <definedName name="Jan_I11" localSheetId="22">#REF!</definedName>
    <definedName name="Jan_I11" localSheetId="12">#REF!</definedName>
    <definedName name="Jan_I11" localSheetId="11">#REF!</definedName>
    <definedName name="Jan_I11" localSheetId="14">#REF!</definedName>
    <definedName name="Jan_I11" localSheetId="13">#REF!</definedName>
    <definedName name="Jan_I11" localSheetId="32">#REF!</definedName>
    <definedName name="Jan_I11" localSheetId="23">#REF!</definedName>
    <definedName name="Jan_I11">#REF!</definedName>
    <definedName name="Javasz" localSheetId="4">#REF!</definedName>
    <definedName name="Javasz" localSheetId="3">#REF!</definedName>
    <definedName name="Javasz" localSheetId="6">#REF!</definedName>
    <definedName name="Javasz" localSheetId="5">#REF!</definedName>
    <definedName name="Javasz" localSheetId="26">#REF!</definedName>
    <definedName name="Javasz" localSheetId="17">#REF!</definedName>
    <definedName name="Javasz" localSheetId="18">#REF!</definedName>
    <definedName name="Javasz" localSheetId="28">#REF!</definedName>
    <definedName name="Javasz" localSheetId="19">#REF!</definedName>
    <definedName name="Javasz" localSheetId="8">#REF!</definedName>
    <definedName name="Javasz" localSheetId="7">#REF!</definedName>
    <definedName name="Javasz" localSheetId="10">#REF!</definedName>
    <definedName name="Javasz" localSheetId="9">#REF!</definedName>
    <definedName name="Javasz" localSheetId="29">#REF!</definedName>
    <definedName name="Javasz" localSheetId="30">#REF!</definedName>
    <definedName name="Javasz" localSheetId="20">#REF!</definedName>
    <definedName name="Javasz" localSheetId="21">#REF!</definedName>
    <definedName name="Javasz" localSheetId="34">#REF!</definedName>
    <definedName name="Javasz" localSheetId="22">#REF!</definedName>
    <definedName name="Javasz" localSheetId="12">#REF!</definedName>
    <definedName name="Javasz" localSheetId="11">#REF!</definedName>
    <definedName name="Javasz" localSheetId="14">#REF!</definedName>
    <definedName name="Javasz" localSheetId="13">#REF!</definedName>
    <definedName name="Javasz" localSheetId="32">#REF!</definedName>
    <definedName name="Javasz" localSheetId="23">#REF!</definedName>
    <definedName name="Javasz">#REF!</definedName>
    <definedName name="Javz" localSheetId="4">#REF!</definedName>
    <definedName name="Javz" localSheetId="3">#REF!</definedName>
    <definedName name="Javz" localSheetId="6">#REF!</definedName>
    <definedName name="Javz" localSheetId="5">#REF!</definedName>
    <definedName name="Javz" localSheetId="26">#REF!</definedName>
    <definedName name="Javz" localSheetId="17">#REF!</definedName>
    <definedName name="Javz" localSheetId="18">#REF!</definedName>
    <definedName name="Javz" localSheetId="28">#REF!</definedName>
    <definedName name="Javz" localSheetId="19">#REF!</definedName>
    <definedName name="Javz" localSheetId="8">#REF!</definedName>
    <definedName name="Javz" localSheetId="7">#REF!</definedName>
    <definedName name="Javz" localSheetId="10">#REF!</definedName>
    <definedName name="Javz" localSheetId="9">#REF!</definedName>
    <definedName name="Javz" localSheetId="29">#REF!</definedName>
    <definedName name="Javz" localSheetId="30">#REF!</definedName>
    <definedName name="Javz" localSheetId="20">#REF!</definedName>
    <definedName name="Javz" localSheetId="21">#REF!</definedName>
    <definedName name="Javz" localSheetId="34">#REF!</definedName>
    <definedName name="Javz" localSheetId="22">#REF!</definedName>
    <definedName name="Javz" localSheetId="12">#REF!</definedName>
    <definedName name="Javz" localSheetId="11">#REF!</definedName>
    <definedName name="Javz" localSheetId="14">#REF!</definedName>
    <definedName name="Javz" localSheetId="13">#REF!</definedName>
    <definedName name="Javz" localSheetId="32">#REF!</definedName>
    <definedName name="Javz" localSheetId="23">#REF!</definedName>
    <definedName name="Javz">#REF!</definedName>
    <definedName name="Jessa" localSheetId="4">#REF!</definedName>
    <definedName name="Jessa" localSheetId="3">#REF!</definedName>
    <definedName name="Jessa" localSheetId="6">#REF!</definedName>
    <definedName name="Jessa" localSheetId="5">#REF!</definedName>
    <definedName name="Jessa" localSheetId="26">#REF!</definedName>
    <definedName name="Jessa" localSheetId="17">#REF!</definedName>
    <definedName name="Jessa" localSheetId="18">#REF!</definedName>
    <definedName name="Jessa" localSheetId="28">#REF!</definedName>
    <definedName name="Jessa" localSheetId="19">#REF!</definedName>
    <definedName name="Jessa" localSheetId="8">#REF!</definedName>
    <definedName name="Jessa" localSheetId="7">#REF!</definedName>
    <definedName name="Jessa" localSheetId="10">#REF!</definedName>
    <definedName name="Jessa" localSheetId="9">#REF!</definedName>
    <definedName name="Jessa" localSheetId="29">#REF!</definedName>
    <definedName name="Jessa" localSheetId="30">#REF!</definedName>
    <definedName name="Jessa" localSheetId="20">#REF!</definedName>
    <definedName name="Jessa" localSheetId="21">#REF!</definedName>
    <definedName name="Jessa" localSheetId="34">#REF!</definedName>
    <definedName name="Jessa" localSheetId="22">#REF!</definedName>
    <definedName name="Jessa" localSheetId="12">#REF!</definedName>
    <definedName name="Jessa" localSheetId="11">#REF!</definedName>
    <definedName name="Jessa" localSheetId="14">#REF!</definedName>
    <definedName name="Jessa" localSheetId="13">#REF!</definedName>
    <definedName name="Jessa" localSheetId="32">#REF!</definedName>
    <definedName name="Jessa" localSheetId="23">#REF!</definedName>
    <definedName name="Jessa">#REF!</definedName>
    <definedName name="jfjk4r" localSheetId="4">#REF!</definedName>
    <definedName name="jfjk4r" localSheetId="3">#REF!</definedName>
    <definedName name="jfjk4r" localSheetId="6">#REF!</definedName>
    <definedName name="jfjk4r" localSheetId="5">#REF!</definedName>
    <definedName name="jfjk4r" localSheetId="26">#REF!</definedName>
    <definedName name="jfjk4r" localSheetId="17">#REF!</definedName>
    <definedName name="jfjk4r" localSheetId="18">#REF!</definedName>
    <definedName name="jfjk4r" localSheetId="28">#REF!</definedName>
    <definedName name="jfjk4r" localSheetId="19">#REF!</definedName>
    <definedName name="jfjk4r" localSheetId="8">#REF!</definedName>
    <definedName name="jfjk4r" localSheetId="7">#REF!</definedName>
    <definedName name="jfjk4r" localSheetId="10">#REF!</definedName>
    <definedName name="jfjk4r" localSheetId="9">#REF!</definedName>
    <definedName name="jfjk4r" localSheetId="29">#REF!</definedName>
    <definedName name="jfjk4r" localSheetId="30">#REF!</definedName>
    <definedName name="jfjk4r" localSheetId="20">#REF!</definedName>
    <definedName name="jfjk4r" localSheetId="21">#REF!</definedName>
    <definedName name="jfjk4r" localSheetId="34">#REF!</definedName>
    <definedName name="jfjk4r" localSheetId="22">#REF!</definedName>
    <definedName name="jfjk4r" localSheetId="12">#REF!</definedName>
    <definedName name="jfjk4r" localSheetId="11">#REF!</definedName>
    <definedName name="jfjk4r" localSheetId="14">#REF!</definedName>
    <definedName name="jfjk4r" localSheetId="13">#REF!</definedName>
    <definedName name="jfjk4r" localSheetId="32">#REF!</definedName>
    <definedName name="jfjk4r" localSheetId="23">#REF!</definedName>
    <definedName name="jfjk4r">#REF!</definedName>
    <definedName name="jicueiufe3" localSheetId="4">#REF!</definedName>
    <definedName name="jicueiufe3" localSheetId="3">#REF!</definedName>
    <definedName name="jicueiufe3" localSheetId="6">#REF!</definedName>
    <definedName name="jicueiufe3" localSheetId="5">#REF!</definedName>
    <definedName name="jicueiufe3" localSheetId="26">#REF!</definedName>
    <definedName name="jicueiufe3" localSheetId="17">#REF!</definedName>
    <definedName name="jicueiufe3" localSheetId="18">#REF!</definedName>
    <definedName name="jicueiufe3" localSheetId="28">#REF!</definedName>
    <definedName name="jicueiufe3" localSheetId="19">#REF!</definedName>
    <definedName name="jicueiufe3" localSheetId="8">#REF!</definedName>
    <definedName name="jicueiufe3" localSheetId="7">#REF!</definedName>
    <definedName name="jicueiufe3" localSheetId="10">#REF!</definedName>
    <definedName name="jicueiufe3" localSheetId="9">#REF!</definedName>
    <definedName name="jicueiufe3" localSheetId="29">#REF!</definedName>
    <definedName name="jicueiufe3" localSheetId="30">#REF!</definedName>
    <definedName name="jicueiufe3" localSheetId="20">#REF!</definedName>
    <definedName name="jicueiufe3" localSheetId="21">#REF!</definedName>
    <definedName name="jicueiufe3" localSheetId="34">#REF!</definedName>
    <definedName name="jicueiufe3" localSheetId="22">#REF!</definedName>
    <definedName name="jicueiufe3" localSheetId="12">#REF!</definedName>
    <definedName name="jicueiufe3" localSheetId="11">#REF!</definedName>
    <definedName name="jicueiufe3" localSheetId="14">#REF!</definedName>
    <definedName name="jicueiufe3" localSheetId="13">#REF!</definedName>
    <definedName name="jicueiufe3" localSheetId="32">#REF!</definedName>
    <definedName name="jicueiufe3" localSheetId="23">#REF!</definedName>
    <definedName name="jicueiufe3">#REF!</definedName>
    <definedName name="JKJEWJE9" localSheetId="4">#REF!</definedName>
    <definedName name="JKJEWJE9" localSheetId="3">#REF!</definedName>
    <definedName name="JKJEWJE9" localSheetId="6">#REF!</definedName>
    <definedName name="JKJEWJE9" localSheetId="5">#REF!</definedName>
    <definedName name="JKJEWJE9" localSheetId="26">#REF!</definedName>
    <definedName name="JKJEWJE9" localSheetId="17">#REF!</definedName>
    <definedName name="JKJEWJE9" localSheetId="18">#REF!</definedName>
    <definedName name="JKJEWJE9" localSheetId="28">#REF!</definedName>
    <definedName name="JKJEWJE9" localSheetId="19">#REF!</definedName>
    <definedName name="JKJEWJE9" localSheetId="8">#REF!</definedName>
    <definedName name="JKJEWJE9" localSheetId="7">#REF!</definedName>
    <definedName name="JKJEWJE9" localSheetId="10">#REF!</definedName>
    <definedName name="JKJEWJE9" localSheetId="9">#REF!</definedName>
    <definedName name="JKJEWJE9" localSheetId="29">#REF!</definedName>
    <definedName name="JKJEWJE9" localSheetId="30">#REF!</definedName>
    <definedName name="JKJEWJE9" localSheetId="20">#REF!</definedName>
    <definedName name="JKJEWJE9" localSheetId="21">#REF!</definedName>
    <definedName name="JKJEWJE9" localSheetId="34">#REF!</definedName>
    <definedName name="JKJEWJE9" localSheetId="22">#REF!</definedName>
    <definedName name="JKJEWJE9" localSheetId="12">#REF!</definedName>
    <definedName name="JKJEWJE9" localSheetId="11">#REF!</definedName>
    <definedName name="JKJEWJE9" localSheetId="14">#REF!</definedName>
    <definedName name="JKJEWJE9" localSheetId="13">#REF!</definedName>
    <definedName name="JKJEWJE9" localSheetId="32">#REF!</definedName>
    <definedName name="JKJEWJE9" localSheetId="23">#REF!</definedName>
    <definedName name="JKJEWJE9">#REF!</definedName>
    <definedName name="Joice" localSheetId="4">#REF!</definedName>
    <definedName name="Joice" localSheetId="3">#REF!</definedName>
    <definedName name="Joice" localSheetId="6">#REF!</definedName>
    <definedName name="Joice" localSheetId="5">#REF!</definedName>
    <definedName name="Joice" localSheetId="26">#REF!</definedName>
    <definedName name="Joice" localSheetId="17">#REF!</definedName>
    <definedName name="Joice" localSheetId="18">#REF!</definedName>
    <definedName name="Joice" localSheetId="28">#REF!</definedName>
    <definedName name="Joice" localSheetId="19">#REF!</definedName>
    <definedName name="Joice" localSheetId="8">#REF!</definedName>
    <definedName name="Joice" localSheetId="7">#REF!</definedName>
    <definedName name="Joice" localSheetId="10">#REF!</definedName>
    <definedName name="Joice" localSheetId="9">#REF!</definedName>
    <definedName name="Joice" localSheetId="29">#REF!</definedName>
    <definedName name="Joice" localSheetId="30">#REF!</definedName>
    <definedName name="Joice" localSheetId="20">#REF!</definedName>
    <definedName name="Joice" localSheetId="21">#REF!</definedName>
    <definedName name="Joice" localSheetId="34">#REF!</definedName>
    <definedName name="Joice" localSheetId="22">#REF!</definedName>
    <definedName name="Joice" localSheetId="12">#REF!</definedName>
    <definedName name="Joice" localSheetId="11">#REF!</definedName>
    <definedName name="Joice" localSheetId="14">#REF!</definedName>
    <definedName name="Joice" localSheetId="13">#REF!</definedName>
    <definedName name="Joice" localSheetId="32">#REF!</definedName>
    <definedName name="Joice" localSheetId="23">#REF!</definedName>
    <definedName name="Joice">#REF!</definedName>
    <definedName name="Joice101" localSheetId="4">#REF!</definedName>
    <definedName name="Joice101" localSheetId="3">#REF!</definedName>
    <definedName name="Joice101" localSheetId="6">#REF!</definedName>
    <definedName name="Joice101" localSheetId="5">#REF!</definedName>
    <definedName name="Joice101" localSheetId="26">#REF!</definedName>
    <definedName name="Joice101" localSheetId="17">#REF!</definedName>
    <definedName name="Joice101" localSheetId="18">#REF!</definedName>
    <definedName name="Joice101" localSheetId="28">#REF!</definedName>
    <definedName name="Joice101" localSheetId="19">#REF!</definedName>
    <definedName name="Joice101" localSheetId="8">#REF!</definedName>
    <definedName name="Joice101" localSheetId="7">#REF!</definedName>
    <definedName name="Joice101" localSheetId="10">#REF!</definedName>
    <definedName name="Joice101" localSheetId="9">#REF!</definedName>
    <definedName name="Joice101" localSheetId="29">#REF!</definedName>
    <definedName name="Joice101" localSheetId="30">#REF!</definedName>
    <definedName name="Joice101" localSheetId="20">#REF!</definedName>
    <definedName name="Joice101" localSheetId="21">#REF!</definedName>
    <definedName name="Joice101" localSheetId="34">#REF!</definedName>
    <definedName name="Joice101" localSheetId="22">#REF!</definedName>
    <definedName name="Joice101" localSheetId="12">#REF!</definedName>
    <definedName name="Joice101" localSheetId="11">#REF!</definedName>
    <definedName name="Joice101" localSheetId="14">#REF!</definedName>
    <definedName name="Joice101" localSheetId="13">#REF!</definedName>
    <definedName name="Joice101" localSheetId="32">#REF!</definedName>
    <definedName name="Joice101" localSheetId="23">#REF!</definedName>
    <definedName name="Joice101">#REF!</definedName>
    <definedName name="Joice123" localSheetId="4">#REF!</definedName>
    <definedName name="Joice123" localSheetId="3">#REF!</definedName>
    <definedName name="Joice123" localSheetId="6">#REF!</definedName>
    <definedName name="Joice123" localSheetId="5">#REF!</definedName>
    <definedName name="Joice123" localSheetId="26">#REF!</definedName>
    <definedName name="Joice123" localSheetId="17">#REF!</definedName>
    <definedName name="Joice123" localSheetId="18">#REF!</definedName>
    <definedName name="Joice123" localSheetId="28">#REF!</definedName>
    <definedName name="Joice123" localSheetId="19">#REF!</definedName>
    <definedName name="Joice123" localSheetId="8">#REF!</definedName>
    <definedName name="Joice123" localSheetId="7">#REF!</definedName>
    <definedName name="Joice123" localSheetId="10">#REF!</definedName>
    <definedName name="Joice123" localSheetId="9">#REF!</definedName>
    <definedName name="Joice123" localSheetId="29">#REF!</definedName>
    <definedName name="Joice123" localSheetId="30">#REF!</definedName>
    <definedName name="Joice123" localSheetId="20">#REF!</definedName>
    <definedName name="Joice123" localSheetId="21">#REF!</definedName>
    <definedName name="Joice123" localSheetId="34">#REF!</definedName>
    <definedName name="Joice123" localSheetId="22">#REF!</definedName>
    <definedName name="Joice123" localSheetId="12">#REF!</definedName>
    <definedName name="Joice123" localSheetId="11">#REF!</definedName>
    <definedName name="Joice123" localSheetId="14">#REF!</definedName>
    <definedName name="Joice123" localSheetId="13">#REF!</definedName>
    <definedName name="Joice123" localSheetId="32">#REF!</definedName>
    <definedName name="Joice123" localSheetId="23">#REF!</definedName>
    <definedName name="Joice123">#REF!</definedName>
    <definedName name="K" localSheetId="4">#REF!</definedName>
    <definedName name="K" localSheetId="3">#REF!</definedName>
    <definedName name="K" localSheetId="6">#REF!</definedName>
    <definedName name="K" localSheetId="5">#REF!</definedName>
    <definedName name="K" localSheetId="26">#REF!</definedName>
    <definedName name="K" localSheetId="17">#REF!</definedName>
    <definedName name="K" localSheetId="18">#REF!</definedName>
    <definedName name="K" localSheetId="28">#REF!</definedName>
    <definedName name="K" localSheetId="19">#REF!</definedName>
    <definedName name="K" localSheetId="8">#REF!</definedName>
    <definedName name="K" localSheetId="7">#REF!</definedName>
    <definedName name="K" localSheetId="10">#REF!</definedName>
    <definedName name="K" localSheetId="9">#REF!</definedName>
    <definedName name="K" localSheetId="29">#REF!</definedName>
    <definedName name="K" localSheetId="30">#REF!</definedName>
    <definedName name="K" localSheetId="20">#REF!</definedName>
    <definedName name="K" localSheetId="21">#REF!</definedName>
    <definedName name="K" localSheetId="34">#REF!</definedName>
    <definedName name="K" localSheetId="22">#REF!</definedName>
    <definedName name="K" localSheetId="12">#REF!</definedName>
    <definedName name="K" localSheetId="11">#REF!</definedName>
    <definedName name="K" localSheetId="14">#REF!</definedName>
    <definedName name="K" localSheetId="13">#REF!</definedName>
    <definedName name="K" localSheetId="32">#REF!</definedName>
    <definedName name="K" localSheetId="23">#REF!</definedName>
    <definedName name="K">#REF!</definedName>
    <definedName name="kARE" localSheetId="4">#REF!</definedName>
    <definedName name="kARE" localSheetId="3">#REF!</definedName>
    <definedName name="kARE" localSheetId="6">#REF!</definedName>
    <definedName name="kARE" localSheetId="5">#REF!</definedName>
    <definedName name="kARE" localSheetId="26">#REF!</definedName>
    <definedName name="kARE" localSheetId="17">#REF!</definedName>
    <definedName name="kARE" localSheetId="18">#REF!</definedName>
    <definedName name="kARE" localSheetId="28">#REF!</definedName>
    <definedName name="kARE" localSheetId="19">#REF!</definedName>
    <definedName name="kARE" localSheetId="8">#REF!</definedName>
    <definedName name="kARE" localSheetId="7">#REF!</definedName>
    <definedName name="kARE" localSheetId="10">#REF!</definedName>
    <definedName name="kARE" localSheetId="9">#REF!</definedName>
    <definedName name="kARE" localSheetId="29">#REF!</definedName>
    <definedName name="kARE" localSheetId="30">#REF!</definedName>
    <definedName name="kARE" localSheetId="20">#REF!</definedName>
    <definedName name="kARE" localSheetId="21">#REF!</definedName>
    <definedName name="kARE" localSheetId="34">#REF!</definedName>
    <definedName name="kARE" localSheetId="22">#REF!</definedName>
    <definedName name="kARE" localSheetId="12">#REF!</definedName>
    <definedName name="kARE" localSheetId="11">#REF!</definedName>
    <definedName name="kARE" localSheetId="14">#REF!</definedName>
    <definedName name="kARE" localSheetId="13">#REF!</definedName>
    <definedName name="kARE" localSheetId="32">#REF!</definedName>
    <definedName name="kARE" localSheetId="23">#REF!</definedName>
    <definedName name="kARE">#REF!</definedName>
    <definedName name="kclkd2" localSheetId="4">#REF!</definedName>
    <definedName name="kclkd2" localSheetId="3">#REF!</definedName>
    <definedName name="kclkd2" localSheetId="6">#REF!</definedName>
    <definedName name="kclkd2" localSheetId="5">#REF!</definedName>
    <definedName name="kclkd2" localSheetId="26">#REF!</definedName>
    <definedName name="kclkd2" localSheetId="17">#REF!</definedName>
    <definedName name="kclkd2" localSheetId="18">#REF!</definedName>
    <definedName name="kclkd2" localSheetId="28">#REF!</definedName>
    <definedName name="kclkd2" localSheetId="19">#REF!</definedName>
    <definedName name="kclkd2" localSheetId="8">#REF!</definedName>
    <definedName name="kclkd2" localSheetId="7">#REF!</definedName>
    <definedName name="kclkd2" localSheetId="10">#REF!</definedName>
    <definedName name="kclkd2" localSheetId="9">#REF!</definedName>
    <definedName name="kclkd2" localSheetId="29">#REF!</definedName>
    <definedName name="kclkd2" localSheetId="30">#REF!</definedName>
    <definedName name="kclkd2" localSheetId="20">#REF!</definedName>
    <definedName name="kclkd2" localSheetId="21">#REF!</definedName>
    <definedName name="kclkd2" localSheetId="34">#REF!</definedName>
    <definedName name="kclkd2" localSheetId="22">#REF!</definedName>
    <definedName name="kclkd2" localSheetId="12">#REF!</definedName>
    <definedName name="kclkd2" localSheetId="11">#REF!</definedName>
    <definedName name="kclkd2" localSheetId="14">#REF!</definedName>
    <definedName name="kclkd2" localSheetId="13">#REF!</definedName>
    <definedName name="kclkd2" localSheetId="32">#REF!</definedName>
    <definedName name="kclkd2" localSheetId="23">#REF!</definedName>
    <definedName name="kclkd2">#REF!</definedName>
    <definedName name="L" localSheetId="4">#REF!</definedName>
    <definedName name="L" localSheetId="3">#REF!</definedName>
    <definedName name="L" localSheetId="6">#REF!</definedName>
    <definedName name="L" localSheetId="5">#REF!</definedName>
    <definedName name="L" localSheetId="26">#REF!</definedName>
    <definedName name="L" localSheetId="17">#REF!</definedName>
    <definedName name="L" localSheetId="18">#REF!</definedName>
    <definedName name="L" localSheetId="28">#REF!</definedName>
    <definedName name="L" localSheetId="19">#REF!</definedName>
    <definedName name="L" localSheetId="8">#REF!</definedName>
    <definedName name="L" localSheetId="7">#REF!</definedName>
    <definedName name="L" localSheetId="10">#REF!</definedName>
    <definedName name="L" localSheetId="9">#REF!</definedName>
    <definedName name="L" localSheetId="29">#REF!</definedName>
    <definedName name="L" localSheetId="30">#REF!</definedName>
    <definedName name="L" localSheetId="20">#REF!</definedName>
    <definedName name="L" localSheetId="21">#REF!</definedName>
    <definedName name="L" localSheetId="34">#REF!</definedName>
    <definedName name="L" localSheetId="22">#REF!</definedName>
    <definedName name="L" localSheetId="12">#REF!</definedName>
    <definedName name="L" localSheetId="11">#REF!</definedName>
    <definedName name="L" localSheetId="14">#REF!</definedName>
    <definedName name="L" localSheetId="13">#REF!</definedName>
    <definedName name="L" localSheetId="32">#REF!</definedName>
    <definedName name="L" localSheetId="23">#REF!</definedName>
    <definedName name="L">#REF!</definedName>
    <definedName name="LandownerShare">[3]Assumptions!$E$132</definedName>
    <definedName name="Lots" localSheetId="4">[2]Assumptions!#REF!</definedName>
    <definedName name="Lots" localSheetId="3">[2]Assumptions!#REF!</definedName>
    <definedName name="Lots" localSheetId="6">[2]Assumptions!#REF!</definedName>
    <definedName name="Lots" localSheetId="5">[2]Assumptions!#REF!</definedName>
    <definedName name="Lots" localSheetId="26">[2]Assumptions!#REF!</definedName>
    <definedName name="Lots" localSheetId="17">[2]Assumptions!#REF!</definedName>
    <definedName name="Lots" localSheetId="18">[2]Assumptions!#REF!</definedName>
    <definedName name="Lots" localSheetId="28">[2]Assumptions!#REF!</definedName>
    <definedName name="Lots" localSheetId="19">[2]Assumptions!#REF!</definedName>
    <definedName name="Lots" localSheetId="8">[2]Assumptions!#REF!</definedName>
    <definedName name="Lots" localSheetId="7">[2]Assumptions!#REF!</definedName>
    <definedName name="Lots" localSheetId="10">[2]Assumptions!#REF!</definedName>
    <definedName name="Lots" localSheetId="9">[2]Assumptions!#REF!</definedName>
    <definedName name="Lots" localSheetId="29">[2]Assumptions!#REF!</definedName>
    <definedName name="Lots" localSheetId="30">[2]Assumptions!#REF!</definedName>
    <definedName name="Lots" localSheetId="20">[2]Assumptions!#REF!</definedName>
    <definedName name="Lots" localSheetId="21">[2]Assumptions!#REF!</definedName>
    <definedName name="Lots" localSheetId="34">[2]Assumptions!#REF!</definedName>
    <definedName name="Lots" localSheetId="22">[2]Assumptions!#REF!</definedName>
    <definedName name="Lots" localSheetId="12">[2]Assumptions!#REF!</definedName>
    <definedName name="Lots" localSheetId="11">[2]Assumptions!#REF!</definedName>
    <definedName name="Lots" localSheetId="14">[2]Assumptions!#REF!</definedName>
    <definedName name="Lots" localSheetId="13">[2]Assumptions!#REF!</definedName>
    <definedName name="Lots" localSheetId="32">[2]Assumptions!#REF!</definedName>
    <definedName name="Lots" localSheetId="23">[2]Assumptions!#REF!</definedName>
    <definedName name="Lots">[2]Assumptions!#REF!</definedName>
    <definedName name="Manolo_fern" localSheetId="4">#REF!</definedName>
    <definedName name="Manolo_fern" localSheetId="3">#REF!</definedName>
    <definedName name="Manolo_fern" localSheetId="6">#REF!</definedName>
    <definedName name="Manolo_fern" localSheetId="5">#REF!</definedName>
    <definedName name="Manolo_fern" localSheetId="26">#REF!</definedName>
    <definedName name="Manolo_fern" localSheetId="17">#REF!</definedName>
    <definedName name="Manolo_fern" localSheetId="18">#REF!</definedName>
    <definedName name="Manolo_fern" localSheetId="28">#REF!</definedName>
    <definedName name="Manolo_fern" localSheetId="19">#REF!</definedName>
    <definedName name="Manolo_fern" localSheetId="8">#REF!</definedName>
    <definedName name="Manolo_fern" localSheetId="7">#REF!</definedName>
    <definedName name="Manolo_fern" localSheetId="10">#REF!</definedName>
    <definedName name="Manolo_fern" localSheetId="9">#REF!</definedName>
    <definedName name="Manolo_fern" localSheetId="29">#REF!</definedName>
    <definedName name="Manolo_fern" localSheetId="30">#REF!</definedName>
    <definedName name="Manolo_fern" localSheetId="20">#REF!</definedName>
    <definedName name="Manolo_fern" localSheetId="21">#REF!</definedName>
    <definedName name="Manolo_fern" localSheetId="34">#REF!</definedName>
    <definedName name="Manolo_fern" localSheetId="22">#REF!</definedName>
    <definedName name="Manolo_fern" localSheetId="12">#REF!</definedName>
    <definedName name="Manolo_fern" localSheetId="11">#REF!</definedName>
    <definedName name="Manolo_fern" localSheetId="14">#REF!</definedName>
    <definedName name="Manolo_fern" localSheetId="13">#REF!</definedName>
    <definedName name="Manolo_fern" localSheetId="32">#REF!</definedName>
    <definedName name="Manolo_fern" localSheetId="23">#REF!</definedName>
    <definedName name="Manolo_fern">#REF!</definedName>
    <definedName name="Manolo777" localSheetId="4">#REF!</definedName>
    <definedName name="Manolo777" localSheetId="3">#REF!</definedName>
    <definedName name="Manolo777" localSheetId="6">#REF!</definedName>
    <definedName name="Manolo777" localSheetId="5">#REF!</definedName>
    <definedName name="Manolo777" localSheetId="26">#REF!</definedName>
    <definedName name="Manolo777" localSheetId="17">#REF!</definedName>
    <definedName name="Manolo777" localSheetId="18">#REF!</definedName>
    <definedName name="Manolo777" localSheetId="28">#REF!</definedName>
    <definedName name="Manolo777" localSheetId="19">#REF!</definedName>
    <definedName name="Manolo777" localSheetId="8">#REF!</definedName>
    <definedName name="Manolo777" localSheetId="7">#REF!</definedName>
    <definedName name="Manolo777" localSheetId="10">#REF!</definedName>
    <definedName name="Manolo777" localSheetId="9">#REF!</definedName>
    <definedName name="Manolo777" localSheetId="29">#REF!</definedName>
    <definedName name="Manolo777" localSheetId="30">#REF!</definedName>
    <definedName name="Manolo777" localSheetId="20">#REF!</definedName>
    <definedName name="Manolo777" localSheetId="21">#REF!</definedName>
    <definedName name="Manolo777" localSheetId="34">#REF!</definedName>
    <definedName name="Manolo777" localSheetId="22">#REF!</definedName>
    <definedName name="Manolo777" localSheetId="12">#REF!</definedName>
    <definedName name="Manolo777" localSheetId="11">#REF!</definedName>
    <definedName name="Manolo777" localSheetId="14">#REF!</definedName>
    <definedName name="Manolo777" localSheetId="13">#REF!</definedName>
    <definedName name="Manolo777" localSheetId="32">#REF!</definedName>
    <definedName name="Manolo777" localSheetId="23">#REF!</definedName>
    <definedName name="Manolo777">#REF!</definedName>
    <definedName name="MAnolo999" localSheetId="4">#REF!</definedName>
    <definedName name="MAnolo999" localSheetId="3">#REF!</definedName>
    <definedName name="MAnolo999" localSheetId="6">#REF!</definedName>
    <definedName name="MAnolo999" localSheetId="5">#REF!</definedName>
    <definedName name="MAnolo999" localSheetId="26">#REF!</definedName>
    <definedName name="MAnolo999" localSheetId="17">#REF!</definedName>
    <definedName name="MAnolo999" localSheetId="18">#REF!</definedName>
    <definedName name="MAnolo999" localSheetId="28">#REF!</definedName>
    <definedName name="MAnolo999" localSheetId="19">#REF!</definedName>
    <definedName name="MAnolo999" localSheetId="8">#REF!</definedName>
    <definedName name="MAnolo999" localSheetId="7">#REF!</definedName>
    <definedName name="MAnolo999" localSheetId="10">#REF!</definedName>
    <definedName name="MAnolo999" localSheetId="9">#REF!</definedName>
    <definedName name="MAnolo999" localSheetId="29">#REF!</definedName>
    <definedName name="MAnolo999" localSheetId="30">#REF!</definedName>
    <definedName name="MAnolo999" localSheetId="20">#REF!</definedName>
    <definedName name="MAnolo999" localSheetId="21">#REF!</definedName>
    <definedName name="MAnolo999" localSheetId="34">#REF!</definedName>
    <definedName name="MAnolo999" localSheetId="22">#REF!</definedName>
    <definedName name="MAnolo999" localSheetId="12">#REF!</definedName>
    <definedName name="MAnolo999" localSheetId="11">#REF!</definedName>
    <definedName name="MAnolo999" localSheetId="14">#REF!</definedName>
    <definedName name="MAnolo999" localSheetId="13">#REF!</definedName>
    <definedName name="MAnolo999" localSheetId="32">#REF!</definedName>
    <definedName name="MAnolo999" localSheetId="23">#REF!</definedName>
    <definedName name="MAnolo999">#REF!</definedName>
    <definedName name="Miscellaneous">[2]Assumptions!$E$74</definedName>
    <definedName name="N" localSheetId="4">#REF!</definedName>
    <definedName name="N" localSheetId="3">#REF!</definedName>
    <definedName name="N" localSheetId="6">#REF!</definedName>
    <definedName name="N" localSheetId="26">#REF!</definedName>
    <definedName name="N" localSheetId="17">#REF!</definedName>
    <definedName name="N" localSheetId="18">#REF!</definedName>
    <definedName name="N" localSheetId="28">#REF!</definedName>
    <definedName name="N" localSheetId="19">#REF!</definedName>
    <definedName name="N" localSheetId="8">#REF!</definedName>
    <definedName name="N" localSheetId="7">#REF!</definedName>
    <definedName name="N" localSheetId="10">#REF!</definedName>
    <definedName name="N" localSheetId="9">#REF!</definedName>
    <definedName name="N" localSheetId="29">#REF!</definedName>
    <definedName name="N" localSheetId="30">#REF!</definedName>
    <definedName name="N" localSheetId="20">#REF!</definedName>
    <definedName name="N" localSheetId="21">#REF!</definedName>
    <definedName name="N" localSheetId="34">#REF!</definedName>
    <definedName name="N" localSheetId="22">#REF!</definedName>
    <definedName name="N" localSheetId="12">#REF!</definedName>
    <definedName name="N" localSheetId="11">#REF!</definedName>
    <definedName name="N" localSheetId="14">#REF!</definedName>
    <definedName name="N" localSheetId="13">#REF!</definedName>
    <definedName name="N" localSheetId="32">#REF!</definedName>
    <definedName name="N" localSheetId="23">#REF!</definedName>
    <definedName name="N">#REF!</definedName>
    <definedName name="O" localSheetId="4">#REF!</definedName>
    <definedName name="O" localSheetId="3">#REF!</definedName>
    <definedName name="O" localSheetId="6">#REF!</definedName>
    <definedName name="O" localSheetId="5">#REF!</definedName>
    <definedName name="O" localSheetId="26">#REF!</definedName>
    <definedName name="O" localSheetId="17">#REF!</definedName>
    <definedName name="O" localSheetId="18">#REF!</definedName>
    <definedName name="O" localSheetId="28">#REF!</definedName>
    <definedName name="O" localSheetId="19">#REF!</definedName>
    <definedName name="O" localSheetId="8">#REF!</definedName>
    <definedName name="O" localSheetId="7">#REF!</definedName>
    <definedName name="O" localSheetId="10">#REF!</definedName>
    <definedName name="O" localSheetId="9">#REF!</definedName>
    <definedName name="O" localSheetId="29">#REF!</definedName>
    <definedName name="O" localSheetId="30">#REF!</definedName>
    <definedName name="O" localSheetId="20">#REF!</definedName>
    <definedName name="O" localSheetId="21">#REF!</definedName>
    <definedName name="O" localSheetId="34">#REF!</definedName>
    <definedName name="O" localSheetId="22">#REF!</definedName>
    <definedName name="O" localSheetId="12">#REF!</definedName>
    <definedName name="O" localSheetId="11">#REF!</definedName>
    <definedName name="O" localSheetId="14">#REF!</definedName>
    <definedName name="O" localSheetId="13">#REF!</definedName>
    <definedName name="O" localSheetId="32">#REF!</definedName>
    <definedName name="O" localSheetId="23">#REF!</definedName>
    <definedName name="O">#REF!</definedName>
    <definedName name="Okay" localSheetId="4">#REF!</definedName>
    <definedName name="Okay" localSheetId="3">#REF!</definedName>
    <definedName name="Okay" localSheetId="6">#REF!</definedName>
    <definedName name="Okay" localSheetId="5">#REF!</definedName>
    <definedName name="Okay" localSheetId="26">#REF!</definedName>
    <definedName name="Okay" localSheetId="17">#REF!</definedName>
    <definedName name="Okay" localSheetId="18">#REF!</definedName>
    <definedName name="Okay" localSheetId="28">#REF!</definedName>
    <definedName name="Okay" localSheetId="19">#REF!</definedName>
    <definedName name="Okay" localSheetId="8">#REF!</definedName>
    <definedName name="Okay" localSheetId="7">#REF!</definedName>
    <definedName name="Okay" localSheetId="10">#REF!</definedName>
    <definedName name="Okay" localSheetId="9">#REF!</definedName>
    <definedName name="Okay" localSheetId="29">#REF!</definedName>
    <definedName name="Okay" localSheetId="30">#REF!</definedName>
    <definedName name="Okay" localSheetId="20">#REF!</definedName>
    <definedName name="Okay" localSheetId="21">#REF!</definedName>
    <definedName name="Okay" localSheetId="34">#REF!</definedName>
    <definedName name="Okay" localSheetId="22">#REF!</definedName>
    <definedName name="Okay" localSheetId="12">#REF!</definedName>
    <definedName name="Okay" localSheetId="11">#REF!</definedName>
    <definedName name="Okay" localSheetId="14">#REF!</definedName>
    <definedName name="Okay" localSheetId="13">#REF!</definedName>
    <definedName name="Okay" localSheetId="32">#REF!</definedName>
    <definedName name="Okay" localSheetId="23">#REF!</definedName>
    <definedName name="Okay">#REF!</definedName>
    <definedName name="okay101" localSheetId="4">#REF!</definedName>
    <definedName name="okay101" localSheetId="3">#REF!</definedName>
    <definedName name="okay101" localSheetId="6">#REF!</definedName>
    <definedName name="okay101" localSheetId="5">#REF!</definedName>
    <definedName name="okay101" localSheetId="26">#REF!</definedName>
    <definedName name="okay101" localSheetId="17">#REF!</definedName>
    <definedName name="okay101" localSheetId="18">#REF!</definedName>
    <definedName name="okay101" localSheetId="28">#REF!</definedName>
    <definedName name="okay101" localSheetId="19">#REF!</definedName>
    <definedName name="okay101" localSheetId="8">#REF!</definedName>
    <definedName name="okay101" localSheetId="7">#REF!</definedName>
    <definedName name="okay101" localSheetId="10">#REF!</definedName>
    <definedName name="okay101" localSheetId="9">#REF!</definedName>
    <definedName name="okay101" localSheetId="29">#REF!</definedName>
    <definedName name="okay101" localSheetId="30">#REF!</definedName>
    <definedName name="okay101" localSheetId="20">#REF!</definedName>
    <definedName name="okay101" localSheetId="21">#REF!</definedName>
    <definedName name="okay101" localSheetId="34">#REF!</definedName>
    <definedName name="okay101" localSheetId="22">#REF!</definedName>
    <definedName name="okay101" localSheetId="12">#REF!</definedName>
    <definedName name="okay101" localSheetId="11">#REF!</definedName>
    <definedName name="okay101" localSheetId="14">#REF!</definedName>
    <definedName name="okay101" localSheetId="13">#REF!</definedName>
    <definedName name="okay101" localSheetId="32">#REF!</definedName>
    <definedName name="okay101" localSheetId="23">#REF!</definedName>
    <definedName name="okay101">#REF!</definedName>
    <definedName name="oks_98" localSheetId="4">#REF!</definedName>
    <definedName name="oks_98" localSheetId="3">#REF!</definedName>
    <definedName name="oks_98" localSheetId="6">#REF!</definedName>
    <definedName name="oks_98" localSheetId="5">#REF!</definedName>
    <definedName name="oks_98" localSheetId="26">#REF!</definedName>
    <definedName name="oks_98" localSheetId="17">#REF!</definedName>
    <definedName name="oks_98" localSheetId="18">#REF!</definedName>
    <definedName name="oks_98" localSheetId="28">#REF!</definedName>
    <definedName name="oks_98" localSheetId="19">#REF!</definedName>
    <definedName name="oks_98" localSheetId="8">#REF!</definedName>
    <definedName name="oks_98" localSheetId="7">#REF!</definedName>
    <definedName name="oks_98" localSheetId="10">#REF!</definedName>
    <definedName name="oks_98" localSheetId="9">#REF!</definedName>
    <definedName name="oks_98" localSheetId="29">#REF!</definedName>
    <definedName name="oks_98" localSheetId="30">#REF!</definedName>
    <definedName name="oks_98" localSheetId="20">#REF!</definedName>
    <definedName name="oks_98" localSheetId="21">#REF!</definedName>
    <definedName name="oks_98" localSheetId="34">#REF!</definedName>
    <definedName name="oks_98" localSheetId="22">#REF!</definedName>
    <definedName name="oks_98" localSheetId="12">#REF!</definedName>
    <definedName name="oks_98" localSheetId="11">#REF!</definedName>
    <definedName name="oks_98" localSheetId="14">#REF!</definedName>
    <definedName name="oks_98" localSheetId="13">#REF!</definedName>
    <definedName name="oks_98" localSheetId="32">#REF!</definedName>
    <definedName name="oks_98" localSheetId="23">#REF!</definedName>
    <definedName name="oks_98">#REF!</definedName>
    <definedName name="Ouding" localSheetId="4">#REF!</definedName>
    <definedName name="Ouding" localSheetId="3">#REF!</definedName>
    <definedName name="Ouding" localSheetId="6">#REF!</definedName>
    <definedName name="Ouding" localSheetId="5">#REF!</definedName>
    <definedName name="Ouding" localSheetId="26">#REF!</definedName>
    <definedName name="Ouding" localSheetId="17">#REF!</definedName>
    <definedName name="Ouding" localSheetId="18">#REF!</definedName>
    <definedName name="Ouding" localSheetId="28">#REF!</definedName>
    <definedName name="Ouding" localSheetId="19">#REF!</definedName>
    <definedName name="Ouding" localSheetId="8">#REF!</definedName>
    <definedName name="Ouding" localSheetId="7">#REF!</definedName>
    <definedName name="Ouding" localSheetId="10">#REF!</definedName>
    <definedName name="Ouding" localSheetId="9">#REF!</definedName>
    <definedName name="Ouding" localSheetId="29">#REF!</definedName>
    <definedName name="Ouding" localSheetId="30">#REF!</definedName>
    <definedName name="Ouding" localSheetId="20">#REF!</definedName>
    <definedName name="Ouding" localSheetId="21">#REF!</definedName>
    <definedName name="Ouding" localSheetId="34">#REF!</definedName>
    <definedName name="Ouding" localSheetId="22">#REF!</definedName>
    <definedName name="Ouding" localSheetId="12">#REF!</definedName>
    <definedName name="Ouding" localSheetId="11">#REF!</definedName>
    <definedName name="Ouding" localSheetId="14">#REF!</definedName>
    <definedName name="Ouding" localSheetId="13">#REF!</definedName>
    <definedName name="Ouding" localSheetId="32">#REF!</definedName>
    <definedName name="Ouding" localSheetId="23">#REF!</definedName>
    <definedName name="Ouding">#REF!</definedName>
    <definedName name="P" localSheetId="4">#REF!</definedName>
    <definedName name="P" localSheetId="3">#REF!</definedName>
    <definedName name="P" localSheetId="6">#REF!</definedName>
    <definedName name="P" localSheetId="5">#REF!</definedName>
    <definedName name="P" localSheetId="26">#REF!</definedName>
    <definedName name="P" localSheetId="17">#REF!</definedName>
    <definedName name="P" localSheetId="18">#REF!</definedName>
    <definedName name="P" localSheetId="28">#REF!</definedName>
    <definedName name="P" localSheetId="19">#REF!</definedName>
    <definedName name="P" localSheetId="8">#REF!</definedName>
    <definedName name="P" localSheetId="7">#REF!</definedName>
    <definedName name="P" localSheetId="10">#REF!</definedName>
    <definedName name="P" localSheetId="9">#REF!</definedName>
    <definedName name="P" localSheetId="29">#REF!</definedName>
    <definedName name="P" localSheetId="30">#REF!</definedName>
    <definedName name="P" localSheetId="20">#REF!</definedName>
    <definedName name="P" localSheetId="21">#REF!</definedName>
    <definedName name="P" localSheetId="34">#REF!</definedName>
    <definedName name="P" localSheetId="22">#REF!</definedName>
    <definedName name="P" localSheetId="12">#REF!</definedName>
    <definedName name="P" localSheetId="11">#REF!</definedName>
    <definedName name="P" localSheetId="14">#REF!</definedName>
    <definedName name="P" localSheetId="13">#REF!</definedName>
    <definedName name="P" localSheetId="32">#REF!</definedName>
    <definedName name="P" localSheetId="23">#REF!</definedName>
    <definedName name="P">#REF!</definedName>
    <definedName name="peodp3." localSheetId="4">#REF!</definedName>
    <definedName name="peodp3." localSheetId="3">#REF!</definedName>
    <definedName name="peodp3." localSheetId="6">#REF!</definedName>
    <definedName name="peodp3." localSheetId="5">#REF!</definedName>
    <definedName name="peodp3." localSheetId="26">#REF!</definedName>
    <definedName name="peodp3." localSheetId="17">#REF!</definedName>
    <definedName name="peodp3." localSheetId="18">#REF!</definedName>
    <definedName name="peodp3." localSheetId="28">#REF!</definedName>
    <definedName name="peodp3." localSheetId="19">#REF!</definedName>
    <definedName name="peodp3." localSheetId="8">#REF!</definedName>
    <definedName name="peodp3." localSheetId="7">#REF!</definedName>
    <definedName name="peodp3." localSheetId="10">#REF!</definedName>
    <definedName name="peodp3." localSheetId="9">#REF!</definedName>
    <definedName name="peodp3." localSheetId="29">#REF!</definedName>
    <definedName name="peodp3." localSheetId="30">#REF!</definedName>
    <definedName name="peodp3." localSheetId="20">#REF!</definedName>
    <definedName name="peodp3." localSheetId="21">#REF!</definedName>
    <definedName name="peodp3." localSheetId="34">#REF!</definedName>
    <definedName name="peodp3." localSheetId="22">#REF!</definedName>
    <definedName name="peodp3." localSheetId="12">#REF!</definedName>
    <definedName name="peodp3." localSheetId="11">#REF!</definedName>
    <definedName name="peodp3." localSheetId="14">#REF!</definedName>
    <definedName name="peodp3." localSheetId="13">#REF!</definedName>
    <definedName name="peodp3." localSheetId="32">#REF!</definedName>
    <definedName name="peodp3." localSheetId="23">#REF!</definedName>
    <definedName name="peodp3.">#REF!</definedName>
    <definedName name="pivot" localSheetId="4">#REF!</definedName>
    <definedName name="pivot" localSheetId="3">#REF!</definedName>
    <definedName name="pivot" localSheetId="6">#REF!</definedName>
    <definedName name="pivot" localSheetId="5">#REF!</definedName>
    <definedName name="pivot" localSheetId="26">#REF!</definedName>
    <definedName name="pivot" localSheetId="17">#REF!</definedName>
    <definedName name="pivot" localSheetId="18">#REF!</definedName>
    <definedName name="pivot" localSheetId="28">#REF!</definedName>
    <definedName name="pivot" localSheetId="19">#REF!</definedName>
    <definedName name="pivot" localSheetId="8">#REF!</definedName>
    <definedName name="pivot" localSheetId="7">#REF!</definedName>
    <definedName name="pivot" localSheetId="10">#REF!</definedName>
    <definedName name="pivot" localSheetId="9">#REF!</definedName>
    <definedName name="pivot" localSheetId="29">#REF!</definedName>
    <definedName name="pivot" localSheetId="30">#REF!</definedName>
    <definedName name="pivot" localSheetId="20">#REF!</definedName>
    <definedName name="pivot" localSheetId="21">#REF!</definedName>
    <definedName name="pivot" localSheetId="34">#REF!</definedName>
    <definedName name="pivot" localSheetId="22">#REF!</definedName>
    <definedName name="pivot" localSheetId="12">#REF!</definedName>
    <definedName name="pivot" localSheetId="11">#REF!</definedName>
    <definedName name="pivot" localSheetId="14">#REF!</definedName>
    <definedName name="pivot" localSheetId="13">#REF!</definedName>
    <definedName name="pivot" localSheetId="32">#REF!</definedName>
    <definedName name="pivot" localSheetId="23">#REF!</definedName>
    <definedName name="pivot">#REF!</definedName>
    <definedName name="pivot_1" localSheetId="4">#REF!</definedName>
    <definedName name="pivot_1" localSheetId="3">#REF!</definedName>
    <definedName name="pivot_1" localSheetId="6">#REF!</definedName>
    <definedName name="pivot_1" localSheetId="5">#REF!</definedName>
    <definedName name="pivot_1" localSheetId="26">#REF!</definedName>
    <definedName name="pivot_1" localSheetId="17">#REF!</definedName>
    <definedName name="pivot_1" localSheetId="18">#REF!</definedName>
    <definedName name="pivot_1" localSheetId="28">#REF!</definedName>
    <definedName name="pivot_1" localSheetId="19">#REF!</definedName>
    <definedName name="pivot_1" localSheetId="8">#REF!</definedName>
    <definedName name="pivot_1" localSheetId="7">#REF!</definedName>
    <definedName name="pivot_1" localSheetId="10">#REF!</definedName>
    <definedName name="pivot_1" localSheetId="9">#REF!</definedName>
    <definedName name="pivot_1" localSheetId="29">#REF!</definedName>
    <definedName name="pivot_1" localSheetId="30">#REF!</definedName>
    <definedName name="pivot_1" localSheetId="20">#REF!</definedName>
    <definedName name="pivot_1" localSheetId="21">#REF!</definedName>
    <definedName name="pivot_1" localSheetId="34">#REF!</definedName>
    <definedName name="pivot_1" localSheetId="22">#REF!</definedName>
    <definedName name="pivot_1" localSheetId="12">#REF!</definedName>
    <definedName name="pivot_1" localSheetId="11">#REF!</definedName>
    <definedName name="pivot_1" localSheetId="14">#REF!</definedName>
    <definedName name="pivot_1" localSheetId="13">#REF!</definedName>
    <definedName name="pivot_1" localSheetId="32">#REF!</definedName>
    <definedName name="pivot_1" localSheetId="23">#REF!</definedName>
    <definedName name="pivot_1">#REF!</definedName>
    <definedName name="PP" localSheetId="4">#REF!</definedName>
    <definedName name="PP" localSheetId="3">#REF!</definedName>
    <definedName name="PP" localSheetId="6">#REF!</definedName>
    <definedName name="PP" localSheetId="5">#REF!</definedName>
    <definedName name="PP" localSheetId="26">#REF!</definedName>
    <definedName name="PP" localSheetId="17">#REF!</definedName>
    <definedName name="PP" localSheetId="18">#REF!</definedName>
    <definedName name="PP" localSheetId="28">#REF!</definedName>
    <definedName name="PP" localSheetId="19">#REF!</definedName>
    <definedName name="PP" localSheetId="8">#REF!</definedName>
    <definedName name="PP" localSheetId="7">#REF!</definedName>
    <definedName name="PP" localSheetId="10">#REF!</definedName>
    <definedName name="PP" localSheetId="9">#REF!</definedName>
    <definedName name="PP" localSheetId="29">#REF!</definedName>
    <definedName name="PP" localSheetId="30">#REF!</definedName>
    <definedName name="PP" localSheetId="20">#REF!</definedName>
    <definedName name="PP" localSheetId="21">#REF!</definedName>
    <definedName name="PP" localSheetId="34">#REF!</definedName>
    <definedName name="PP" localSheetId="22">#REF!</definedName>
    <definedName name="PP" localSheetId="12">#REF!</definedName>
    <definedName name="PP" localSheetId="11">#REF!</definedName>
    <definedName name="PP" localSheetId="14">#REF!</definedName>
    <definedName name="PP" localSheetId="13">#REF!</definedName>
    <definedName name="PP" localSheetId="32">#REF!</definedName>
    <definedName name="PP" localSheetId="23">#REF!</definedName>
    <definedName name="PP">#REF!</definedName>
    <definedName name="_xlnm.Print_Area" localSheetId="4">Cash_Mem!$A$1:$E$34</definedName>
    <definedName name="_xlnm.Print_Area" localSheetId="24">Cash_Member!$A$1:$H$33</definedName>
    <definedName name="_xlnm.Print_Area" localSheetId="15">'Cash_Non mem'!$A$1:$H$35</definedName>
    <definedName name="_xlnm.Print_Area" localSheetId="3">'Cash_Non-mem'!$A$1:$E$34</definedName>
    <definedName name="_xlnm.Print_Area" localSheetId="6">'Deferred Cash_Mem'!$A$1:$E$47</definedName>
    <definedName name="_xlnm.Print_Area" localSheetId="5">'Deferred Cash_Non-mem'!$A$1:$E$47</definedName>
    <definedName name="_xlnm.Print_Area" localSheetId="25">'DP term1_Member'!$A$1:$H$78</definedName>
    <definedName name="_xlnm.Print_Area" localSheetId="16">'DP term1_Non Mem'!$A$1:$H$73</definedName>
    <definedName name="_xlnm.Print_Area" localSheetId="26">'DP term2_Member'!$A$1:$H$87</definedName>
    <definedName name="_xlnm.Print_Area" localSheetId="17">'DP term2_Non-member'!$A$1:$H$82</definedName>
    <definedName name="_xlnm.Print_Area" localSheetId="27">'DP term3_Member'!$A$1:$H$58</definedName>
    <definedName name="_xlnm.Print_Area" localSheetId="18">'DP term3_Non mem'!$A$1:$H$60</definedName>
    <definedName name="_xlnm.Print_Area" localSheetId="28">'DP term4_Member'!$A$1:$H$58</definedName>
    <definedName name="_xlnm.Print_Area" localSheetId="19">'DP term4_Non mem'!$A$1:$G$60</definedName>
    <definedName name="_xlnm.Print_Area" localSheetId="8">INST1_Mem!$A$1:$E$59</definedName>
    <definedName name="_xlnm.Print_Area" localSheetId="7">'INST1_Non-mem'!$A$1:$E$59</definedName>
    <definedName name="_xlnm.Print_Area" localSheetId="10">INST2_Mem!$A$1:$E$59</definedName>
    <definedName name="_xlnm.Print_Area" localSheetId="9">'INST2_Non-mem'!$A$1:$E$59</definedName>
    <definedName name="_xlnm.Print_Area" localSheetId="29">'NO DP Term1__Member'!$A$1:$H$56</definedName>
    <definedName name="_xlnm.Print_Area" localSheetId="30">'NO DP term1_Member'!$A$1:$E$70</definedName>
    <definedName name="_xlnm.Print_Area" localSheetId="20">'NO DP term1_Non-member'!$A$1:$H$58</definedName>
    <definedName name="_xlnm.Print_Area" localSheetId="31">'NO DP Term2_Member'!$A$1:$H$88</definedName>
    <definedName name="_xlnm.Print_Area" localSheetId="21">'NO DP term2_Non-member'!$A$1:$H$87</definedName>
    <definedName name="_xlnm.Print_Area" localSheetId="34">'NO DP term4_Member'!$A$1:$E$66</definedName>
    <definedName name="_xlnm.Print_Area" localSheetId="22">'NO DP term4_Non-mem'!$A$1:$E$63</definedName>
    <definedName name="_xlnm.Print_Area" localSheetId="12">'Promo Term 1_Mem'!$A$1:$E$56</definedName>
    <definedName name="_xlnm.Print_Area" localSheetId="11">'Promo Term 1_Non-mem'!$A$1:$E$56</definedName>
    <definedName name="_xlnm.Print_Area" localSheetId="14">'Promo Term 2_Mem'!$A$1:$E$87</definedName>
    <definedName name="_xlnm.Print_Area" localSheetId="13">'Promo Term 2_Non-mem'!$A$1:$E$87</definedName>
    <definedName name="_xlnm.Print_Area" localSheetId="32">PROMO_Member!$A$1:$H$60</definedName>
    <definedName name="_xlnm.Print_Area" localSheetId="23">'PROMO_Non Member '!$A$1:$H$59</definedName>
    <definedName name="_xlnm.Print_Titles" localSheetId="18">'DP term3_Non mem'!$1:$6</definedName>
    <definedName name="_xlnm.Print_Titles" localSheetId="19">'DP term4_Non mem'!$1:$6</definedName>
    <definedName name="_xlnm.Print_Titles" localSheetId="30">'NO DP term1_Member'!$20:$20</definedName>
    <definedName name="_xlnm.Print_Titles" localSheetId="20">'NO DP term1_Non-member'!$29:$29</definedName>
    <definedName name="_xlnm.Print_Titles" localSheetId="31">'NO DP Term2_Member'!$1:$6</definedName>
    <definedName name="_xlnm.Print_Titles" localSheetId="21">'NO DP term2_Non-member'!$29:$29</definedName>
    <definedName name="_xlnm.Print_Titles" localSheetId="34">'NO DP term4_Member'!$22:$22</definedName>
    <definedName name="_xlnm.Print_Titles" localSheetId="22">'NO DP term4_Non-mem'!$19:$19</definedName>
    <definedName name="_xlnm.Print_Titles" localSheetId="14">'Promo Term 2_Mem'!$18:$18</definedName>
    <definedName name="_xlnm.Print_Titles" localSheetId="13">'Promo Term 2_Non-mem'!$18:$18</definedName>
    <definedName name="_xlnm.Print_Titles" localSheetId="32">PROMO_Member!$1:$6</definedName>
    <definedName name="_xlnm.Print_Titles" localSheetId="23">'PROMO_Non Member '!$29:$29</definedName>
    <definedName name="ProfFees">[2]Assumptions!$E$71</definedName>
    <definedName name="Q" localSheetId="4">#REF!</definedName>
    <definedName name="Q" localSheetId="3">#REF!</definedName>
    <definedName name="Q" localSheetId="6">#REF!</definedName>
    <definedName name="Q" localSheetId="5">#REF!</definedName>
    <definedName name="Q" localSheetId="26">#REF!</definedName>
    <definedName name="Q" localSheetId="17">#REF!</definedName>
    <definedName name="Q" localSheetId="18">#REF!</definedName>
    <definedName name="Q" localSheetId="28">#REF!</definedName>
    <definedName name="Q" localSheetId="19">#REF!</definedName>
    <definedName name="Q" localSheetId="8">#REF!</definedName>
    <definedName name="Q" localSheetId="7">#REF!</definedName>
    <definedName name="Q" localSheetId="10">#REF!</definedName>
    <definedName name="Q" localSheetId="9">#REF!</definedName>
    <definedName name="Q" localSheetId="29">#REF!</definedName>
    <definedName name="Q" localSheetId="30">#REF!</definedName>
    <definedName name="Q" localSheetId="20">#REF!</definedName>
    <definedName name="Q" localSheetId="21">#REF!</definedName>
    <definedName name="Q" localSheetId="34">#REF!</definedName>
    <definedName name="Q" localSheetId="22">#REF!</definedName>
    <definedName name="Q" localSheetId="12">#REF!</definedName>
    <definedName name="Q" localSheetId="11">#REF!</definedName>
    <definedName name="Q" localSheetId="14">#REF!</definedName>
    <definedName name="Q" localSheetId="13">#REF!</definedName>
    <definedName name="Q" localSheetId="32">#REF!</definedName>
    <definedName name="Q" localSheetId="23">#REF!</definedName>
    <definedName name="Q">#REF!</definedName>
    <definedName name="qqqqq" localSheetId="4">#REF!</definedName>
    <definedName name="qqqqq" localSheetId="3">#REF!</definedName>
    <definedName name="qqqqq" localSheetId="6">#REF!</definedName>
    <definedName name="qqqqq" localSheetId="5">#REF!</definedName>
    <definedName name="qqqqq" localSheetId="26">#REF!</definedName>
    <definedName name="qqqqq" localSheetId="17">#REF!</definedName>
    <definedName name="qqqqq" localSheetId="18">#REF!</definedName>
    <definedName name="qqqqq" localSheetId="28">#REF!</definedName>
    <definedName name="qqqqq" localSheetId="19">#REF!</definedName>
    <definedName name="qqqqq" localSheetId="8">#REF!</definedName>
    <definedName name="qqqqq" localSheetId="7">#REF!</definedName>
    <definedName name="qqqqq" localSheetId="10">#REF!</definedName>
    <definedName name="qqqqq" localSheetId="9">#REF!</definedName>
    <definedName name="qqqqq" localSheetId="29">#REF!</definedName>
    <definedName name="qqqqq" localSheetId="30">#REF!</definedName>
    <definedName name="qqqqq" localSheetId="20">#REF!</definedName>
    <definedName name="qqqqq" localSheetId="21">#REF!</definedName>
    <definedName name="qqqqq" localSheetId="34">#REF!</definedName>
    <definedName name="qqqqq" localSheetId="22">#REF!</definedName>
    <definedName name="qqqqq" localSheetId="12">#REF!</definedName>
    <definedName name="qqqqq" localSheetId="11">#REF!</definedName>
    <definedName name="qqqqq" localSheetId="14">#REF!</definedName>
    <definedName name="qqqqq" localSheetId="13">#REF!</definedName>
    <definedName name="qqqqq" localSheetId="32">#REF!</definedName>
    <definedName name="qqqqq" localSheetId="23">#REF!</definedName>
    <definedName name="qqqqq">#REF!</definedName>
    <definedName name="quezon203" localSheetId="4">#REF!</definedName>
    <definedName name="quezon203" localSheetId="3">#REF!</definedName>
    <definedName name="quezon203" localSheetId="6">#REF!</definedName>
    <definedName name="quezon203" localSheetId="5">#REF!</definedName>
    <definedName name="quezon203" localSheetId="26">#REF!</definedName>
    <definedName name="quezon203" localSheetId="17">#REF!</definedName>
    <definedName name="quezon203" localSheetId="18">#REF!</definedName>
    <definedName name="quezon203" localSheetId="28">#REF!</definedName>
    <definedName name="quezon203" localSheetId="19">#REF!</definedName>
    <definedName name="quezon203" localSheetId="8">#REF!</definedName>
    <definedName name="quezon203" localSheetId="7">#REF!</definedName>
    <definedName name="quezon203" localSheetId="10">#REF!</definedName>
    <definedName name="quezon203" localSheetId="9">#REF!</definedName>
    <definedName name="quezon203" localSheetId="29">#REF!</definedName>
    <definedName name="quezon203" localSheetId="30">#REF!</definedName>
    <definedName name="quezon203" localSheetId="20">#REF!</definedName>
    <definedName name="quezon203" localSheetId="21">#REF!</definedName>
    <definedName name="quezon203" localSheetId="34">#REF!</definedName>
    <definedName name="quezon203" localSheetId="22">#REF!</definedName>
    <definedName name="quezon203" localSheetId="12">#REF!</definedName>
    <definedName name="quezon203" localSheetId="11">#REF!</definedName>
    <definedName name="quezon203" localSheetId="14">#REF!</definedName>
    <definedName name="quezon203" localSheetId="13">#REF!</definedName>
    <definedName name="quezon203" localSheetId="32">#REF!</definedName>
    <definedName name="quezon203" localSheetId="23">#REF!</definedName>
    <definedName name="quezon203">#REF!</definedName>
    <definedName name="QXJ" localSheetId="4">#REF!</definedName>
    <definedName name="QXJ" localSheetId="3">#REF!</definedName>
    <definedName name="QXJ" localSheetId="6">#REF!</definedName>
    <definedName name="QXJ" localSheetId="5">#REF!</definedName>
    <definedName name="QXJ" localSheetId="26">#REF!</definedName>
    <definedName name="QXJ" localSheetId="17">#REF!</definedName>
    <definedName name="QXJ" localSheetId="18">#REF!</definedName>
    <definedName name="QXJ" localSheetId="28">#REF!</definedName>
    <definedName name="QXJ" localSheetId="19">#REF!</definedName>
    <definedName name="QXJ" localSheetId="8">#REF!</definedName>
    <definedName name="QXJ" localSheetId="7">#REF!</definedName>
    <definedName name="QXJ" localSheetId="10">#REF!</definedName>
    <definedName name="QXJ" localSheetId="9">#REF!</definedName>
    <definedName name="QXJ" localSheetId="29">#REF!</definedName>
    <definedName name="QXJ" localSheetId="30">#REF!</definedName>
    <definedName name="QXJ" localSheetId="20">#REF!</definedName>
    <definedName name="QXJ" localSheetId="21">#REF!</definedName>
    <definedName name="QXJ" localSheetId="34">#REF!</definedName>
    <definedName name="QXJ" localSheetId="22">#REF!</definedName>
    <definedName name="QXJ" localSheetId="12">#REF!</definedName>
    <definedName name="QXJ" localSheetId="11">#REF!</definedName>
    <definedName name="QXJ" localSheetId="14">#REF!</definedName>
    <definedName name="QXJ" localSheetId="13">#REF!</definedName>
    <definedName name="QXJ" localSheetId="32">#REF!</definedName>
    <definedName name="QXJ" localSheetId="23">#REF!</definedName>
    <definedName name="QXJ">#REF!</definedName>
    <definedName name="qzz0" localSheetId="4">#REF!</definedName>
    <definedName name="qzz0" localSheetId="3">#REF!</definedName>
    <definedName name="qzz0" localSheetId="6">#REF!</definedName>
    <definedName name="qzz0" localSheetId="5">#REF!</definedName>
    <definedName name="qzz0" localSheetId="26">#REF!</definedName>
    <definedName name="qzz0" localSheetId="17">#REF!</definedName>
    <definedName name="qzz0" localSheetId="18">#REF!</definedName>
    <definedName name="qzz0" localSheetId="28">#REF!</definedName>
    <definedName name="qzz0" localSheetId="19">#REF!</definedName>
    <definedName name="qzz0" localSheetId="8">#REF!</definedName>
    <definedName name="qzz0" localSheetId="7">#REF!</definedName>
    <definedName name="qzz0" localSheetId="10">#REF!</definedName>
    <definedName name="qzz0" localSheetId="9">#REF!</definedName>
    <definedName name="qzz0" localSheetId="29">#REF!</definedName>
    <definedName name="qzz0" localSheetId="30">#REF!</definedName>
    <definedName name="qzz0" localSheetId="20">#REF!</definedName>
    <definedName name="qzz0" localSheetId="21">#REF!</definedName>
    <definedName name="qzz0" localSheetId="34">#REF!</definedName>
    <definedName name="qzz0" localSheetId="22">#REF!</definedName>
    <definedName name="qzz0" localSheetId="12">#REF!</definedName>
    <definedName name="qzz0" localSheetId="11">#REF!</definedName>
    <definedName name="qzz0" localSheetId="14">#REF!</definedName>
    <definedName name="qzz0" localSheetId="13">#REF!</definedName>
    <definedName name="qzz0" localSheetId="32">#REF!</definedName>
    <definedName name="qzz0" localSheetId="23">#REF!</definedName>
    <definedName name="qzz0">#REF!</definedName>
    <definedName name="RPT">[2]Assumptions!$E$76</definedName>
    <definedName name="RRR" localSheetId="4">#REF!</definedName>
    <definedName name="RRR" localSheetId="3">#REF!</definedName>
    <definedName name="RRR" localSheetId="6">#REF!</definedName>
    <definedName name="RRR" localSheetId="5">#REF!</definedName>
    <definedName name="RRR" localSheetId="26">#REF!</definedName>
    <definedName name="RRR" localSheetId="17">#REF!</definedName>
    <definedName name="RRR" localSheetId="18">#REF!</definedName>
    <definedName name="RRR" localSheetId="28">#REF!</definedName>
    <definedName name="RRR" localSheetId="19">#REF!</definedName>
    <definedName name="RRR" localSheetId="8">#REF!</definedName>
    <definedName name="RRR" localSheetId="7">#REF!</definedName>
    <definedName name="RRR" localSheetId="10">#REF!</definedName>
    <definedName name="RRR" localSheetId="9">#REF!</definedName>
    <definedName name="RRR" localSheetId="29">#REF!</definedName>
    <definedName name="RRR" localSheetId="30">#REF!</definedName>
    <definedName name="RRR" localSheetId="20">#REF!</definedName>
    <definedName name="RRR" localSheetId="21">#REF!</definedName>
    <definedName name="RRR" localSheetId="34">#REF!</definedName>
    <definedName name="RRR" localSheetId="22">#REF!</definedName>
    <definedName name="RRR" localSheetId="12">#REF!</definedName>
    <definedName name="RRR" localSheetId="11">#REF!</definedName>
    <definedName name="RRR" localSheetId="14">#REF!</definedName>
    <definedName name="RRR" localSheetId="13">#REF!</definedName>
    <definedName name="RRR" localSheetId="32">#REF!</definedName>
    <definedName name="RRR" localSheetId="23">#REF!</definedName>
    <definedName name="RRR">#REF!</definedName>
    <definedName name="S" localSheetId="4">#REF!</definedName>
    <definedName name="S" localSheetId="3">#REF!</definedName>
    <definedName name="S" localSheetId="6">#REF!</definedName>
    <definedName name="S" localSheetId="5">#REF!</definedName>
    <definedName name="S" localSheetId="26">#REF!</definedName>
    <definedName name="S" localSheetId="17">#REF!</definedName>
    <definedName name="S" localSheetId="18">#REF!</definedName>
    <definedName name="S" localSheetId="28">#REF!</definedName>
    <definedName name="S" localSheetId="19">#REF!</definedName>
    <definedName name="S" localSheetId="8">#REF!</definedName>
    <definedName name="S" localSheetId="7">#REF!</definedName>
    <definedName name="S" localSheetId="10">#REF!</definedName>
    <definedName name="S" localSheetId="9">#REF!</definedName>
    <definedName name="S" localSheetId="29">#REF!</definedName>
    <definedName name="S" localSheetId="30">#REF!</definedName>
    <definedName name="S" localSheetId="20">#REF!</definedName>
    <definedName name="S" localSheetId="21">#REF!</definedName>
    <definedName name="S" localSheetId="34">#REF!</definedName>
    <definedName name="S" localSheetId="22">#REF!</definedName>
    <definedName name="S" localSheetId="12">#REF!</definedName>
    <definedName name="S" localSheetId="11">#REF!</definedName>
    <definedName name="S" localSheetId="14">#REF!</definedName>
    <definedName name="S" localSheetId="13">#REF!</definedName>
    <definedName name="S" localSheetId="32">#REF!</definedName>
    <definedName name="S" localSheetId="23">#REF!</definedName>
    <definedName name="S">#REF!</definedName>
    <definedName name="SeanARrrom" localSheetId="4">#REF!</definedName>
    <definedName name="SeanARrrom" localSheetId="3">#REF!</definedName>
    <definedName name="SeanARrrom" localSheetId="6">#REF!</definedName>
    <definedName name="SeanARrrom" localSheetId="5">#REF!</definedName>
    <definedName name="SeanARrrom" localSheetId="26">#REF!</definedName>
    <definedName name="SeanARrrom" localSheetId="17">#REF!</definedName>
    <definedName name="SeanARrrom" localSheetId="18">#REF!</definedName>
    <definedName name="SeanARrrom" localSheetId="28">#REF!</definedName>
    <definedName name="SeanARrrom" localSheetId="19">#REF!</definedName>
    <definedName name="SeanARrrom" localSheetId="8">#REF!</definedName>
    <definedName name="SeanARrrom" localSheetId="7">#REF!</definedName>
    <definedName name="SeanARrrom" localSheetId="10">#REF!</definedName>
    <definedName name="SeanARrrom" localSheetId="9">#REF!</definedName>
    <definedName name="SeanARrrom" localSheetId="29">#REF!</definedName>
    <definedName name="SeanARrrom" localSheetId="30">#REF!</definedName>
    <definedName name="SeanARrrom" localSheetId="20">#REF!</definedName>
    <definedName name="SeanARrrom" localSheetId="21">#REF!</definedName>
    <definedName name="SeanARrrom" localSheetId="34">#REF!</definedName>
    <definedName name="SeanARrrom" localSheetId="22">#REF!</definedName>
    <definedName name="SeanARrrom" localSheetId="12">#REF!</definedName>
    <definedName name="SeanARrrom" localSheetId="11">#REF!</definedName>
    <definedName name="SeanARrrom" localSheetId="14">#REF!</definedName>
    <definedName name="SeanARrrom" localSheetId="13">#REF!</definedName>
    <definedName name="SeanARrrom" localSheetId="32">#REF!</definedName>
    <definedName name="SeanARrrom" localSheetId="23">#REF!</definedName>
    <definedName name="SeanARrrom">#REF!</definedName>
    <definedName name="sidehil" localSheetId="4">#REF!</definedName>
    <definedName name="sidehil" localSheetId="3">#REF!</definedName>
    <definedName name="sidehil" localSheetId="6">#REF!</definedName>
    <definedName name="sidehil" localSheetId="5">#REF!</definedName>
    <definedName name="sidehil" localSheetId="26">#REF!</definedName>
    <definedName name="sidehil" localSheetId="17">#REF!</definedName>
    <definedName name="sidehil" localSheetId="18">#REF!</definedName>
    <definedName name="sidehil" localSheetId="28">#REF!</definedName>
    <definedName name="sidehil" localSheetId="19">#REF!</definedName>
    <definedName name="sidehil" localSheetId="8">#REF!</definedName>
    <definedName name="sidehil" localSheetId="7">#REF!</definedName>
    <definedName name="sidehil" localSheetId="10">#REF!</definedName>
    <definedName name="sidehil" localSheetId="9">#REF!</definedName>
    <definedName name="sidehil" localSheetId="29">#REF!</definedName>
    <definedName name="sidehil" localSheetId="30">#REF!</definedName>
    <definedName name="sidehil" localSheetId="20">#REF!</definedName>
    <definedName name="sidehil" localSheetId="21">#REF!</definedName>
    <definedName name="sidehil" localSheetId="34">#REF!</definedName>
    <definedName name="sidehil" localSheetId="22">#REF!</definedName>
    <definedName name="sidehil" localSheetId="12">#REF!</definedName>
    <definedName name="sidehil" localSheetId="11">#REF!</definedName>
    <definedName name="sidehil" localSheetId="14">#REF!</definedName>
    <definedName name="sidehil" localSheetId="13">#REF!</definedName>
    <definedName name="sidehil" localSheetId="32">#REF!</definedName>
    <definedName name="sidehil" localSheetId="23">#REF!</definedName>
    <definedName name="sidehil">#REF!</definedName>
    <definedName name="T" localSheetId="4">#REF!</definedName>
    <definedName name="T" localSheetId="3">#REF!</definedName>
    <definedName name="T" localSheetId="6">#REF!</definedName>
    <definedName name="T" localSheetId="5">#REF!</definedName>
    <definedName name="T" localSheetId="26">#REF!</definedName>
    <definedName name="T" localSheetId="17">#REF!</definedName>
    <definedName name="T" localSheetId="18">#REF!</definedName>
    <definedName name="T" localSheetId="28">#REF!</definedName>
    <definedName name="T" localSheetId="19">#REF!</definedName>
    <definedName name="T" localSheetId="8">#REF!</definedName>
    <definedName name="T" localSheetId="7">#REF!</definedName>
    <definedName name="T" localSheetId="10">#REF!</definedName>
    <definedName name="T" localSheetId="9">#REF!</definedName>
    <definedName name="T" localSheetId="29">#REF!</definedName>
    <definedName name="T" localSheetId="30">#REF!</definedName>
    <definedName name="T" localSheetId="20">#REF!</definedName>
    <definedName name="T" localSheetId="21">#REF!</definedName>
    <definedName name="T" localSheetId="34">#REF!</definedName>
    <definedName name="T" localSheetId="22">#REF!</definedName>
    <definedName name="T" localSheetId="12">#REF!</definedName>
    <definedName name="T" localSheetId="11">#REF!</definedName>
    <definedName name="T" localSheetId="14">#REF!</definedName>
    <definedName name="T" localSheetId="13">#REF!</definedName>
    <definedName name="T" localSheetId="32">#REF!</definedName>
    <definedName name="T" localSheetId="23">#REF!</definedName>
    <definedName name="T">#REF!</definedName>
    <definedName name="t0ll" localSheetId="4">#REF!</definedName>
    <definedName name="t0ll" localSheetId="3">#REF!</definedName>
    <definedName name="t0ll" localSheetId="6">#REF!</definedName>
    <definedName name="t0ll" localSheetId="5">#REF!</definedName>
    <definedName name="t0ll" localSheetId="26">#REF!</definedName>
    <definedName name="t0ll" localSheetId="17">#REF!</definedName>
    <definedName name="t0ll" localSheetId="18">#REF!</definedName>
    <definedName name="t0ll" localSheetId="28">#REF!</definedName>
    <definedName name="t0ll" localSheetId="19">#REF!</definedName>
    <definedName name="t0ll" localSheetId="8">#REF!</definedName>
    <definedName name="t0ll" localSheetId="7">#REF!</definedName>
    <definedName name="t0ll" localSheetId="10">#REF!</definedName>
    <definedName name="t0ll" localSheetId="9">#REF!</definedName>
    <definedName name="t0ll" localSheetId="29">#REF!</definedName>
    <definedName name="t0ll" localSheetId="30">#REF!</definedName>
    <definedName name="t0ll" localSheetId="20">#REF!</definedName>
    <definedName name="t0ll" localSheetId="21">#REF!</definedName>
    <definedName name="t0ll" localSheetId="34">#REF!</definedName>
    <definedName name="t0ll" localSheetId="22">#REF!</definedName>
    <definedName name="t0ll" localSheetId="12">#REF!</definedName>
    <definedName name="t0ll" localSheetId="11">#REF!</definedName>
    <definedName name="t0ll" localSheetId="14">#REF!</definedName>
    <definedName name="t0ll" localSheetId="13">#REF!</definedName>
    <definedName name="t0ll" localSheetId="32">#REF!</definedName>
    <definedName name="t0ll" localSheetId="23">#REF!</definedName>
    <definedName name="t0ll">#REF!</definedName>
    <definedName name="talaganamana_999" localSheetId="4">#REF!</definedName>
    <definedName name="talaganamana_999" localSheetId="3">#REF!</definedName>
    <definedName name="talaganamana_999" localSheetId="6">#REF!</definedName>
    <definedName name="talaganamana_999" localSheetId="5">#REF!</definedName>
    <definedName name="talaganamana_999" localSheetId="26">#REF!</definedName>
    <definedName name="talaganamana_999" localSheetId="17">#REF!</definedName>
    <definedName name="talaganamana_999" localSheetId="18">#REF!</definedName>
    <definedName name="talaganamana_999" localSheetId="28">#REF!</definedName>
    <definedName name="talaganamana_999" localSheetId="19">#REF!</definedName>
    <definedName name="talaganamana_999" localSheetId="8">#REF!</definedName>
    <definedName name="talaganamana_999" localSheetId="7">#REF!</definedName>
    <definedName name="talaganamana_999" localSheetId="10">#REF!</definedName>
    <definedName name="talaganamana_999" localSheetId="9">#REF!</definedName>
    <definedName name="talaganamana_999" localSheetId="29">#REF!</definedName>
    <definedName name="talaganamana_999" localSheetId="30">#REF!</definedName>
    <definedName name="talaganamana_999" localSheetId="20">#REF!</definedName>
    <definedName name="talaganamana_999" localSheetId="21">#REF!</definedName>
    <definedName name="talaganamana_999" localSheetId="34">#REF!</definedName>
    <definedName name="talaganamana_999" localSheetId="22">#REF!</definedName>
    <definedName name="talaganamana_999" localSheetId="12">#REF!</definedName>
    <definedName name="talaganamana_999" localSheetId="11">#REF!</definedName>
    <definedName name="talaganamana_999" localSheetId="14">#REF!</definedName>
    <definedName name="talaganamana_999" localSheetId="13">#REF!</definedName>
    <definedName name="talaganamana_999" localSheetId="32">#REF!</definedName>
    <definedName name="talaganamana_999" localSheetId="23">#REF!</definedName>
    <definedName name="talaganamana_999">#REF!</definedName>
    <definedName name="TinaBacud" localSheetId="4">#REF!</definedName>
    <definedName name="TinaBacud" localSheetId="3">#REF!</definedName>
    <definedName name="TinaBacud" localSheetId="6">#REF!</definedName>
    <definedName name="TinaBacud" localSheetId="5">#REF!</definedName>
    <definedName name="TinaBacud" localSheetId="26">#REF!</definedName>
    <definedName name="TinaBacud" localSheetId="17">#REF!</definedName>
    <definedName name="TinaBacud" localSheetId="18">#REF!</definedName>
    <definedName name="TinaBacud" localSheetId="28">#REF!</definedName>
    <definedName name="TinaBacud" localSheetId="19">#REF!</definedName>
    <definedName name="TinaBacud" localSheetId="8">#REF!</definedName>
    <definedName name="TinaBacud" localSheetId="7">#REF!</definedName>
    <definedName name="TinaBacud" localSheetId="10">#REF!</definedName>
    <definedName name="TinaBacud" localSheetId="9">#REF!</definedName>
    <definedName name="TinaBacud" localSheetId="29">#REF!</definedName>
    <definedName name="TinaBacud" localSheetId="30">#REF!</definedName>
    <definedName name="TinaBacud" localSheetId="20">#REF!</definedName>
    <definedName name="TinaBacud" localSheetId="21">#REF!</definedName>
    <definedName name="TinaBacud" localSheetId="34">#REF!</definedName>
    <definedName name="TinaBacud" localSheetId="22">#REF!</definedName>
    <definedName name="TinaBacud" localSheetId="12">#REF!</definedName>
    <definedName name="TinaBacud" localSheetId="11">#REF!</definedName>
    <definedName name="TinaBacud" localSheetId="14">#REF!</definedName>
    <definedName name="TinaBacud" localSheetId="13">#REF!</definedName>
    <definedName name="TinaBacud" localSheetId="32">#REF!</definedName>
    <definedName name="TinaBacud" localSheetId="23">#REF!</definedName>
    <definedName name="TinaBacud">#REF!</definedName>
    <definedName name="U" localSheetId="4">#REF!</definedName>
    <definedName name="U" localSheetId="3">#REF!</definedName>
    <definedName name="U" localSheetId="6">#REF!</definedName>
    <definedName name="U" localSheetId="5">#REF!</definedName>
    <definedName name="U" localSheetId="26">#REF!</definedName>
    <definedName name="U" localSheetId="17">#REF!</definedName>
    <definedName name="U" localSheetId="18">#REF!</definedName>
    <definedName name="U" localSheetId="28">#REF!</definedName>
    <definedName name="U" localSheetId="19">#REF!</definedName>
    <definedName name="U" localSheetId="8">#REF!</definedName>
    <definedName name="U" localSheetId="7">#REF!</definedName>
    <definedName name="U" localSheetId="10">#REF!</definedName>
    <definedName name="U" localSheetId="9">#REF!</definedName>
    <definedName name="U" localSheetId="29">#REF!</definedName>
    <definedName name="U" localSheetId="30">#REF!</definedName>
    <definedName name="U" localSheetId="20">#REF!</definedName>
    <definedName name="U" localSheetId="21">#REF!</definedName>
    <definedName name="U" localSheetId="34">#REF!</definedName>
    <definedName name="U" localSheetId="22">#REF!</definedName>
    <definedName name="U" localSheetId="12">#REF!</definedName>
    <definedName name="U" localSheetId="11">#REF!</definedName>
    <definedName name="U" localSheetId="14">#REF!</definedName>
    <definedName name="U" localSheetId="13">#REF!</definedName>
    <definedName name="U" localSheetId="32">#REF!</definedName>
    <definedName name="U" localSheetId="23">#REF!</definedName>
    <definedName name="U">#REF!</definedName>
    <definedName name="upm">'[5]Take-Up'!$B$5</definedName>
    <definedName name="upm_1">'[5]Take-Up'!$B$5</definedName>
    <definedName name="V" localSheetId="4">#REF!</definedName>
    <definedName name="V" localSheetId="3">#REF!</definedName>
    <definedName name="V" localSheetId="6">#REF!</definedName>
    <definedName name="V" localSheetId="5">#REF!</definedName>
    <definedName name="V" localSheetId="26">#REF!</definedName>
    <definedName name="V" localSheetId="17">#REF!</definedName>
    <definedName name="V" localSheetId="18">#REF!</definedName>
    <definedName name="V" localSheetId="28">#REF!</definedName>
    <definedName name="V" localSheetId="19">#REF!</definedName>
    <definedName name="V" localSheetId="8">#REF!</definedName>
    <definedName name="V" localSheetId="7">#REF!</definedName>
    <definedName name="V" localSheetId="10">#REF!</definedName>
    <definedName name="V" localSheetId="9">#REF!</definedName>
    <definedName name="V" localSheetId="29">#REF!</definedName>
    <definedName name="V" localSheetId="30">#REF!</definedName>
    <definedName name="V" localSheetId="20">#REF!</definedName>
    <definedName name="V" localSheetId="21">#REF!</definedName>
    <definedName name="V" localSheetId="34">#REF!</definedName>
    <definedName name="V" localSheetId="22">#REF!</definedName>
    <definedName name="V" localSheetId="12">#REF!</definedName>
    <definedName name="V" localSheetId="11">#REF!</definedName>
    <definedName name="V" localSheetId="14">#REF!</definedName>
    <definedName name="V" localSheetId="13">#REF!</definedName>
    <definedName name="V" localSheetId="32">#REF!</definedName>
    <definedName name="V" localSheetId="23">#REF!</definedName>
    <definedName name="V">#REF!</definedName>
    <definedName name="vrhfruhfrui_111" localSheetId="4">#REF!</definedName>
    <definedName name="vrhfruhfrui_111" localSheetId="3">#REF!</definedName>
    <definedName name="vrhfruhfrui_111" localSheetId="6">#REF!</definedName>
    <definedName name="vrhfruhfrui_111" localSheetId="5">#REF!</definedName>
    <definedName name="vrhfruhfrui_111" localSheetId="26">#REF!</definedName>
    <definedName name="vrhfruhfrui_111" localSheetId="17">#REF!</definedName>
    <definedName name="vrhfruhfrui_111" localSheetId="18">#REF!</definedName>
    <definedName name="vrhfruhfrui_111" localSheetId="28">#REF!</definedName>
    <definedName name="vrhfruhfrui_111" localSheetId="19">#REF!</definedName>
    <definedName name="vrhfruhfrui_111" localSheetId="8">#REF!</definedName>
    <definedName name="vrhfruhfrui_111" localSheetId="7">#REF!</definedName>
    <definedName name="vrhfruhfrui_111" localSheetId="10">#REF!</definedName>
    <definedName name="vrhfruhfrui_111" localSheetId="9">#REF!</definedName>
    <definedName name="vrhfruhfrui_111" localSheetId="29">#REF!</definedName>
    <definedName name="vrhfruhfrui_111" localSheetId="30">#REF!</definedName>
    <definedName name="vrhfruhfrui_111" localSheetId="20">#REF!</definedName>
    <definedName name="vrhfruhfrui_111" localSheetId="21">#REF!</definedName>
    <definedName name="vrhfruhfrui_111" localSheetId="34">#REF!</definedName>
    <definedName name="vrhfruhfrui_111" localSheetId="22">#REF!</definedName>
    <definedName name="vrhfruhfrui_111" localSheetId="12">#REF!</definedName>
    <definedName name="vrhfruhfrui_111" localSheetId="11">#REF!</definedName>
    <definedName name="vrhfruhfrui_111" localSheetId="14">#REF!</definedName>
    <definedName name="vrhfruhfrui_111" localSheetId="13">#REF!</definedName>
    <definedName name="vrhfruhfrui_111" localSheetId="32">#REF!</definedName>
    <definedName name="vrhfruhfrui_111" localSheetId="23">#REF!</definedName>
    <definedName name="vrhfruhfrui_111">#REF!</definedName>
    <definedName name="W" localSheetId="4">#REF!</definedName>
    <definedName name="W" localSheetId="3">#REF!</definedName>
    <definedName name="W" localSheetId="6">#REF!</definedName>
    <definedName name="W" localSheetId="5">#REF!</definedName>
    <definedName name="W" localSheetId="26">#REF!</definedName>
    <definedName name="W" localSheetId="17">#REF!</definedName>
    <definedName name="W" localSheetId="18">#REF!</definedName>
    <definedName name="W" localSheetId="28">#REF!</definedName>
    <definedName name="W" localSheetId="19">#REF!</definedName>
    <definedName name="W" localSheetId="8">#REF!</definedName>
    <definedName name="W" localSheetId="7">#REF!</definedName>
    <definedName name="W" localSheetId="10">#REF!</definedName>
    <definedName name="W" localSheetId="9">#REF!</definedName>
    <definedName name="W" localSheetId="29">#REF!</definedName>
    <definedName name="W" localSheetId="30">#REF!</definedName>
    <definedName name="W" localSheetId="20">#REF!</definedName>
    <definedName name="W" localSheetId="21">#REF!</definedName>
    <definedName name="W" localSheetId="34">#REF!</definedName>
    <definedName name="W" localSheetId="22">#REF!</definedName>
    <definedName name="W" localSheetId="12">#REF!</definedName>
    <definedName name="W" localSheetId="11">#REF!</definedName>
    <definedName name="W" localSheetId="14">#REF!</definedName>
    <definedName name="W" localSheetId="13">#REF!</definedName>
    <definedName name="W" localSheetId="32">#REF!</definedName>
    <definedName name="W" localSheetId="23">#REF!</definedName>
    <definedName name="W">#REF!</definedName>
    <definedName name="w23w2" localSheetId="4">#REF!</definedName>
    <definedName name="w23w2" localSheetId="3">#REF!</definedName>
    <definedName name="w23w2" localSheetId="6">#REF!</definedName>
    <definedName name="w23w2" localSheetId="5">#REF!</definedName>
    <definedName name="w23w2" localSheetId="26">#REF!</definedName>
    <definedName name="w23w2" localSheetId="17">#REF!</definedName>
    <definedName name="w23w2" localSheetId="18">#REF!</definedName>
    <definedName name="w23w2" localSheetId="28">#REF!</definedName>
    <definedName name="w23w2" localSheetId="19">#REF!</definedName>
    <definedName name="w23w2" localSheetId="8">#REF!</definedName>
    <definedName name="w23w2" localSheetId="7">#REF!</definedName>
    <definedName name="w23w2" localSheetId="10">#REF!</definedName>
    <definedName name="w23w2" localSheetId="9">#REF!</definedName>
    <definedName name="w23w2" localSheetId="29">#REF!</definedName>
    <definedName name="w23w2" localSheetId="30">#REF!</definedName>
    <definedName name="w23w2" localSheetId="20">#REF!</definedName>
    <definedName name="w23w2" localSheetId="21">#REF!</definedName>
    <definedName name="w23w2" localSheetId="34">#REF!</definedName>
    <definedName name="w23w2" localSheetId="22">#REF!</definedName>
    <definedName name="w23w2" localSheetId="12">#REF!</definedName>
    <definedName name="w23w2" localSheetId="11">#REF!</definedName>
    <definedName name="w23w2" localSheetId="14">#REF!</definedName>
    <definedName name="w23w2" localSheetId="13">#REF!</definedName>
    <definedName name="w23w2" localSheetId="32">#REF!</definedName>
    <definedName name="w23w2" localSheetId="23">#REF!</definedName>
    <definedName name="w23w2">#REF!</definedName>
    <definedName name="WLP" localSheetId="4">#REF!</definedName>
    <definedName name="WLP" localSheetId="3">#REF!</definedName>
    <definedName name="WLP" localSheetId="6">#REF!</definedName>
    <definedName name="WLP" localSheetId="5">#REF!</definedName>
    <definedName name="WLP" localSheetId="26">#REF!</definedName>
    <definedName name="WLP" localSheetId="17">#REF!</definedName>
    <definedName name="WLP" localSheetId="18">#REF!</definedName>
    <definedName name="WLP" localSheetId="28">#REF!</definedName>
    <definedName name="WLP" localSheetId="19">#REF!</definedName>
    <definedName name="WLP" localSheetId="8">#REF!</definedName>
    <definedName name="WLP" localSheetId="7">#REF!</definedName>
    <definedName name="WLP" localSheetId="10">#REF!</definedName>
    <definedName name="WLP" localSheetId="9">#REF!</definedName>
    <definedName name="WLP" localSheetId="29">#REF!</definedName>
    <definedName name="WLP" localSheetId="30">#REF!</definedName>
    <definedName name="WLP" localSheetId="20">#REF!</definedName>
    <definedName name="WLP" localSheetId="21">#REF!</definedName>
    <definedName name="WLP" localSheetId="34">#REF!</definedName>
    <definedName name="WLP" localSheetId="22">#REF!</definedName>
    <definedName name="WLP" localSheetId="12">#REF!</definedName>
    <definedName name="WLP" localSheetId="11">#REF!</definedName>
    <definedName name="WLP" localSheetId="14">#REF!</definedName>
    <definedName name="WLP" localSheetId="13">#REF!</definedName>
    <definedName name="WLP" localSheetId="32">#REF!</definedName>
    <definedName name="WLP" localSheetId="23">#REF!</definedName>
    <definedName name="WLP">#REF!</definedName>
    <definedName name="X" localSheetId="4">#REF!</definedName>
    <definedName name="X" localSheetId="3">#REF!</definedName>
    <definedName name="X" localSheetId="6">#REF!</definedName>
    <definedName name="X" localSheetId="5">#REF!</definedName>
    <definedName name="X" localSheetId="26">#REF!</definedName>
    <definedName name="X" localSheetId="17">#REF!</definedName>
    <definedName name="X" localSheetId="18">#REF!</definedName>
    <definedName name="X" localSheetId="28">#REF!</definedName>
    <definedName name="X" localSheetId="19">#REF!</definedName>
    <definedName name="X" localSheetId="8">#REF!</definedName>
    <definedName name="X" localSheetId="7">#REF!</definedName>
    <definedName name="X" localSheetId="10">#REF!</definedName>
    <definedName name="X" localSheetId="9">#REF!</definedName>
    <definedName name="X" localSheetId="29">#REF!</definedName>
    <definedName name="X" localSheetId="30">#REF!</definedName>
    <definedName name="X" localSheetId="20">#REF!</definedName>
    <definedName name="X" localSheetId="21">#REF!</definedName>
    <definedName name="X" localSheetId="34">#REF!</definedName>
    <definedName name="X" localSheetId="22">#REF!</definedName>
    <definedName name="X" localSheetId="12">#REF!</definedName>
    <definedName name="X" localSheetId="11">#REF!</definedName>
    <definedName name="X" localSheetId="14">#REF!</definedName>
    <definedName name="X" localSheetId="13">#REF!</definedName>
    <definedName name="X" localSheetId="32">#REF!</definedName>
    <definedName name="X" localSheetId="23">#REF!</definedName>
    <definedName name="X">#REF!</definedName>
    <definedName name="xavier" localSheetId="4">#REF!</definedName>
    <definedName name="xavier" localSheetId="3">#REF!</definedName>
    <definedName name="xavier" localSheetId="6">#REF!</definedName>
    <definedName name="xavier" localSheetId="5">#REF!</definedName>
    <definedName name="xavier" localSheetId="26">#REF!</definedName>
    <definedName name="xavier" localSheetId="17">#REF!</definedName>
    <definedName name="xavier" localSheetId="18">#REF!</definedName>
    <definedName name="xavier" localSheetId="28">#REF!</definedName>
    <definedName name="xavier" localSheetId="19">#REF!</definedName>
    <definedName name="xavier" localSheetId="8">#REF!</definedName>
    <definedName name="xavier" localSheetId="7">#REF!</definedName>
    <definedName name="xavier" localSheetId="10">#REF!</definedName>
    <definedName name="xavier" localSheetId="9">#REF!</definedName>
    <definedName name="xavier" localSheetId="29">#REF!</definedName>
    <definedName name="xavier" localSheetId="30">#REF!</definedName>
    <definedName name="xavier" localSheetId="20">#REF!</definedName>
    <definedName name="xavier" localSheetId="21">#REF!</definedName>
    <definedName name="xavier" localSheetId="34">#REF!</definedName>
    <definedName name="xavier" localSheetId="22">#REF!</definedName>
    <definedName name="xavier" localSheetId="12">#REF!</definedName>
    <definedName name="xavier" localSheetId="11">#REF!</definedName>
    <definedName name="xavier" localSheetId="14">#REF!</definedName>
    <definedName name="xavier" localSheetId="13">#REF!</definedName>
    <definedName name="xavier" localSheetId="32">#REF!</definedName>
    <definedName name="xavier" localSheetId="23">#REF!</definedName>
    <definedName name="xavier">#REF!</definedName>
    <definedName name="XRs" localSheetId="4">#REF!</definedName>
    <definedName name="XRs" localSheetId="3">#REF!</definedName>
    <definedName name="XRs" localSheetId="6">#REF!</definedName>
    <definedName name="XRs" localSheetId="5">#REF!</definedName>
    <definedName name="XRs" localSheetId="26">#REF!</definedName>
    <definedName name="XRs" localSheetId="17">#REF!</definedName>
    <definedName name="XRs" localSheetId="18">#REF!</definedName>
    <definedName name="XRs" localSheetId="28">#REF!</definedName>
    <definedName name="XRs" localSheetId="19">#REF!</definedName>
    <definedName name="XRs" localSheetId="8">#REF!</definedName>
    <definedName name="XRs" localSheetId="7">#REF!</definedName>
    <definedName name="XRs" localSheetId="10">#REF!</definedName>
    <definedName name="XRs" localSheetId="9">#REF!</definedName>
    <definedName name="XRs" localSheetId="29">#REF!</definedName>
    <definedName name="XRs" localSheetId="30">#REF!</definedName>
    <definedName name="XRs" localSheetId="20">#REF!</definedName>
    <definedName name="XRs" localSheetId="21">#REF!</definedName>
    <definedName name="XRs" localSheetId="34">#REF!</definedName>
    <definedName name="XRs" localSheetId="22">#REF!</definedName>
    <definedName name="XRs" localSheetId="12">#REF!</definedName>
    <definedName name="XRs" localSheetId="11">#REF!</definedName>
    <definedName name="XRs" localSheetId="14">#REF!</definedName>
    <definedName name="XRs" localSheetId="13">#REF!</definedName>
    <definedName name="XRs" localSheetId="32">#REF!</definedName>
    <definedName name="XRs" localSheetId="23">#REF!</definedName>
    <definedName name="XRs">#REF!</definedName>
    <definedName name="xzzzz." localSheetId="4">#REF!</definedName>
    <definedName name="xzzzz." localSheetId="3">#REF!</definedName>
    <definedName name="xzzzz." localSheetId="6">#REF!</definedName>
    <definedName name="xzzzz." localSheetId="5">#REF!</definedName>
    <definedName name="xzzzz." localSheetId="26">#REF!</definedName>
    <definedName name="xzzzz." localSheetId="17">#REF!</definedName>
    <definedName name="xzzzz." localSheetId="18">#REF!</definedName>
    <definedName name="xzzzz." localSheetId="28">#REF!</definedName>
    <definedName name="xzzzz." localSheetId="19">#REF!</definedName>
    <definedName name="xzzzz." localSheetId="8">#REF!</definedName>
    <definedName name="xzzzz." localSheetId="7">#REF!</definedName>
    <definedName name="xzzzz." localSheetId="10">#REF!</definedName>
    <definedName name="xzzzz." localSheetId="9">#REF!</definedName>
    <definedName name="xzzzz." localSheetId="29">#REF!</definedName>
    <definedName name="xzzzz." localSheetId="30">#REF!</definedName>
    <definedName name="xzzzz." localSheetId="20">#REF!</definedName>
    <definedName name="xzzzz." localSheetId="21">#REF!</definedName>
    <definedName name="xzzzz." localSheetId="34">#REF!</definedName>
    <definedName name="xzzzz." localSheetId="22">#REF!</definedName>
    <definedName name="xzzzz." localSheetId="12">#REF!</definedName>
    <definedName name="xzzzz." localSheetId="11">#REF!</definedName>
    <definedName name="xzzzz." localSheetId="14">#REF!</definedName>
    <definedName name="xzzzz." localSheetId="13">#REF!</definedName>
    <definedName name="xzzzz." localSheetId="32">#REF!</definedName>
    <definedName name="xzzzz." localSheetId="23">#REF!</definedName>
    <definedName name="xzzzz.">#REF!</definedName>
    <definedName name="Y" localSheetId="4">#REF!</definedName>
    <definedName name="Y" localSheetId="3">#REF!</definedName>
    <definedName name="Y" localSheetId="6">#REF!</definedName>
    <definedName name="Y" localSheetId="5">#REF!</definedName>
    <definedName name="Y" localSheetId="26">#REF!</definedName>
    <definedName name="Y" localSheetId="17">#REF!</definedName>
    <definedName name="Y" localSheetId="18">#REF!</definedName>
    <definedName name="Y" localSheetId="28">#REF!</definedName>
    <definedName name="Y" localSheetId="19">#REF!</definedName>
    <definedName name="Y" localSheetId="8">#REF!</definedName>
    <definedName name="Y" localSheetId="7">#REF!</definedName>
    <definedName name="Y" localSheetId="10">#REF!</definedName>
    <definedName name="Y" localSheetId="9">#REF!</definedName>
    <definedName name="Y" localSheetId="29">#REF!</definedName>
    <definedName name="Y" localSheetId="30">#REF!</definedName>
    <definedName name="Y" localSheetId="20">#REF!</definedName>
    <definedName name="Y" localSheetId="21">#REF!</definedName>
    <definedName name="Y" localSheetId="34">#REF!</definedName>
    <definedName name="Y" localSheetId="22">#REF!</definedName>
    <definedName name="Y" localSheetId="12">#REF!</definedName>
    <definedName name="Y" localSheetId="11">#REF!</definedName>
    <definedName name="Y" localSheetId="14">#REF!</definedName>
    <definedName name="Y" localSheetId="13">#REF!</definedName>
    <definedName name="Y" localSheetId="32">#REF!</definedName>
    <definedName name="Y" localSheetId="23">#REF!</definedName>
    <definedName name="Y">#REF!</definedName>
    <definedName name="z" localSheetId="4">#REF!</definedName>
    <definedName name="z" localSheetId="3">#REF!</definedName>
    <definedName name="z" localSheetId="6">#REF!</definedName>
    <definedName name="z" localSheetId="5">#REF!</definedName>
    <definedName name="z" localSheetId="26">#REF!</definedName>
    <definedName name="z" localSheetId="17">#REF!</definedName>
    <definedName name="z" localSheetId="18">#REF!</definedName>
    <definedName name="z" localSheetId="28">#REF!</definedName>
    <definedName name="z" localSheetId="19">#REF!</definedName>
    <definedName name="z" localSheetId="8">#REF!</definedName>
    <definedName name="z" localSheetId="7">#REF!</definedName>
    <definedName name="z" localSheetId="10">#REF!</definedName>
    <definedName name="z" localSheetId="9">#REF!</definedName>
    <definedName name="z" localSheetId="29">#REF!</definedName>
    <definedName name="z" localSheetId="30">#REF!</definedName>
    <definedName name="z" localSheetId="20">#REF!</definedName>
    <definedName name="z" localSheetId="21">#REF!</definedName>
    <definedName name="z" localSheetId="34">#REF!</definedName>
    <definedName name="z" localSheetId="22">#REF!</definedName>
    <definedName name="z" localSheetId="12">#REF!</definedName>
    <definedName name="z" localSheetId="11">#REF!</definedName>
    <definedName name="z" localSheetId="14">#REF!</definedName>
    <definedName name="z" localSheetId="13">#REF!</definedName>
    <definedName name="z" localSheetId="32">#REF!</definedName>
    <definedName name="z" localSheetId="23">#REF!</definedName>
    <definedName name="z">#REF!</definedName>
  </definedNames>
  <calcPr calcId="181029"/>
</workbook>
</file>

<file path=xl/calcChain.xml><?xml version="1.0" encoding="utf-8"?>
<calcChain xmlns="http://schemas.openxmlformats.org/spreadsheetml/2006/main">
  <c r="C10" i="249" l="1"/>
  <c r="C8" i="249"/>
  <c r="E13" i="249" s="1"/>
  <c r="E22" i="249" s="1"/>
  <c r="G22" i="249" s="1"/>
  <c r="C6" i="249"/>
  <c r="C5" i="249"/>
  <c r="C10" i="247"/>
  <c r="C8" i="247"/>
  <c r="E13" i="247" s="1"/>
  <c r="E24" i="247" s="1"/>
  <c r="C7" i="247"/>
  <c r="C6" i="247"/>
  <c r="C5" i="247"/>
  <c r="E13" i="233"/>
  <c r="C7" i="249" s="1"/>
  <c r="E12" i="233"/>
  <c r="G13" i="233"/>
  <c r="C9" i="249" s="1"/>
  <c r="D13" i="249" s="1"/>
  <c r="G12" i="233"/>
  <c r="G7" i="233"/>
  <c r="G8" i="233"/>
  <c r="G9" i="233"/>
  <c r="G10" i="233"/>
  <c r="G11" i="233"/>
  <c r="G6" i="233"/>
  <c r="E11" i="233"/>
  <c r="C9" i="247" l="1"/>
  <c r="D13" i="247" s="1"/>
  <c r="D14" i="247" s="1"/>
  <c r="D16" i="247" s="1"/>
  <c r="D14" i="249"/>
  <c r="D16" i="249" s="1"/>
  <c r="G24" i="247"/>
  <c r="E38" i="249" l="1"/>
  <c r="E40" i="249"/>
  <c r="E42" i="249"/>
  <c r="E44" i="249"/>
  <c r="E46" i="249"/>
  <c r="E48" i="249"/>
  <c r="E39" i="249"/>
  <c r="E41" i="249"/>
  <c r="E45" i="249"/>
  <c r="E37" i="249"/>
  <c r="E43" i="249"/>
  <c r="E47" i="249"/>
  <c r="E26" i="249"/>
  <c r="E28" i="249"/>
  <c r="E30" i="249"/>
  <c r="E32" i="249"/>
  <c r="E34" i="249"/>
  <c r="E35" i="249"/>
  <c r="E24" i="249"/>
  <c r="E25" i="249"/>
  <c r="E27" i="249"/>
  <c r="E29" i="249"/>
  <c r="E31" i="249"/>
  <c r="E33" i="249"/>
  <c r="D17" i="249"/>
  <c r="D18" i="247"/>
  <c r="D19" i="247"/>
  <c r="E49" i="249" l="1"/>
  <c r="F37" i="249"/>
  <c r="F39" i="249"/>
  <c r="G39" i="249" s="1"/>
  <c r="F41" i="249"/>
  <c r="G41" i="249" s="1"/>
  <c r="F43" i="249"/>
  <c r="G43" i="249" s="1"/>
  <c r="F45" i="249"/>
  <c r="F47" i="249"/>
  <c r="G47" i="249" s="1"/>
  <c r="F38" i="249"/>
  <c r="G38" i="249" s="1"/>
  <c r="F40" i="249"/>
  <c r="G40" i="249" s="1"/>
  <c r="F42" i="249"/>
  <c r="F44" i="249"/>
  <c r="G44" i="249" s="1"/>
  <c r="F46" i="249"/>
  <c r="G46" i="249" s="1"/>
  <c r="F48" i="249"/>
  <c r="F35" i="249"/>
  <c r="G35" i="249" s="1"/>
  <c r="F26" i="249"/>
  <c r="G26" i="249" s="1"/>
  <c r="F28" i="249"/>
  <c r="G28" i="249" s="1"/>
  <c r="F30" i="249"/>
  <c r="G30" i="249" s="1"/>
  <c r="F32" i="249"/>
  <c r="F34" i="249"/>
  <c r="F25" i="249"/>
  <c r="G25" i="249" s="1"/>
  <c r="F27" i="249"/>
  <c r="G27" i="249" s="1"/>
  <c r="F29" i="249"/>
  <c r="F31" i="249"/>
  <c r="F33" i="249"/>
  <c r="F24" i="249"/>
  <c r="G24" i="249" s="1"/>
  <c r="G42" i="249"/>
  <c r="G48" i="249"/>
  <c r="G37" i="249"/>
  <c r="D18" i="249"/>
  <c r="G45" i="249"/>
  <c r="E50" i="249"/>
  <c r="F41" i="247"/>
  <c r="F43" i="247"/>
  <c r="F45" i="247"/>
  <c r="F47" i="247"/>
  <c r="F49" i="247"/>
  <c r="F40" i="247"/>
  <c r="F42" i="247"/>
  <c r="F44" i="247"/>
  <c r="F46" i="247"/>
  <c r="F48" i="247"/>
  <c r="F50" i="247"/>
  <c r="F39" i="247"/>
  <c r="E40" i="247"/>
  <c r="E42" i="247"/>
  <c r="E44" i="247"/>
  <c r="E46" i="247"/>
  <c r="E48" i="247"/>
  <c r="E50" i="247"/>
  <c r="E39" i="247"/>
  <c r="E41" i="247"/>
  <c r="E43" i="247"/>
  <c r="E45" i="247"/>
  <c r="E47" i="247"/>
  <c r="E49" i="247"/>
  <c r="F37" i="247"/>
  <c r="F28" i="247"/>
  <c r="F30" i="247"/>
  <c r="F32" i="247"/>
  <c r="F34" i="247"/>
  <c r="F36" i="247"/>
  <c r="F26" i="247"/>
  <c r="F27" i="247"/>
  <c r="F29" i="247"/>
  <c r="F31" i="247"/>
  <c r="F33" i="247"/>
  <c r="F35" i="247"/>
  <c r="E28" i="247"/>
  <c r="E30" i="247"/>
  <c r="E32" i="247"/>
  <c r="E34" i="247"/>
  <c r="E36" i="247"/>
  <c r="E37" i="247"/>
  <c r="E27" i="247"/>
  <c r="E29" i="247"/>
  <c r="E31" i="247"/>
  <c r="E33" i="247"/>
  <c r="E35" i="247"/>
  <c r="E26" i="247"/>
  <c r="D20" i="247"/>
  <c r="G42" i="247" l="1"/>
  <c r="G27" i="247"/>
  <c r="G30" i="247"/>
  <c r="G45" i="247"/>
  <c r="G31" i="247"/>
  <c r="E51" i="247"/>
  <c r="F51" i="247"/>
  <c r="F52" i="247" s="1"/>
  <c r="G29" i="247"/>
  <c r="G46" i="247"/>
  <c r="G39" i="247"/>
  <c r="G44" i="247"/>
  <c r="G28" i="247"/>
  <c r="F49" i="249"/>
  <c r="G49" i="249" s="1"/>
  <c r="H21" i="249"/>
  <c r="H22" i="249"/>
  <c r="H24" i="249" s="1"/>
  <c r="H25" i="249" s="1"/>
  <c r="H26" i="249" s="1"/>
  <c r="H27" i="249" s="1"/>
  <c r="H28" i="249" s="1"/>
  <c r="G35" i="247"/>
  <c r="G43" i="247"/>
  <c r="G48" i="247"/>
  <c r="G47" i="247"/>
  <c r="G40" i="247"/>
  <c r="G32" i="247"/>
  <c r="G49" i="247"/>
  <c r="G36" i="247"/>
  <c r="G33" i="247"/>
  <c r="G50" i="247"/>
  <c r="G26" i="247"/>
  <c r="E52" i="247"/>
  <c r="G34" i="247"/>
  <c r="H24" i="247"/>
  <c r="H23" i="247"/>
  <c r="G41" i="247"/>
  <c r="G37" i="247"/>
  <c r="G51" i="247" l="1"/>
  <c r="F50" i="249"/>
  <c r="G52" i="247"/>
  <c r="H26" i="247"/>
  <c r="H27" i="247" s="1"/>
  <c r="H28" i="247" s="1"/>
  <c r="H29" i="247" s="1"/>
  <c r="H30" i="247" s="1"/>
  <c r="H31" i="247" s="1"/>
  <c r="H32" i="247" s="1"/>
  <c r="H33" i="247" s="1"/>
  <c r="H34" i="247" s="1"/>
  <c r="H35" i="247" s="1"/>
  <c r="H36" i="247" s="1"/>
  <c r="H37" i="247" s="1"/>
  <c r="H39" i="247" s="1"/>
  <c r="H40" i="247" s="1"/>
  <c r="H41" i="247" s="1"/>
  <c r="H42" i="247" s="1"/>
  <c r="H43" i="247" s="1"/>
  <c r="H44" i="247" s="1"/>
  <c r="H45" i="247" s="1"/>
  <c r="H46" i="247" s="1"/>
  <c r="H47" i="247" s="1"/>
  <c r="H48" i="247" s="1"/>
  <c r="H49" i="247" s="1"/>
  <c r="H50" i="247" s="1"/>
  <c r="H51" i="247" s="1"/>
  <c r="D12" i="4" l="1"/>
  <c r="D9" i="4" l="1"/>
  <c r="D24" i="247" l="1"/>
  <c r="D26" i="247" s="1"/>
  <c r="D27" i="247" s="1"/>
  <c r="D28" i="247" s="1"/>
  <c r="D29" i="247" s="1"/>
  <c r="D30" i="247" s="1"/>
  <c r="D31" i="247" s="1"/>
  <c r="D32" i="247" s="1"/>
  <c r="D33" i="247" s="1"/>
  <c r="D34" i="247" s="1"/>
  <c r="D35" i="247" s="1"/>
  <c r="D36" i="247" s="1"/>
  <c r="D37" i="247" s="1"/>
  <c r="D39" i="247" s="1"/>
  <c r="D40" i="247" s="1"/>
  <c r="D41" i="247" s="1"/>
  <c r="D42" i="247" s="1"/>
  <c r="D43" i="247" s="1"/>
  <c r="D44" i="247" s="1"/>
  <c r="D45" i="247" s="1"/>
  <c r="D46" i="247" s="1"/>
  <c r="D47" i="247" s="1"/>
  <c r="D48" i="247" s="1"/>
  <c r="D49" i="247" s="1"/>
  <c r="D50" i="247" s="1"/>
  <c r="D51" i="247" s="1"/>
  <c r="D22" i="249"/>
  <c r="C10" i="242"/>
  <c r="C10" i="237"/>
  <c r="C10" i="222"/>
  <c r="C10" i="246"/>
  <c r="C10" i="240"/>
  <c r="C10" i="224"/>
  <c r="C10" i="244"/>
  <c r="C10" i="243"/>
  <c r="C10" i="236"/>
  <c r="C10" i="228"/>
  <c r="C10" i="245"/>
  <c r="C10" i="221"/>
  <c r="C10" i="223"/>
  <c r="C5" i="244"/>
  <c r="C6" i="244"/>
  <c r="C8" i="244"/>
  <c r="D23" i="244"/>
  <c r="D24" i="244" s="1"/>
  <c r="D26" i="244" s="1"/>
  <c r="D27" i="244" s="1"/>
  <c r="D28" i="244" s="1"/>
  <c r="D29" i="244" s="1"/>
  <c r="D30" i="244" s="1"/>
  <c r="D31" i="244" s="1"/>
  <c r="D32" i="244" s="1"/>
  <c r="D33" i="244" s="1"/>
  <c r="D34" i="244" s="1"/>
  <c r="D35" i="244" s="1"/>
  <c r="D36" i="244" s="1"/>
  <c r="D37" i="244" s="1"/>
  <c r="D38" i="244" s="1"/>
  <c r="D39" i="244" s="1"/>
  <c r="D40" i="244" s="1"/>
  <c r="D41" i="244" s="1"/>
  <c r="D42" i="244" s="1"/>
  <c r="D43" i="244" s="1"/>
  <c r="D44" i="244" s="1"/>
  <c r="D45" i="244" s="1"/>
  <c r="D46" i="244" s="1"/>
  <c r="D47" i="244" s="1"/>
  <c r="D48" i="244" s="1"/>
  <c r="D49" i="244" s="1"/>
  <c r="D50" i="244" s="1"/>
  <c r="D51" i="244" s="1"/>
  <c r="D52" i="244" s="1"/>
  <c r="D53" i="244" s="1"/>
  <c r="D54" i="244" s="1"/>
  <c r="D55" i="244" s="1"/>
  <c r="D56" i="244" s="1"/>
  <c r="D57" i="244" s="1"/>
  <c r="D58" i="244" s="1"/>
  <c r="D59" i="244" s="1"/>
  <c r="D60" i="244" s="1"/>
  <c r="D61" i="244" s="1"/>
  <c r="D62" i="244" s="1"/>
  <c r="D63" i="244" s="1"/>
  <c r="D64" i="244" s="1"/>
  <c r="D65" i="244" s="1"/>
  <c r="D66" i="244" s="1"/>
  <c r="D67" i="244" s="1"/>
  <c r="D68" i="244" s="1"/>
  <c r="D69" i="244" s="1"/>
  <c r="D70" i="244" s="1"/>
  <c r="C8" i="228"/>
  <c r="D24" i="249" l="1"/>
  <c r="G29" i="249"/>
  <c r="C5" i="241"/>
  <c r="C6" i="241"/>
  <c r="C8" i="241"/>
  <c r="H29" i="249" l="1"/>
  <c r="H30" i="249" s="1"/>
  <c r="D25" i="249"/>
  <c r="G31" i="249"/>
  <c r="D23" i="246"/>
  <c r="D24" i="246" s="1"/>
  <c r="D26" i="246" s="1"/>
  <c r="D27" i="246" s="1"/>
  <c r="D28" i="246" s="1"/>
  <c r="D29" i="246" s="1"/>
  <c r="D30" i="246" s="1"/>
  <c r="D31" i="246" s="1"/>
  <c r="D32" i="246" s="1"/>
  <c r="D33" i="246" s="1"/>
  <c r="D34" i="246" s="1"/>
  <c r="D35" i="246" s="1"/>
  <c r="D36" i="246" s="1"/>
  <c r="D37" i="246" s="1"/>
  <c r="D38" i="246" s="1"/>
  <c r="D39" i="246" s="1"/>
  <c r="D40" i="246" s="1"/>
  <c r="D41" i="246" s="1"/>
  <c r="D42" i="246" s="1"/>
  <c r="D43" i="246" s="1"/>
  <c r="D44" i="246" s="1"/>
  <c r="D45" i="246" s="1"/>
  <c r="D46" i="246" s="1"/>
  <c r="D47" i="246" s="1"/>
  <c r="D48" i="246" s="1"/>
  <c r="D49" i="246" s="1"/>
  <c r="D50" i="246" s="1"/>
  <c r="C8" i="246"/>
  <c r="E13" i="246" s="1"/>
  <c r="E23" i="246" s="1"/>
  <c r="C6" i="246"/>
  <c r="C5" i="246"/>
  <c r="D25" i="245"/>
  <c r="D26" i="245" s="1"/>
  <c r="D28" i="245" s="1"/>
  <c r="D29" i="245" s="1"/>
  <c r="D30" i="245" s="1"/>
  <c r="D31" i="245" s="1"/>
  <c r="D32" i="245" s="1"/>
  <c r="D33" i="245" s="1"/>
  <c r="D34" i="245" s="1"/>
  <c r="D35" i="245" s="1"/>
  <c r="D36" i="245" s="1"/>
  <c r="D37" i="245" s="1"/>
  <c r="D38" i="245" s="1"/>
  <c r="D39" i="245" s="1"/>
  <c r="D40" i="245" s="1"/>
  <c r="D41" i="245" s="1"/>
  <c r="D42" i="245" s="1"/>
  <c r="D43" i="245" s="1"/>
  <c r="D44" i="245" s="1"/>
  <c r="D45" i="245" s="1"/>
  <c r="D46" i="245" s="1"/>
  <c r="D47" i="245" s="1"/>
  <c r="D48" i="245" s="1"/>
  <c r="D49" i="245" s="1"/>
  <c r="D50" i="245" s="1"/>
  <c r="D51" i="245" s="1"/>
  <c r="D52" i="245" s="1"/>
  <c r="C8" i="245"/>
  <c r="E13" i="245" s="1"/>
  <c r="E25" i="245" s="1"/>
  <c r="C6" i="245"/>
  <c r="C5" i="245"/>
  <c r="H31" i="249" l="1"/>
  <c r="D26" i="249"/>
  <c r="G32" i="249"/>
  <c r="G23" i="246"/>
  <c r="G25" i="245"/>
  <c r="H32" i="249" l="1"/>
  <c r="D27" i="249"/>
  <c r="G33" i="249"/>
  <c r="C8" i="243"/>
  <c r="E13" i="243" s="1"/>
  <c r="E23" i="243" s="1"/>
  <c r="G23" i="243" s="1"/>
  <c r="D23" i="243"/>
  <c r="D24" i="243" s="1"/>
  <c r="D25" i="243" s="1"/>
  <c r="D25" i="241"/>
  <c r="D26" i="241" s="1"/>
  <c r="D27" i="241" s="1"/>
  <c r="C8" i="224"/>
  <c r="E13" i="224" s="1"/>
  <c r="E23" i="224" s="1"/>
  <c r="G23" i="224" s="1"/>
  <c r="C8" i="240"/>
  <c r="E13" i="240" s="1"/>
  <c r="E23" i="240" s="1"/>
  <c r="G23" i="240" s="1"/>
  <c r="E13" i="244"/>
  <c r="E23" i="244" s="1"/>
  <c r="G23" i="244" s="1"/>
  <c r="D22" i="222"/>
  <c r="D24" i="222" s="1"/>
  <c r="D25" i="222" s="1"/>
  <c r="D26" i="222" s="1"/>
  <c r="D27" i="222" s="1"/>
  <c r="D28" i="222" s="1"/>
  <c r="D29" i="222" s="1"/>
  <c r="D30" i="222" s="1"/>
  <c r="D31" i="222" s="1"/>
  <c r="D32" i="222" s="1"/>
  <c r="D33" i="222" s="1"/>
  <c r="D34" i="222" s="1"/>
  <c r="D35" i="222" s="1"/>
  <c r="D36" i="222" s="1"/>
  <c r="D37" i="222" s="1"/>
  <c r="D38" i="222" s="1"/>
  <c r="D39" i="222" s="1"/>
  <c r="D40" i="222" s="1"/>
  <c r="D41" i="222" s="1"/>
  <c r="D42" i="222" s="1"/>
  <c r="D43" i="222" s="1"/>
  <c r="D44" i="222" s="1"/>
  <c r="D45" i="222" s="1"/>
  <c r="D46" i="222" s="1"/>
  <c r="D47" i="222" s="1"/>
  <c r="D48" i="222" s="1"/>
  <c r="C8" i="222"/>
  <c r="E13" i="222" s="1"/>
  <c r="E22" i="222" s="1"/>
  <c r="G22" i="222" s="1"/>
  <c r="C6" i="222"/>
  <c r="C5" i="222"/>
  <c r="C6" i="243"/>
  <c r="C5" i="243"/>
  <c r="D25" i="242"/>
  <c r="D26" i="242" s="1"/>
  <c r="D28" i="242" s="1"/>
  <c r="D29" i="242" s="1"/>
  <c r="D30" i="242" s="1"/>
  <c r="D31" i="242" s="1"/>
  <c r="D32" i="242" s="1"/>
  <c r="D33" i="242" s="1"/>
  <c r="D34" i="242" s="1"/>
  <c r="D35" i="242" s="1"/>
  <c r="D36" i="242" s="1"/>
  <c r="D37" i="242" s="1"/>
  <c r="D38" i="242" s="1"/>
  <c r="D39" i="242" s="1"/>
  <c r="D40" i="242" s="1"/>
  <c r="D41" i="242" s="1"/>
  <c r="D42" i="242" s="1"/>
  <c r="D43" i="242" s="1"/>
  <c r="D44" i="242" s="1"/>
  <c r="D45" i="242" s="1"/>
  <c r="D46" i="242" s="1"/>
  <c r="D47" i="242" s="1"/>
  <c r="D48" i="242" s="1"/>
  <c r="D49" i="242" s="1"/>
  <c r="D50" i="242" s="1"/>
  <c r="D51" i="242" s="1"/>
  <c r="D52" i="242" s="1"/>
  <c r="D53" i="242" s="1"/>
  <c r="D54" i="242" s="1"/>
  <c r="D55" i="242" s="1"/>
  <c r="D56" i="242" s="1"/>
  <c r="D57" i="242" s="1"/>
  <c r="D58" i="242" s="1"/>
  <c r="D59" i="242" s="1"/>
  <c r="D60" i="242" s="1"/>
  <c r="D61" i="242" s="1"/>
  <c r="D62" i="242" s="1"/>
  <c r="D63" i="242" s="1"/>
  <c r="D64" i="242" s="1"/>
  <c r="D65" i="242" s="1"/>
  <c r="D66" i="242" s="1"/>
  <c r="D67" i="242" s="1"/>
  <c r="D68" i="242" s="1"/>
  <c r="D69" i="242" s="1"/>
  <c r="D70" i="242" s="1"/>
  <c r="D71" i="242" s="1"/>
  <c r="D72" i="242" s="1"/>
  <c r="C8" i="242"/>
  <c r="E13" i="242" s="1"/>
  <c r="E25" i="242" s="1"/>
  <c r="G25" i="242" s="1"/>
  <c r="C6" i="242"/>
  <c r="C5" i="242"/>
  <c r="B14" i="225"/>
  <c r="B18" i="150"/>
  <c r="B14" i="239"/>
  <c r="B16" i="229"/>
  <c r="F6" i="233"/>
  <c r="F7" i="233"/>
  <c r="F8" i="233"/>
  <c r="F9" i="233"/>
  <c r="F10" i="233"/>
  <c r="F28" i="233"/>
  <c r="G28" i="233" s="1"/>
  <c r="C5" i="240"/>
  <c r="C6" i="240"/>
  <c r="D23" i="240"/>
  <c r="D24" i="240" s="1"/>
  <c r="D26" i="240" s="1"/>
  <c r="D27" i="240" s="1"/>
  <c r="D28" i="240" s="1"/>
  <c r="D29" i="240" s="1"/>
  <c r="D30" i="240" s="1"/>
  <c r="D31" i="240" s="1"/>
  <c r="D32" i="240" s="1"/>
  <c r="D33" i="240" s="1"/>
  <c r="D34" i="240" s="1"/>
  <c r="D35" i="240" s="1"/>
  <c r="D36" i="240" s="1"/>
  <c r="D37" i="240" s="1"/>
  <c r="D38" i="240" s="1"/>
  <c r="D39" i="240" s="1"/>
  <c r="D40" i="240" s="1"/>
  <c r="D41" i="240" s="1"/>
  <c r="D42" i="240" s="1"/>
  <c r="D43" i="240" s="1"/>
  <c r="D44" i="240" s="1"/>
  <c r="D45" i="240" s="1"/>
  <c r="D46" i="240" s="1"/>
  <c r="D47" i="240" s="1"/>
  <c r="D48" i="240" s="1"/>
  <c r="D49" i="240" s="1"/>
  <c r="D50" i="240" s="1"/>
  <c r="B5" i="239"/>
  <c r="B6" i="239"/>
  <c r="B8" i="239"/>
  <c r="D13" i="239" s="1"/>
  <c r="D20" i="239" s="1"/>
  <c r="B20" i="239"/>
  <c r="B21" i="239" s="1"/>
  <c r="B22" i="239" s="1"/>
  <c r="B23" i="239" s="1"/>
  <c r="B24" i="239" s="1"/>
  <c r="B25" i="239" s="1"/>
  <c r="B26" i="239" s="1"/>
  <c r="B27" i="239" s="1"/>
  <c r="B28" i="239" s="1"/>
  <c r="B29" i="239" s="1"/>
  <c r="B30" i="239" s="1"/>
  <c r="B31" i="239" s="1"/>
  <c r="B32" i="239" s="1"/>
  <c r="B33" i="239" s="1"/>
  <c r="B34" i="239" s="1"/>
  <c r="B35" i="239" s="1"/>
  <c r="B36" i="239" s="1"/>
  <c r="B37" i="239" s="1"/>
  <c r="B38" i="239" s="1"/>
  <c r="B39" i="239" s="1"/>
  <c r="B40" i="239" s="1"/>
  <c r="B41" i="239" s="1"/>
  <c r="B42" i="239" s="1"/>
  <c r="B43" i="239" s="1"/>
  <c r="B44" i="239" s="1"/>
  <c r="B45" i="239" s="1"/>
  <c r="B46" i="239" s="1"/>
  <c r="B47" i="239" s="1"/>
  <c r="B48" i="239" s="1"/>
  <c r="B49" i="239" s="1"/>
  <c r="B50" i="239" s="1"/>
  <c r="B51" i="239" s="1"/>
  <c r="B52" i="239" s="1"/>
  <c r="B53" i="239" s="1"/>
  <c r="B54" i="239" s="1"/>
  <c r="B55" i="239" s="1"/>
  <c r="B56" i="239" s="1"/>
  <c r="B57" i="239" s="1"/>
  <c r="B58" i="239" s="1"/>
  <c r="B59" i="239" s="1"/>
  <c r="B60" i="239" s="1"/>
  <c r="B61" i="239" s="1"/>
  <c r="B62" i="239" s="1"/>
  <c r="B63" i="239" s="1"/>
  <c r="B64" i="239" s="1"/>
  <c r="B65" i="239" s="1"/>
  <c r="B66" i="239" s="1"/>
  <c r="B67" i="239" s="1"/>
  <c r="B68" i="239" s="1"/>
  <c r="B69" i="239" s="1"/>
  <c r="B5" i="225"/>
  <c r="B6" i="225"/>
  <c r="B8" i="225"/>
  <c r="D13" i="225" s="1"/>
  <c r="D20" i="225" s="1"/>
  <c r="B20" i="225"/>
  <c r="B21" i="225" s="1"/>
  <c r="B22" i="225" s="1"/>
  <c r="B23" i="225" s="1"/>
  <c r="B24" i="225" s="1"/>
  <c r="B25" i="225" s="1"/>
  <c r="B26" i="225" s="1"/>
  <c r="B27" i="225" s="1"/>
  <c r="B28" i="225" s="1"/>
  <c r="B29" i="225" s="1"/>
  <c r="B30" i="225" s="1"/>
  <c r="B31" i="225" s="1"/>
  <c r="B32" i="225" s="1"/>
  <c r="B33" i="225" s="1"/>
  <c r="B34" i="225" s="1"/>
  <c r="B35" i="225" s="1"/>
  <c r="B36" i="225" s="1"/>
  <c r="B37" i="225" s="1"/>
  <c r="B38" i="225" s="1"/>
  <c r="B39" i="225" s="1"/>
  <c r="B40" i="225" s="1"/>
  <c r="B41" i="225" s="1"/>
  <c r="B42" i="225" s="1"/>
  <c r="B43" i="225" s="1"/>
  <c r="B44" i="225" s="1"/>
  <c r="B45" i="225" s="1"/>
  <c r="B46" i="225" s="1"/>
  <c r="B47" i="225" s="1"/>
  <c r="B48" i="225" s="1"/>
  <c r="B49" i="225" s="1"/>
  <c r="B50" i="225" s="1"/>
  <c r="B51" i="225" s="1"/>
  <c r="B5" i="150"/>
  <c r="B6" i="150"/>
  <c r="B8" i="150"/>
  <c r="D23" i="150" s="1"/>
  <c r="C10" i="150"/>
  <c r="D10" i="150"/>
  <c r="E10" i="150"/>
  <c r="B23" i="150"/>
  <c r="B24" i="150" s="1"/>
  <c r="B25" i="150" s="1"/>
  <c r="B26" i="150" s="1"/>
  <c r="B27" i="150" s="1"/>
  <c r="B28" i="150" s="1"/>
  <c r="B29" i="150" s="1"/>
  <c r="B30" i="150" s="1"/>
  <c r="B31" i="150" s="1"/>
  <c r="B32" i="150" s="1"/>
  <c r="B33" i="150" s="1"/>
  <c r="B34" i="150" s="1"/>
  <c r="B35" i="150" s="1"/>
  <c r="B36" i="150" s="1"/>
  <c r="B37" i="150" s="1"/>
  <c r="B38" i="150" s="1"/>
  <c r="B39" i="150" s="1"/>
  <c r="B40" i="150" s="1"/>
  <c r="B41" i="150" s="1"/>
  <c r="B42" i="150" s="1"/>
  <c r="B43" i="150" s="1"/>
  <c r="B44" i="150" s="1"/>
  <c r="B45" i="150" s="1"/>
  <c r="B46" i="150" s="1"/>
  <c r="B47" i="150" s="1"/>
  <c r="B48" i="150" s="1"/>
  <c r="B49" i="150" s="1"/>
  <c r="B50" i="150" s="1"/>
  <c r="B51" i="150" s="1"/>
  <c r="B52" i="150" s="1"/>
  <c r="B53" i="150" s="1"/>
  <c r="B54" i="150" s="1"/>
  <c r="C5" i="236"/>
  <c r="C6" i="236"/>
  <c r="C8" i="236"/>
  <c r="E13" i="236" s="1"/>
  <c r="E24" i="236" s="1"/>
  <c r="G24" i="236" s="1"/>
  <c r="D24" i="236"/>
  <c r="D26" i="236" s="1"/>
  <c r="D27" i="236" s="1"/>
  <c r="D28" i="236" s="1"/>
  <c r="D29" i="236" s="1"/>
  <c r="D30" i="236" s="1"/>
  <c r="D31" i="236" s="1"/>
  <c r="D32" i="236" s="1"/>
  <c r="D33" i="236" s="1"/>
  <c r="D34" i="236" s="1"/>
  <c r="D35" i="236" s="1"/>
  <c r="D36" i="236" s="1"/>
  <c r="D37" i="236" s="1"/>
  <c r="D38" i="236" s="1"/>
  <c r="D39" i="236" s="1"/>
  <c r="D40" i="236" s="1"/>
  <c r="D41" i="236" s="1"/>
  <c r="D42" i="236" s="1"/>
  <c r="D43" i="236" s="1"/>
  <c r="D44" i="236" s="1"/>
  <c r="D45" i="236" s="1"/>
  <c r="D46" i="236" s="1"/>
  <c r="D47" i="236" s="1"/>
  <c r="D48" i="236" s="1"/>
  <c r="D49" i="236" s="1"/>
  <c r="D50" i="236" s="1"/>
  <c r="D51" i="236" s="1"/>
  <c r="D52" i="236" s="1"/>
  <c r="D53" i="236" s="1"/>
  <c r="D54" i="236" s="1"/>
  <c r="D55" i="236" s="1"/>
  <c r="D56" i="236" s="1"/>
  <c r="D57" i="236" s="1"/>
  <c r="D58" i="236" s="1"/>
  <c r="D59" i="236" s="1"/>
  <c r="D60" i="236" s="1"/>
  <c r="D61" i="236" s="1"/>
  <c r="D62" i="236" s="1"/>
  <c r="D63" i="236" s="1"/>
  <c r="D64" i="236" s="1"/>
  <c r="D65" i="236" s="1"/>
  <c r="D66" i="236" s="1"/>
  <c r="D67" i="236" s="1"/>
  <c r="D68" i="236" s="1"/>
  <c r="D69" i="236" s="1"/>
  <c r="D70" i="236" s="1"/>
  <c r="D71" i="236" s="1"/>
  <c r="D72" i="236" s="1"/>
  <c r="D73" i="236" s="1"/>
  <c r="D74" i="236" s="1"/>
  <c r="D75" i="236" s="1"/>
  <c r="D76" i="236" s="1"/>
  <c r="D77" i="236" s="1"/>
  <c r="D78" i="236" s="1"/>
  <c r="D79" i="236" s="1"/>
  <c r="C5" i="237"/>
  <c r="C6" i="237"/>
  <c r="C8" i="237"/>
  <c r="E13" i="237" s="1"/>
  <c r="E22" i="237" s="1"/>
  <c r="G22" i="237" s="1"/>
  <c r="D22" i="237"/>
  <c r="D24" i="237" s="1"/>
  <c r="D25" i="237" s="1"/>
  <c r="D26" i="237" s="1"/>
  <c r="D27" i="237" s="1"/>
  <c r="D28" i="237" s="1"/>
  <c r="D29" i="237" s="1"/>
  <c r="D30" i="237" s="1"/>
  <c r="D31" i="237" s="1"/>
  <c r="D32" i="237" s="1"/>
  <c r="D33" i="237" s="1"/>
  <c r="D34" i="237" s="1"/>
  <c r="D35" i="237" s="1"/>
  <c r="D36" i="237" s="1"/>
  <c r="D37" i="237" s="1"/>
  <c r="D38" i="237" s="1"/>
  <c r="D39" i="237" s="1"/>
  <c r="D40" i="237" s="1"/>
  <c r="D41" i="237" s="1"/>
  <c r="D42" i="237" s="1"/>
  <c r="D43" i="237" s="1"/>
  <c r="D44" i="237" s="1"/>
  <c r="D45" i="237" s="1"/>
  <c r="D46" i="237" s="1"/>
  <c r="D47" i="237" s="1"/>
  <c r="D48" i="237" s="1"/>
  <c r="D49" i="237" s="1"/>
  <c r="D50" i="237" s="1"/>
  <c r="D51" i="237" s="1"/>
  <c r="D52" i="237" s="1"/>
  <c r="D53" i="237" s="1"/>
  <c r="D54" i="237" s="1"/>
  <c r="D55" i="237" s="1"/>
  <c r="D56" i="237" s="1"/>
  <c r="D57" i="237" s="1"/>
  <c r="D58" i="237" s="1"/>
  <c r="D59" i="237" s="1"/>
  <c r="D60" i="237" s="1"/>
  <c r="D61" i="237" s="1"/>
  <c r="D62" i="237" s="1"/>
  <c r="D63" i="237" s="1"/>
  <c r="D64" i="237" s="1"/>
  <c r="D65" i="237" s="1"/>
  <c r="D66" i="237" s="1"/>
  <c r="D67" i="237" s="1"/>
  <c r="D68" i="237" s="1"/>
  <c r="D69" i="237" s="1"/>
  <c r="D70" i="237" s="1"/>
  <c r="D71" i="237" s="1"/>
  <c r="D72" i="237" s="1"/>
  <c r="D73" i="237" s="1"/>
  <c r="D74" i="237" s="1"/>
  <c r="D75" i="237" s="1"/>
  <c r="D76" i="237" s="1"/>
  <c r="D77" i="237" s="1"/>
  <c r="C5" i="228"/>
  <c r="C6" i="228"/>
  <c r="E13" i="228"/>
  <c r="E24" i="228" s="1"/>
  <c r="G24" i="228" s="1"/>
  <c r="D24" i="228"/>
  <c r="D26" i="228" s="1"/>
  <c r="D27" i="228" s="1"/>
  <c r="D28" i="228" s="1"/>
  <c r="D29" i="228" s="1"/>
  <c r="D30" i="228" s="1"/>
  <c r="D31" i="228" s="1"/>
  <c r="D32" i="228" s="1"/>
  <c r="D33" i="228" s="1"/>
  <c r="D34" i="228" s="1"/>
  <c r="D35" i="228" s="1"/>
  <c r="D36" i="228" s="1"/>
  <c r="D37" i="228" s="1"/>
  <c r="D38" i="228" s="1"/>
  <c r="D39" i="228" s="1"/>
  <c r="D40" i="228" s="1"/>
  <c r="D41" i="228" s="1"/>
  <c r="D42" i="228" s="1"/>
  <c r="D43" i="228" s="1"/>
  <c r="D44" i="228" s="1"/>
  <c r="D45" i="228" s="1"/>
  <c r="D46" i="228" s="1"/>
  <c r="D47" i="228" s="1"/>
  <c r="D48" i="228" s="1"/>
  <c r="D49" i="228" s="1"/>
  <c r="D50" i="228" s="1"/>
  <c r="B5" i="229"/>
  <c r="B6" i="229"/>
  <c r="B8" i="229"/>
  <c r="D13" i="229" s="1"/>
  <c r="D21" i="229" s="1"/>
  <c r="B21" i="229"/>
  <c r="B22" i="229" s="1"/>
  <c r="B23" i="229" s="1"/>
  <c r="B24" i="229" s="1"/>
  <c r="B25" i="229" s="1"/>
  <c r="B26" i="229" s="1"/>
  <c r="B27" i="229" s="1"/>
  <c r="B28" i="229" s="1"/>
  <c r="B29" i="229" s="1"/>
  <c r="B30" i="229" s="1"/>
  <c r="B31" i="229" s="1"/>
  <c r="B32" i="229" s="1"/>
  <c r="B33" i="229" s="1"/>
  <c r="B34" i="229" s="1"/>
  <c r="B35" i="229" s="1"/>
  <c r="B36" i="229" s="1"/>
  <c r="B37" i="229" s="1"/>
  <c r="B38" i="229" s="1"/>
  <c r="B39" i="229" s="1"/>
  <c r="B40" i="229" s="1"/>
  <c r="B41" i="229" s="1"/>
  <c r="B42" i="229" s="1"/>
  <c r="B43" i="229" s="1"/>
  <c r="B44" i="229" s="1"/>
  <c r="B45" i="229" s="1"/>
  <c r="B46" i="229" s="1"/>
  <c r="B47" i="229" s="1"/>
  <c r="B48" i="229" s="1"/>
  <c r="B49" i="229" s="1"/>
  <c r="B50" i="229" s="1"/>
  <c r="B51" i="229" s="1"/>
  <c r="B52" i="229" s="1"/>
  <c r="B53" i="229" s="1"/>
  <c r="B54" i="229" s="1"/>
  <c r="B55" i="229" s="1"/>
  <c r="B56" i="229" s="1"/>
  <c r="B57" i="229" s="1"/>
  <c r="B58" i="229" s="1"/>
  <c r="C5" i="224"/>
  <c r="C6" i="224"/>
  <c r="D23" i="224"/>
  <c r="D24" i="224" s="1"/>
  <c r="D26" i="224" s="1"/>
  <c r="D27" i="224" s="1"/>
  <c r="D28" i="224" s="1"/>
  <c r="D29" i="224" s="1"/>
  <c r="D30" i="224" s="1"/>
  <c r="D31" i="224" s="1"/>
  <c r="D32" i="224" s="1"/>
  <c r="D33" i="224" s="1"/>
  <c r="D34" i="224" s="1"/>
  <c r="D35" i="224" s="1"/>
  <c r="D36" i="224" s="1"/>
  <c r="D37" i="224" s="1"/>
  <c r="D38" i="224" s="1"/>
  <c r="D39" i="224" s="1"/>
  <c r="D40" i="224" s="1"/>
  <c r="D41" i="224" s="1"/>
  <c r="D42" i="224" s="1"/>
  <c r="D43" i="224" s="1"/>
  <c r="D44" i="224" s="1"/>
  <c r="D45" i="224" s="1"/>
  <c r="D46" i="224" s="1"/>
  <c r="D47" i="224" s="1"/>
  <c r="D48" i="224" s="1"/>
  <c r="D49" i="224" s="1"/>
  <c r="D50" i="224" s="1"/>
  <c r="D51" i="224" s="1"/>
  <c r="D52" i="224" s="1"/>
  <c r="D53" i="224" s="1"/>
  <c r="D54" i="224" s="1"/>
  <c r="D55" i="224" s="1"/>
  <c r="D56" i="224" s="1"/>
  <c r="D57" i="224" s="1"/>
  <c r="D58" i="224" s="1"/>
  <c r="D59" i="224" s="1"/>
  <c r="D60" i="224" s="1"/>
  <c r="D61" i="224" s="1"/>
  <c r="D62" i="224" s="1"/>
  <c r="D63" i="224" s="1"/>
  <c r="D64" i="224" s="1"/>
  <c r="D65" i="224" s="1"/>
  <c r="D66" i="224" s="1"/>
  <c r="D67" i="224" s="1"/>
  <c r="D68" i="224" s="1"/>
  <c r="D69" i="224" s="1"/>
  <c r="D70" i="224" s="1"/>
  <c r="D71" i="224" s="1"/>
  <c r="D72" i="224" s="1"/>
  <c r="D73" i="224" s="1"/>
  <c r="D74" i="224" s="1"/>
  <c r="D75" i="224" s="1"/>
  <c r="D76" i="224" s="1"/>
  <c r="D77" i="224" s="1"/>
  <c r="D78" i="224" s="1"/>
  <c r="D79" i="224" s="1"/>
  <c r="C5" i="223"/>
  <c r="C6" i="223"/>
  <c r="C8" i="223"/>
  <c r="E13" i="223" s="1"/>
  <c r="E25" i="223" s="1"/>
  <c r="G25" i="223" s="1"/>
  <c r="D25" i="223"/>
  <c r="D26" i="223" s="1"/>
  <c r="D28" i="223" s="1"/>
  <c r="D29" i="223" s="1"/>
  <c r="D30" i="223" s="1"/>
  <c r="D31" i="223" s="1"/>
  <c r="D32" i="223" s="1"/>
  <c r="D33" i="223" s="1"/>
  <c r="D34" i="223" s="1"/>
  <c r="D35" i="223" s="1"/>
  <c r="D36" i="223" s="1"/>
  <c r="D37" i="223" s="1"/>
  <c r="D38" i="223" s="1"/>
  <c r="D39" i="223" s="1"/>
  <c r="D40" i="223" s="1"/>
  <c r="D41" i="223" s="1"/>
  <c r="D42" i="223" s="1"/>
  <c r="D43" i="223" s="1"/>
  <c r="D44" i="223" s="1"/>
  <c r="D45" i="223" s="1"/>
  <c r="D46" i="223" s="1"/>
  <c r="D47" i="223" s="1"/>
  <c r="D48" i="223" s="1"/>
  <c r="D49" i="223" s="1"/>
  <c r="D50" i="223" s="1"/>
  <c r="D51" i="223" s="1"/>
  <c r="D52" i="223" s="1"/>
  <c r="D53" i="223" s="1"/>
  <c r="D54" i="223" s="1"/>
  <c r="D55" i="223" s="1"/>
  <c r="D56" i="223" s="1"/>
  <c r="D57" i="223" s="1"/>
  <c r="D58" i="223" s="1"/>
  <c r="D59" i="223" s="1"/>
  <c r="D60" i="223" s="1"/>
  <c r="D61" i="223" s="1"/>
  <c r="D62" i="223" s="1"/>
  <c r="D63" i="223" s="1"/>
  <c r="D64" i="223" s="1"/>
  <c r="D65" i="223" s="1"/>
  <c r="D66" i="223" s="1"/>
  <c r="D67" i="223" s="1"/>
  <c r="D68" i="223" s="1"/>
  <c r="D69" i="223" s="1"/>
  <c r="D70" i="223" s="1"/>
  <c r="D71" i="223" s="1"/>
  <c r="D72" i="223" s="1"/>
  <c r="D73" i="223" s="1"/>
  <c r="D74" i="223" s="1"/>
  <c r="D75" i="223" s="1"/>
  <c r="D76" i="223" s="1"/>
  <c r="D77" i="223" s="1"/>
  <c r="D78" i="223" s="1"/>
  <c r="D79" i="223" s="1"/>
  <c r="D80" i="223" s="1"/>
  <c r="D81" i="223" s="1"/>
  <c r="C5" i="221"/>
  <c r="C6" i="221"/>
  <c r="C8" i="221"/>
  <c r="E13" i="221" s="1"/>
  <c r="E25" i="221" s="1"/>
  <c r="G25" i="221" s="1"/>
  <c r="D25" i="221"/>
  <c r="D26" i="221" s="1"/>
  <c r="D28" i="221" s="1"/>
  <c r="D29" i="221" s="1"/>
  <c r="D30" i="221" s="1"/>
  <c r="D31" i="221" s="1"/>
  <c r="D32" i="221" s="1"/>
  <c r="D33" i="221" s="1"/>
  <c r="D34" i="221" s="1"/>
  <c r="D35" i="221" s="1"/>
  <c r="D36" i="221" s="1"/>
  <c r="D37" i="221" s="1"/>
  <c r="D38" i="221" s="1"/>
  <c r="D39" i="221" s="1"/>
  <c r="D40" i="221" s="1"/>
  <c r="D41" i="221" s="1"/>
  <c r="D42" i="221" s="1"/>
  <c r="D43" i="221" s="1"/>
  <c r="D44" i="221" s="1"/>
  <c r="D45" i="221" s="1"/>
  <c r="D46" i="221" s="1"/>
  <c r="D47" i="221" s="1"/>
  <c r="D48" i="221" s="1"/>
  <c r="D49" i="221" s="1"/>
  <c r="D50" i="221" s="1"/>
  <c r="D51" i="221" s="1"/>
  <c r="D52" i="221" s="1"/>
  <c r="B5" i="148"/>
  <c r="B6" i="148"/>
  <c r="B7" i="148"/>
  <c r="B8" i="148"/>
  <c r="C12" i="148" s="1"/>
  <c r="C14" i="148" s="1"/>
  <c r="B19" i="148"/>
  <c r="B20" i="148" s="1"/>
  <c r="B21" i="148" s="1"/>
  <c r="B22" i="148" s="1"/>
  <c r="B23" i="148" s="1"/>
  <c r="B24" i="148" s="1"/>
  <c r="B25" i="148" s="1"/>
  <c r="B26" i="148" s="1"/>
  <c r="B27" i="148" s="1"/>
  <c r="B28" i="148" s="1"/>
  <c r="B29" i="148" s="1"/>
  <c r="B30" i="148" s="1"/>
  <c r="B31" i="148" s="1"/>
  <c r="B32" i="148" s="1"/>
  <c r="B33" i="148" s="1"/>
  <c r="B34" i="148" s="1"/>
  <c r="B35" i="148" s="1"/>
  <c r="B36" i="148" s="1"/>
  <c r="B37" i="148" s="1"/>
  <c r="B38" i="148" s="1"/>
  <c r="B39" i="148" s="1"/>
  <c r="B40" i="148" s="1"/>
  <c r="B41" i="148" s="1"/>
  <c r="B42" i="148" s="1"/>
  <c r="B43" i="148" s="1"/>
  <c r="B44" i="148" s="1"/>
  <c r="B45" i="148" s="1"/>
  <c r="B46" i="148" s="1"/>
  <c r="B47" i="148" s="1"/>
  <c r="B48" i="148" s="1"/>
  <c r="B49" i="148" s="1"/>
  <c r="B50" i="148" s="1"/>
  <c r="B51" i="148" s="1"/>
  <c r="B52" i="148" s="1"/>
  <c r="B53" i="148" s="1"/>
  <c r="B54" i="148" s="1"/>
  <c r="B55" i="148" s="1"/>
  <c r="B56" i="148" s="1"/>
  <c r="B57" i="148" s="1"/>
  <c r="B58" i="148" s="1"/>
  <c r="B59" i="148" s="1"/>
  <c r="B60" i="148" s="1"/>
  <c r="B61" i="148" s="1"/>
  <c r="B62" i="148" s="1"/>
  <c r="B63" i="148" s="1"/>
  <c r="B64" i="148" s="1"/>
  <c r="B65" i="148" s="1"/>
  <c r="B66" i="148" s="1"/>
  <c r="B67" i="148" s="1"/>
  <c r="B68" i="148" s="1"/>
  <c r="B69" i="148" s="1"/>
  <c r="B70" i="148" s="1"/>
  <c r="B71" i="148" s="1"/>
  <c r="B72" i="148" s="1"/>
  <c r="B73" i="148" s="1"/>
  <c r="B74" i="148" s="1"/>
  <c r="B75" i="148" s="1"/>
  <c r="B5" i="147"/>
  <c r="B6" i="147"/>
  <c r="B7" i="147"/>
  <c r="B8" i="147"/>
  <c r="C12" i="147" s="1"/>
  <c r="C13" i="147" s="1"/>
  <c r="B19" i="147"/>
  <c r="B20" i="147" s="1"/>
  <c r="B21" i="147" s="1"/>
  <c r="B22" i="147" s="1"/>
  <c r="B23" i="147" s="1"/>
  <c r="B24" i="147" s="1"/>
  <c r="B25" i="147" s="1"/>
  <c r="B26" i="147" s="1"/>
  <c r="B27" i="147" s="1"/>
  <c r="B28" i="147" s="1"/>
  <c r="B29" i="147" s="1"/>
  <c r="B30" i="147" s="1"/>
  <c r="B31" i="147" s="1"/>
  <c r="B32" i="147" s="1"/>
  <c r="B33" i="147" s="1"/>
  <c r="B34" i="147" s="1"/>
  <c r="B35" i="147" s="1"/>
  <c r="B36" i="147" s="1"/>
  <c r="B37" i="147" s="1"/>
  <c r="B38" i="147" s="1"/>
  <c r="B39" i="147" s="1"/>
  <c r="B40" i="147" s="1"/>
  <c r="B41" i="147" s="1"/>
  <c r="B42" i="147" s="1"/>
  <c r="B43" i="147" s="1"/>
  <c r="B44" i="147" s="1"/>
  <c r="B45" i="147" s="1"/>
  <c r="B46" i="147" s="1"/>
  <c r="B47" i="147" s="1"/>
  <c r="B48" i="147" s="1"/>
  <c r="B49" i="147" s="1"/>
  <c r="B50" i="147" s="1"/>
  <c r="B51" i="147" s="1"/>
  <c r="B52" i="147" s="1"/>
  <c r="B53" i="147" s="1"/>
  <c r="B54" i="147" s="1"/>
  <c r="B55" i="147" s="1"/>
  <c r="B56" i="147" s="1"/>
  <c r="B57" i="147" s="1"/>
  <c r="B58" i="147" s="1"/>
  <c r="B59" i="147" s="1"/>
  <c r="B60" i="147" s="1"/>
  <c r="B61" i="147" s="1"/>
  <c r="B62" i="147" s="1"/>
  <c r="B63" i="147" s="1"/>
  <c r="B64" i="147" s="1"/>
  <c r="B65" i="147" s="1"/>
  <c r="B66" i="147" s="1"/>
  <c r="B67" i="147" s="1"/>
  <c r="B68" i="147" s="1"/>
  <c r="B69" i="147" s="1"/>
  <c r="B70" i="147" s="1"/>
  <c r="B71" i="147" s="1"/>
  <c r="B72" i="147" s="1"/>
  <c r="B73" i="147" s="1"/>
  <c r="B74" i="147" s="1"/>
  <c r="B75" i="147" s="1"/>
  <c r="B5" i="136"/>
  <c r="B6" i="136"/>
  <c r="B7" i="136"/>
  <c r="B8" i="136"/>
  <c r="C12" i="136" s="1"/>
  <c r="C14" i="136" s="1"/>
  <c r="B19" i="136"/>
  <c r="B20" i="136" s="1"/>
  <c r="B21" i="136" s="1"/>
  <c r="B22" i="136" s="1"/>
  <c r="B23" i="136" s="1"/>
  <c r="B24" i="136" s="1"/>
  <c r="B25" i="136" s="1"/>
  <c r="B26" i="136" s="1"/>
  <c r="B27" i="136" s="1"/>
  <c r="B28" i="136" s="1"/>
  <c r="B29" i="136" s="1"/>
  <c r="B30" i="136" s="1"/>
  <c r="B31" i="136" s="1"/>
  <c r="B32" i="136" s="1"/>
  <c r="B33" i="136" s="1"/>
  <c r="B34" i="136" s="1"/>
  <c r="B35" i="136" s="1"/>
  <c r="B36" i="136" s="1"/>
  <c r="B37" i="136" s="1"/>
  <c r="B38" i="136" s="1"/>
  <c r="B39" i="136" s="1"/>
  <c r="B40" i="136" s="1"/>
  <c r="B41" i="136" s="1"/>
  <c r="B42" i="136" s="1"/>
  <c r="B43" i="136" s="1"/>
  <c r="B44" i="136" s="1"/>
  <c r="B5" i="135"/>
  <c r="B6" i="135"/>
  <c r="B7" i="135"/>
  <c r="B8" i="135"/>
  <c r="C12" i="135" s="1"/>
  <c r="B19" i="135"/>
  <c r="B20" i="135" s="1"/>
  <c r="B21" i="135" s="1"/>
  <c r="B22" i="135" s="1"/>
  <c r="B23" i="135" s="1"/>
  <c r="B24" i="135" s="1"/>
  <c r="B25" i="135" s="1"/>
  <c r="B26" i="135" s="1"/>
  <c r="B27" i="135" s="1"/>
  <c r="B28" i="135" s="1"/>
  <c r="B29" i="135" s="1"/>
  <c r="B30" i="135" s="1"/>
  <c r="B31" i="135" s="1"/>
  <c r="B32" i="135" s="1"/>
  <c r="B33" i="135" s="1"/>
  <c r="B34" i="135" s="1"/>
  <c r="B35" i="135" s="1"/>
  <c r="B36" i="135" s="1"/>
  <c r="B37" i="135" s="1"/>
  <c r="B38" i="135" s="1"/>
  <c r="B39" i="135" s="1"/>
  <c r="B40" i="135" s="1"/>
  <c r="B41" i="135" s="1"/>
  <c r="B42" i="135" s="1"/>
  <c r="B43" i="135" s="1"/>
  <c r="B44" i="135" s="1"/>
  <c r="B5" i="131"/>
  <c r="B6" i="131"/>
  <c r="B7" i="131"/>
  <c r="B8" i="131"/>
  <c r="C12" i="131" s="1"/>
  <c r="C14" i="131" s="1"/>
  <c r="C15" i="131" s="1"/>
  <c r="C16" i="131" s="1"/>
  <c r="C17" i="131" s="1"/>
  <c r="C18" i="131" s="1"/>
  <c r="B21" i="131"/>
  <c r="B22" i="131" s="1"/>
  <c r="B23" i="131" s="1"/>
  <c r="B24" i="131" s="1"/>
  <c r="B25" i="131" s="1"/>
  <c r="B26" i="131" s="1"/>
  <c r="B27" i="131" s="1"/>
  <c r="B28" i="131" s="1"/>
  <c r="B29" i="131" s="1"/>
  <c r="B30" i="131" s="1"/>
  <c r="B31" i="131" s="1"/>
  <c r="B32" i="131" s="1"/>
  <c r="B33" i="131" s="1"/>
  <c r="B34" i="131" s="1"/>
  <c r="B35" i="131" s="1"/>
  <c r="B36" i="131" s="1"/>
  <c r="B37" i="131" s="1"/>
  <c r="B38" i="131" s="1"/>
  <c r="B39" i="131" s="1"/>
  <c r="B40" i="131" s="1"/>
  <c r="B41" i="131" s="1"/>
  <c r="B42" i="131" s="1"/>
  <c r="B43" i="131" s="1"/>
  <c r="B44" i="131" s="1"/>
  <c r="B45" i="131" s="1"/>
  <c r="B46" i="131" s="1"/>
  <c r="B47" i="131" s="1"/>
  <c r="B5" i="130"/>
  <c r="B6" i="130"/>
  <c r="B7" i="130"/>
  <c r="B8" i="130"/>
  <c r="C12" i="130" s="1"/>
  <c r="C13" i="130" s="1"/>
  <c r="C14" i="130" s="1"/>
  <c r="B21" i="130"/>
  <c r="B22" i="130" s="1"/>
  <c r="B23" i="130" s="1"/>
  <c r="B24" i="130" s="1"/>
  <c r="B25" i="130" s="1"/>
  <c r="B26" i="130" s="1"/>
  <c r="B27" i="130" s="1"/>
  <c r="B28" i="130" s="1"/>
  <c r="B29" i="130" s="1"/>
  <c r="B30" i="130" s="1"/>
  <c r="B31" i="130" s="1"/>
  <c r="B32" i="130" s="1"/>
  <c r="B33" i="130" s="1"/>
  <c r="B34" i="130" s="1"/>
  <c r="B35" i="130" s="1"/>
  <c r="B36" i="130" s="1"/>
  <c r="B37" i="130" s="1"/>
  <c r="B38" i="130" s="1"/>
  <c r="B39" i="130" s="1"/>
  <c r="B40" i="130" s="1"/>
  <c r="B41" i="130" s="1"/>
  <c r="B42" i="130" s="1"/>
  <c r="B43" i="130" s="1"/>
  <c r="B44" i="130" s="1"/>
  <c r="B45" i="130" s="1"/>
  <c r="B46" i="130" s="1"/>
  <c r="B47" i="130" s="1"/>
  <c r="B5" i="129"/>
  <c r="B6" i="129"/>
  <c r="B7" i="129"/>
  <c r="B8" i="129"/>
  <c r="C12" i="129" s="1"/>
  <c r="C14" i="129" s="1"/>
  <c r="B21" i="129"/>
  <c r="B22" i="129" s="1"/>
  <c r="B23" i="129" s="1"/>
  <c r="B24" i="129" s="1"/>
  <c r="B25" i="129" s="1"/>
  <c r="B26" i="129" s="1"/>
  <c r="B27" i="129" s="1"/>
  <c r="B28" i="129" s="1"/>
  <c r="B29" i="129" s="1"/>
  <c r="B30" i="129" s="1"/>
  <c r="B31" i="129" s="1"/>
  <c r="B32" i="129" s="1"/>
  <c r="B33" i="129" s="1"/>
  <c r="B34" i="129" s="1"/>
  <c r="B35" i="129" s="1"/>
  <c r="B36" i="129" s="1"/>
  <c r="B37" i="129" s="1"/>
  <c r="B38" i="129" s="1"/>
  <c r="B39" i="129" s="1"/>
  <c r="B40" i="129" s="1"/>
  <c r="B41" i="129" s="1"/>
  <c r="B42" i="129" s="1"/>
  <c r="B43" i="129" s="1"/>
  <c r="B44" i="129" s="1"/>
  <c r="B45" i="129" s="1"/>
  <c r="B46" i="129" s="1"/>
  <c r="B47" i="129" s="1"/>
  <c r="B5" i="128"/>
  <c r="B6" i="128"/>
  <c r="B7" i="128"/>
  <c r="B8" i="128"/>
  <c r="C12" i="128" s="1"/>
  <c r="C13" i="128" s="1"/>
  <c r="B21" i="128"/>
  <c r="B22" i="128" s="1"/>
  <c r="B23" i="128" s="1"/>
  <c r="B24" i="128" s="1"/>
  <c r="B25" i="128" s="1"/>
  <c r="B26" i="128" s="1"/>
  <c r="B27" i="128" s="1"/>
  <c r="B28" i="128" s="1"/>
  <c r="B29" i="128" s="1"/>
  <c r="B30" i="128" s="1"/>
  <c r="B31" i="128" s="1"/>
  <c r="B32" i="128" s="1"/>
  <c r="B33" i="128" s="1"/>
  <c r="B34" i="128" s="1"/>
  <c r="B35" i="128" s="1"/>
  <c r="B36" i="128" s="1"/>
  <c r="B37" i="128" s="1"/>
  <c r="B38" i="128" s="1"/>
  <c r="B39" i="128" s="1"/>
  <c r="B40" i="128" s="1"/>
  <c r="B41" i="128" s="1"/>
  <c r="B42" i="128" s="1"/>
  <c r="B43" i="128" s="1"/>
  <c r="B44" i="128" s="1"/>
  <c r="B45" i="128" s="1"/>
  <c r="B46" i="128" s="1"/>
  <c r="B47" i="128" s="1"/>
  <c r="B5" i="134"/>
  <c r="B6" i="134"/>
  <c r="B7" i="134"/>
  <c r="B8" i="134"/>
  <c r="C12" i="134" s="1"/>
  <c r="C14" i="134" s="1"/>
  <c r="C15" i="134" s="1"/>
  <c r="B21" i="134"/>
  <c r="B22" i="134" s="1"/>
  <c r="B23" i="134" s="1"/>
  <c r="B24" i="134" s="1"/>
  <c r="B25" i="134" s="1"/>
  <c r="B26" i="134" s="1"/>
  <c r="B27" i="134" s="1"/>
  <c r="B28" i="134" s="1"/>
  <c r="B29" i="134" s="1"/>
  <c r="B30" i="134" s="1"/>
  <c r="B31" i="134" s="1"/>
  <c r="B32" i="134" s="1"/>
  <c r="B33" i="134" s="1"/>
  <c r="B34" i="134" s="1"/>
  <c r="B35" i="134" s="1"/>
  <c r="B5" i="51"/>
  <c r="B6" i="51"/>
  <c r="B7" i="51"/>
  <c r="B8" i="51"/>
  <c r="C12" i="51" s="1"/>
  <c r="B21" i="51"/>
  <c r="B22" i="51" s="1"/>
  <c r="B23" i="51" s="1"/>
  <c r="B24" i="51" s="1"/>
  <c r="B25" i="51" s="1"/>
  <c r="B26" i="51" s="1"/>
  <c r="B27" i="51" s="1"/>
  <c r="B28" i="51" s="1"/>
  <c r="B29" i="51" s="1"/>
  <c r="B30" i="51" s="1"/>
  <c r="B31" i="51" s="1"/>
  <c r="B32" i="51" s="1"/>
  <c r="B33" i="51" s="1"/>
  <c r="B34" i="51" s="1"/>
  <c r="B35" i="51" s="1"/>
  <c r="B5" i="133"/>
  <c r="B6" i="133"/>
  <c r="B7" i="133"/>
  <c r="B8" i="133"/>
  <c r="C12" i="133" s="1"/>
  <c r="C14" i="133" s="1"/>
  <c r="C15" i="133" s="1"/>
  <c r="B21" i="133"/>
  <c r="B22" i="133" s="1"/>
  <c r="B5" i="132"/>
  <c r="B6" i="132"/>
  <c r="B7" i="132"/>
  <c r="B8" i="132"/>
  <c r="C12" i="132" s="1"/>
  <c r="C13" i="132" s="1"/>
  <c r="B21" i="132"/>
  <c r="B22" i="132" s="1"/>
  <c r="E6" i="233"/>
  <c r="E7" i="233"/>
  <c r="E8" i="233"/>
  <c r="E9" i="233"/>
  <c r="E10" i="233"/>
  <c r="E28" i="233"/>
  <c r="E6" i="238"/>
  <c r="F6" i="238"/>
  <c r="M6" i="238"/>
  <c r="N6" i="238"/>
  <c r="E7" i="238"/>
  <c r="F7" i="238"/>
  <c r="M7" i="238"/>
  <c r="N7" i="238"/>
  <c r="E8" i="238"/>
  <c r="F8" i="238"/>
  <c r="M8" i="238"/>
  <c r="N8" i="238"/>
  <c r="E9" i="238"/>
  <c r="F9" i="238"/>
  <c r="M9" i="238"/>
  <c r="N9" i="238"/>
  <c r="E10" i="238"/>
  <c r="F10" i="238"/>
  <c r="M10" i="238"/>
  <c r="N10" i="238"/>
  <c r="E11" i="238"/>
  <c r="F11" i="238"/>
  <c r="M11" i="238"/>
  <c r="N11" i="238"/>
  <c r="E12" i="238"/>
  <c r="F12" i="238"/>
  <c r="M12" i="238"/>
  <c r="N12" i="238"/>
  <c r="E13" i="238"/>
  <c r="F13" i="238"/>
  <c r="M13" i="238"/>
  <c r="N13" i="238"/>
  <c r="E14" i="238"/>
  <c r="F14" i="238"/>
  <c r="M14" i="238"/>
  <c r="N14" i="238"/>
  <c r="E15" i="238"/>
  <c r="F15" i="238"/>
  <c r="M15" i="238"/>
  <c r="N15" i="238"/>
  <c r="E16" i="238"/>
  <c r="F16" i="238"/>
  <c r="M16" i="238"/>
  <c r="N16" i="238"/>
  <c r="E17" i="238"/>
  <c r="F17" i="238"/>
  <c r="M17" i="238"/>
  <c r="N17" i="238"/>
  <c r="E18" i="238"/>
  <c r="F18" i="238"/>
  <c r="M18" i="238"/>
  <c r="N18" i="238"/>
  <c r="M19" i="238"/>
  <c r="N19" i="238"/>
  <c r="E21" i="238"/>
  <c r="F21" i="238"/>
  <c r="M21" i="238"/>
  <c r="N21" i="238"/>
  <c r="E22" i="238"/>
  <c r="F22" i="238"/>
  <c r="M22" i="238"/>
  <c r="N22" i="238"/>
  <c r="E23" i="238"/>
  <c r="F23" i="238"/>
  <c r="M23" i="238"/>
  <c r="N23" i="238"/>
  <c r="M24" i="238"/>
  <c r="N24" i="238"/>
  <c r="M25" i="238"/>
  <c r="N25" i="238"/>
  <c r="M26" i="238"/>
  <c r="N26" i="238"/>
  <c r="M27" i="238"/>
  <c r="N27" i="238"/>
  <c r="M28" i="238"/>
  <c r="N28" i="238"/>
  <c r="M29" i="238"/>
  <c r="N29" i="238"/>
  <c r="M30" i="238"/>
  <c r="N30" i="238"/>
  <c r="M31" i="238"/>
  <c r="N31" i="238"/>
  <c r="M32" i="238"/>
  <c r="N32" i="238"/>
  <c r="B9" i="229"/>
  <c r="C13" i="229" s="1"/>
  <c r="B9" i="225"/>
  <c r="C13" i="225" s="1"/>
  <c r="C9" i="240"/>
  <c r="D13" i="240" s="1"/>
  <c r="D14" i="240" s="1"/>
  <c r="C9" i="222"/>
  <c r="D13" i="222" s="1"/>
  <c r="C9" i="236"/>
  <c r="D13" i="236" s="1"/>
  <c r="C9" i="223"/>
  <c r="D13" i="223" s="1"/>
  <c r="H33" i="249" l="1"/>
  <c r="D28" i="249"/>
  <c r="D29" i="249" s="1"/>
  <c r="D30" i="249" s="1"/>
  <c r="D31" i="249" s="1"/>
  <c r="D32" i="249" s="1"/>
  <c r="D33" i="249" s="1"/>
  <c r="D34" i="249" s="1"/>
  <c r="D35" i="249" s="1"/>
  <c r="D37" i="249" s="1"/>
  <c r="D38" i="249" s="1"/>
  <c r="D39" i="249" s="1"/>
  <c r="D40" i="249" s="1"/>
  <c r="D41" i="249" s="1"/>
  <c r="D42" i="249" s="1"/>
  <c r="D43" i="249" s="1"/>
  <c r="D44" i="249" s="1"/>
  <c r="D45" i="249" s="1"/>
  <c r="D46" i="249" s="1"/>
  <c r="D47" i="249" s="1"/>
  <c r="D48" i="249" s="1"/>
  <c r="D49" i="249" s="1"/>
  <c r="G34" i="249"/>
  <c r="C7" i="244"/>
  <c r="D13" i="4"/>
  <c r="C9" i="243"/>
  <c r="D13" i="243" s="1"/>
  <c r="D14" i="4"/>
  <c r="C9" i="244"/>
  <c r="D13" i="244" s="1"/>
  <c r="C9" i="245"/>
  <c r="D14" i="222"/>
  <c r="D16" i="222" s="1"/>
  <c r="D17" i="222" s="1"/>
  <c r="D15" i="240"/>
  <c r="C7" i="242"/>
  <c r="C7" i="241"/>
  <c r="C9" i="242"/>
  <c r="C9" i="241"/>
  <c r="D13" i="241" s="1"/>
  <c r="C7" i="237"/>
  <c r="D18" i="150"/>
  <c r="D14" i="239"/>
  <c r="B9" i="150"/>
  <c r="C13" i="150" s="1"/>
  <c r="C15" i="150" s="1"/>
  <c r="C16" i="150" s="1"/>
  <c r="C9" i="228"/>
  <c r="D13" i="228" s="1"/>
  <c r="C9" i="237"/>
  <c r="D13" i="237" s="1"/>
  <c r="B9" i="239"/>
  <c r="C13" i="239" s="1"/>
  <c r="C14" i="239" s="1"/>
  <c r="C9" i="221"/>
  <c r="D13" i="221" s="1"/>
  <c r="C9" i="224"/>
  <c r="D13" i="224" s="1"/>
  <c r="D14" i="224" s="1"/>
  <c r="D16" i="229"/>
  <c r="B7" i="229"/>
  <c r="C7" i="245"/>
  <c r="C7" i="246"/>
  <c r="C9" i="246"/>
  <c r="D13" i="246" s="1"/>
  <c r="D14" i="246" s="1"/>
  <c r="D15" i="246" s="1"/>
  <c r="D14" i="223"/>
  <c r="D15" i="223" s="1"/>
  <c r="I28" i="233"/>
  <c r="E19" i="135"/>
  <c r="C15" i="148"/>
  <c r="C16" i="148" s="1"/>
  <c r="C14" i="128"/>
  <c r="C15" i="128" s="1"/>
  <c r="D22" i="131"/>
  <c r="D48" i="131" s="1"/>
  <c r="D23" i="131"/>
  <c r="D24" i="131" s="1"/>
  <c r="D25" i="131" s="1"/>
  <c r="D26" i="131" s="1"/>
  <c r="D27" i="131" s="1"/>
  <c r="D28" i="131" s="1"/>
  <c r="D29" i="131" s="1"/>
  <c r="D30" i="131" s="1"/>
  <c r="D31" i="131" s="1"/>
  <c r="D32" i="131" s="1"/>
  <c r="D33" i="131" s="1"/>
  <c r="D34" i="131" s="1"/>
  <c r="D35" i="131" s="1"/>
  <c r="D36" i="131" s="1"/>
  <c r="D37" i="131" s="1"/>
  <c r="D38" i="131" s="1"/>
  <c r="D39" i="131" s="1"/>
  <c r="D40" i="131" s="1"/>
  <c r="D41" i="131" s="1"/>
  <c r="D42" i="131" s="1"/>
  <c r="D43" i="131" s="1"/>
  <c r="D44" i="131" s="1"/>
  <c r="D45" i="131" s="1"/>
  <c r="D46" i="131" s="1"/>
  <c r="E21" i="131"/>
  <c r="D47" i="131"/>
  <c r="C13" i="51"/>
  <c r="C14" i="51" s="1"/>
  <c r="C15" i="51" s="1"/>
  <c r="C16" i="51" s="1"/>
  <c r="C18" i="51" s="1"/>
  <c r="C13" i="135"/>
  <c r="C14" i="135" s="1"/>
  <c r="C16" i="135" s="1"/>
  <c r="D44" i="135" s="1"/>
  <c r="C15" i="129"/>
  <c r="C16" i="129" s="1"/>
  <c r="C15" i="136"/>
  <c r="C16" i="136" s="1"/>
  <c r="E13" i="241"/>
  <c r="C7" i="240"/>
  <c r="C7" i="228"/>
  <c r="C15" i="130"/>
  <c r="C16" i="130" s="1"/>
  <c r="C18" i="130" s="1"/>
  <c r="C14" i="147"/>
  <c r="C16" i="147" s="1"/>
  <c r="D14" i="225"/>
  <c r="C14" i="225"/>
  <c r="C16" i="225" s="1"/>
  <c r="C7" i="223"/>
  <c r="C7" i="224"/>
  <c r="C7" i="243"/>
  <c r="C7" i="221"/>
  <c r="C7" i="222"/>
  <c r="B7" i="239"/>
  <c r="C7" i="236"/>
  <c r="B7" i="225"/>
  <c r="C16" i="133"/>
  <c r="C14" i="132"/>
  <c r="B7" i="150"/>
  <c r="C16" i="134"/>
  <c r="C15" i="229"/>
  <c r="H34" i="249" l="1"/>
  <c r="H35" i="249" s="1"/>
  <c r="H37" i="249" s="1"/>
  <c r="H38" i="249" s="1"/>
  <c r="H39" i="249" s="1"/>
  <c r="H40" i="249" s="1"/>
  <c r="H41" i="249" s="1"/>
  <c r="H42" i="249" s="1"/>
  <c r="H43" i="249" s="1"/>
  <c r="H44" i="249" s="1"/>
  <c r="H45" i="249" s="1"/>
  <c r="H46" i="249" s="1"/>
  <c r="H47" i="249" s="1"/>
  <c r="H48" i="249" s="1"/>
  <c r="H49" i="249" s="1"/>
  <c r="G50" i="249"/>
  <c r="C16" i="239"/>
  <c r="D27" i="239" s="1"/>
  <c r="D28" i="239" s="1"/>
  <c r="D29" i="239" s="1"/>
  <c r="D30" i="239" s="1"/>
  <c r="D31" i="239" s="1"/>
  <c r="D32" i="239" s="1"/>
  <c r="D33" i="239" s="1"/>
  <c r="D34" i="239" s="1"/>
  <c r="D35" i="239" s="1"/>
  <c r="D36" i="239" s="1"/>
  <c r="D37" i="239" s="1"/>
  <c r="D38" i="239" s="1"/>
  <c r="D39" i="239" s="1"/>
  <c r="D40" i="239" s="1"/>
  <c r="D41" i="239" s="1"/>
  <c r="D42" i="239" s="1"/>
  <c r="D43" i="239" s="1"/>
  <c r="D44" i="239" s="1"/>
  <c r="D45" i="239" s="1"/>
  <c r="D46" i="239" s="1"/>
  <c r="D47" i="239" s="1"/>
  <c r="D48" i="239" s="1"/>
  <c r="D49" i="239" s="1"/>
  <c r="D50" i="239" s="1"/>
  <c r="D51" i="239" s="1"/>
  <c r="D52" i="239" s="1"/>
  <c r="D53" i="239" s="1"/>
  <c r="D54" i="239" s="1"/>
  <c r="D55" i="239" s="1"/>
  <c r="D56" i="239" s="1"/>
  <c r="D57" i="239" s="1"/>
  <c r="D58" i="239" s="1"/>
  <c r="D59" i="239" s="1"/>
  <c r="D60" i="239" s="1"/>
  <c r="D61" i="239" s="1"/>
  <c r="D62" i="239" s="1"/>
  <c r="D63" i="239" s="1"/>
  <c r="D64" i="239" s="1"/>
  <c r="D65" i="239" s="1"/>
  <c r="D66" i="239" s="1"/>
  <c r="D67" i="239" s="1"/>
  <c r="D68" i="239" s="1"/>
  <c r="D14" i="244"/>
  <c r="D15" i="244" s="1"/>
  <c r="D17" i="244" s="1"/>
  <c r="D18" i="244" s="1"/>
  <c r="D13" i="245"/>
  <c r="D17" i="240"/>
  <c r="D18" i="240" s="1"/>
  <c r="F50" i="240" s="1"/>
  <c r="D13" i="242"/>
  <c r="D14" i="242" s="1"/>
  <c r="D14" i="237"/>
  <c r="D16" i="237" s="1"/>
  <c r="D17" i="237" s="1"/>
  <c r="F48" i="222"/>
  <c r="E48" i="222"/>
  <c r="D15" i="224"/>
  <c r="D14" i="236"/>
  <c r="D14" i="228"/>
  <c r="D17" i="223"/>
  <c r="D20" i="223" s="1"/>
  <c r="E25" i="241"/>
  <c r="G25" i="241" s="1"/>
  <c r="D14" i="241"/>
  <c r="D15" i="241" s="1"/>
  <c r="D17" i="241" s="1"/>
  <c r="D20" i="241" s="1"/>
  <c r="C17" i="150"/>
  <c r="C18" i="150" s="1"/>
  <c r="C19" i="150" s="1"/>
  <c r="C16" i="128"/>
  <c r="C18" i="128" s="1"/>
  <c r="E21" i="128" s="1"/>
  <c r="D20" i="135"/>
  <c r="D45" i="135" s="1"/>
  <c r="E19" i="148"/>
  <c r="D20" i="148"/>
  <c r="D76" i="148" s="1"/>
  <c r="D27" i="148"/>
  <c r="D28" i="148" s="1"/>
  <c r="D29" i="148" s="1"/>
  <c r="D30" i="148" s="1"/>
  <c r="D31" i="148" s="1"/>
  <c r="D32" i="148" s="1"/>
  <c r="D33" i="148" s="1"/>
  <c r="D34" i="148" s="1"/>
  <c r="D35" i="148" s="1"/>
  <c r="D36" i="148" s="1"/>
  <c r="D37" i="148" s="1"/>
  <c r="D38" i="148" s="1"/>
  <c r="D39" i="148" s="1"/>
  <c r="D40" i="148" s="1"/>
  <c r="D41" i="148" s="1"/>
  <c r="D42" i="148" s="1"/>
  <c r="D43" i="148" s="1"/>
  <c r="D44" i="148" s="1"/>
  <c r="D45" i="148" s="1"/>
  <c r="D46" i="148" s="1"/>
  <c r="D47" i="148" s="1"/>
  <c r="D48" i="148" s="1"/>
  <c r="D49" i="148" s="1"/>
  <c r="D50" i="148" s="1"/>
  <c r="D51" i="148" s="1"/>
  <c r="D52" i="148" s="1"/>
  <c r="D53" i="148" s="1"/>
  <c r="D54" i="148" s="1"/>
  <c r="D55" i="148" s="1"/>
  <c r="D56" i="148" s="1"/>
  <c r="D57" i="148" s="1"/>
  <c r="D58" i="148" s="1"/>
  <c r="D59" i="148" s="1"/>
  <c r="D60" i="148" s="1"/>
  <c r="D61" i="148" s="1"/>
  <c r="D62" i="148" s="1"/>
  <c r="D63" i="148" s="1"/>
  <c r="D64" i="148" s="1"/>
  <c r="D65" i="148" s="1"/>
  <c r="D66" i="148" s="1"/>
  <c r="D67" i="148" s="1"/>
  <c r="D68" i="148" s="1"/>
  <c r="D69" i="148" s="1"/>
  <c r="D70" i="148" s="1"/>
  <c r="D71" i="148" s="1"/>
  <c r="D72" i="148" s="1"/>
  <c r="D73" i="148" s="1"/>
  <c r="D74" i="148" s="1"/>
  <c r="D21" i="148"/>
  <c r="D22" i="148" s="1"/>
  <c r="D23" i="148" s="1"/>
  <c r="D24" i="148" s="1"/>
  <c r="D25" i="148" s="1"/>
  <c r="D26" i="148" s="1"/>
  <c r="D75" i="148"/>
  <c r="D20" i="136"/>
  <c r="D45" i="136" s="1"/>
  <c r="E19" i="136"/>
  <c r="E22" i="131"/>
  <c r="E23" i="131" s="1"/>
  <c r="E24" i="131" s="1"/>
  <c r="E25" i="131" s="1"/>
  <c r="E26" i="131" s="1"/>
  <c r="E27" i="131" s="1"/>
  <c r="E28" i="131" s="1"/>
  <c r="E29" i="131" s="1"/>
  <c r="E30" i="131" s="1"/>
  <c r="E31" i="131" s="1"/>
  <c r="E32" i="131" s="1"/>
  <c r="E33" i="131" s="1"/>
  <c r="E34" i="131" s="1"/>
  <c r="E35" i="131" s="1"/>
  <c r="E36" i="131" s="1"/>
  <c r="E37" i="131" s="1"/>
  <c r="E38" i="131" s="1"/>
  <c r="E39" i="131" s="1"/>
  <c r="E40" i="131" s="1"/>
  <c r="E41" i="131" s="1"/>
  <c r="E42" i="131" s="1"/>
  <c r="E43" i="131" s="1"/>
  <c r="E44" i="131" s="1"/>
  <c r="E45" i="131" s="1"/>
  <c r="E46" i="131" s="1"/>
  <c r="E47" i="131" s="1"/>
  <c r="C17" i="129"/>
  <c r="C18" i="129" s="1"/>
  <c r="D26" i="136"/>
  <c r="D27" i="136" s="1"/>
  <c r="D28" i="136" s="1"/>
  <c r="D29" i="136" s="1"/>
  <c r="D30" i="136" s="1"/>
  <c r="D31" i="136" s="1"/>
  <c r="D32" i="136" s="1"/>
  <c r="D33" i="136" s="1"/>
  <c r="D34" i="136" s="1"/>
  <c r="D35" i="136" s="1"/>
  <c r="D36" i="136" s="1"/>
  <c r="D37" i="136" s="1"/>
  <c r="D38" i="136" s="1"/>
  <c r="D39" i="136" s="1"/>
  <c r="D40" i="136" s="1"/>
  <c r="D41" i="136" s="1"/>
  <c r="D42" i="136" s="1"/>
  <c r="D43" i="136" s="1"/>
  <c r="D26" i="135"/>
  <c r="D27" i="135" s="1"/>
  <c r="D28" i="135" s="1"/>
  <c r="D29" i="135" s="1"/>
  <c r="D30" i="135" s="1"/>
  <c r="D31" i="135" s="1"/>
  <c r="D32" i="135" s="1"/>
  <c r="D33" i="135" s="1"/>
  <c r="D34" i="135" s="1"/>
  <c r="D35" i="135" s="1"/>
  <c r="D36" i="135" s="1"/>
  <c r="D37" i="135" s="1"/>
  <c r="D38" i="135" s="1"/>
  <c r="D39" i="135" s="1"/>
  <c r="D40" i="135" s="1"/>
  <c r="D41" i="135" s="1"/>
  <c r="D42" i="135" s="1"/>
  <c r="D43" i="135" s="1"/>
  <c r="D44" i="136"/>
  <c r="E21" i="51"/>
  <c r="D23" i="51"/>
  <c r="D24" i="51" s="1"/>
  <c r="D25" i="51" s="1"/>
  <c r="D26" i="51" s="1"/>
  <c r="D27" i="51" s="1"/>
  <c r="D28" i="51" s="1"/>
  <c r="D29" i="51" s="1"/>
  <c r="D30" i="51" s="1"/>
  <c r="D31" i="51" s="1"/>
  <c r="D32" i="51" s="1"/>
  <c r="D33" i="51" s="1"/>
  <c r="D34" i="51" s="1"/>
  <c r="D35" i="51"/>
  <c r="D22" i="51"/>
  <c r="D36" i="51" s="1"/>
  <c r="D47" i="130"/>
  <c r="D23" i="130"/>
  <c r="D24" i="130" s="1"/>
  <c r="D25" i="130" s="1"/>
  <c r="D26" i="130" s="1"/>
  <c r="D27" i="130" s="1"/>
  <c r="D28" i="130" s="1"/>
  <c r="D29" i="130" s="1"/>
  <c r="D30" i="130" s="1"/>
  <c r="D31" i="130" s="1"/>
  <c r="D32" i="130" s="1"/>
  <c r="D33" i="130" s="1"/>
  <c r="D34" i="130" s="1"/>
  <c r="D35" i="130" s="1"/>
  <c r="D36" i="130" s="1"/>
  <c r="D37" i="130" s="1"/>
  <c r="D38" i="130" s="1"/>
  <c r="D39" i="130" s="1"/>
  <c r="D40" i="130" s="1"/>
  <c r="D41" i="130" s="1"/>
  <c r="D42" i="130" s="1"/>
  <c r="D43" i="130" s="1"/>
  <c r="D44" i="130" s="1"/>
  <c r="D45" i="130" s="1"/>
  <c r="D46" i="130" s="1"/>
  <c r="E21" i="130"/>
  <c r="D22" i="130"/>
  <c r="D48" i="130" s="1"/>
  <c r="E19" i="147"/>
  <c r="D27" i="147"/>
  <c r="D28" i="147" s="1"/>
  <c r="D29" i="147" s="1"/>
  <c r="D30" i="147" s="1"/>
  <c r="D31" i="147" s="1"/>
  <c r="D32" i="147" s="1"/>
  <c r="D33" i="147" s="1"/>
  <c r="D34" i="147" s="1"/>
  <c r="D35" i="147" s="1"/>
  <c r="D36" i="147" s="1"/>
  <c r="D37" i="147" s="1"/>
  <c r="D38" i="147" s="1"/>
  <c r="D39" i="147" s="1"/>
  <c r="D40" i="147" s="1"/>
  <c r="D41" i="147" s="1"/>
  <c r="D42" i="147" s="1"/>
  <c r="D43" i="147" s="1"/>
  <c r="D44" i="147" s="1"/>
  <c r="D45" i="147" s="1"/>
  <c r="D46" i="147" s="1"/>
  <c r="D47" i="147" s="1"/>
  <c r="D48" i="147" s="1"/>
  <c r="D49" i="147" s="1"/>
  <c r="D50" i="147" s="1"/>
  <c r="D51" i="147" s="1"/>
  <c r="D52" i="147" s="1"/>
  <c r="D53" i="147" s="1"/>
  <c r="D54" i="147" s="1"/>
  <c r="D55" i="147" s="1"/>
  <c r="D56" i="147" s="1"/>
  <c r="D57" i="147" s="1"/>
  <c r="D58" i="147" s="1"/>
  <c r="D59" i="147" s="1"/>
  <c r="D60" i="147" s="1"/>
  <c r="D61" i="147" s="1"/>
  <c r="D62" i="147" s="1"/>
  <c r="D63" i="147" s="1"/>
  <c r="D64" i="147" s="1"/>
  <c r="D65" i="147" s="1"/>
  <c r="D66" i="147" s="1"/>
  <c r="D67" i="147" s="1"/>
  <c r="D68" i="147" s="1"/>
  <c r="D69" i="147" s="1"/>
  <c r="D70" i="147" s="1"/>
  <c r="D71" i="147" s="1"/>
  <c r="D72" i="147" s="1"/>
  <c r="D73" i="147" s="1"/>
  <c r="D74" i="147" s="1"/>
  <c r="D21" i="147"/>
  <c r="D22" i="147" s="1"/>
  <c r="D23" i="147" s="1"/>
  <c r="D24" i="147" s="1"/>
  <c r="D25" i="147" s="1"/>
  <c r="D26" i="147" s="1"/>
  <c r="D75" i="147"/>
  <c r="D20" i="147"/>
  <c r="D76" i="147" s="1"/>
  <c r="C17" i="133"/>
  <c r="C18" i="133" s="1"/>
  <c r="C16" i="229"/>
  <c r="D27" i="225"/>
  <c r="D28" i="225" s="1"/>
  <c r="D29" i="225" s="1"/>
  <c r="D30" i="225" s="1"/>
  <c r="D31" i="225" s="1"/>
  <c r="D32" i="225" s="1"/>
  <c r="D33" i="225" s="1"/>
  <c r="D34" i="225" s="1"/>
  <c r="D35" i="225" s="1"/>
  <c r="D36" i="225" s="1"/>
  <c r="D37" i="225" s="1"/>
  <c r="D38" i="225" s="1"/>
  <c r="D39" i="225" s="1"/>
  <c r="D40" i="225" s="1"/>
  <c r="D41" i="225" s="1"/>
  <c r="D42" i="225" s="1"/>
  <c r="D43" i="225" s="1"/>
  <c r="D44" i="225" s="1"/>
  <c r="D45" i="225" s="1"/>
  <c r="D46" i="225" s="1"/>
  <c r="D47" i="225" s="1"/>
  <c r="D48" i="225" s="1"/>
  <c r="D49" i="225" s="1"/>
  <c r="D50" i="225" s="1"/>
  <c r="D51" i="225"/>
  <c r="D21" i="225"/>
  <c r="E20" i="225"/>
  <c r="C17" i="134"/>
  <c r="C18" i="134" s="1"/>
  <c r="C15" i="132"/>
  <c r="C16" i="132" s="1"/>
  <c r="C18" i="132" s="1"/>
  <c r="D14" i="245" l="1"/>
  <c r="D15" i="245" s="1"/>
  <c r="D21" i="239"/>
  <c r="E20" i="239"/>
  <c r="D69" i="239"/>
  <c r="D17" i="224"/>
  <c r="D18" i="224" s="1"/>
  <c r="D17" i="246"/>
  <c r="D18" i="246" s="1"/>
  <c r="D15" i="242"/>
  <c r="D17" i="242" s="1"/>
  <c r="D20" i="242" s="1"/>
  <c r="D19" i="241"/>
  <c r="F26" i="241"/>
  <c r="E25" i="222"/>
  <c r="E27" i="222"/>
  <c r="E29" i="222"/>
  <c r="E31" i="222"/>
  <c r="E33" i="222"/>
  <c r="E35" i="222"/>
  <c r="E37" i="222"/>
  <c r="E39" i="222"/>
  <c r="E41" i="222"/>
  <c r="E43" i="222"/>
  <c r="E45" i="222"/>
  <c r="E47" i="222"/>
  <c r="E24" i="222"/>
  <c r="E26" i="222"/>
  <c r="E28" i="222"/>
  <c r="E30" i="222"/>
  <c r="E32" i="222"/>
  <c r="E34" i="222"/>
  <c r="E36" i="222"/>
  <c r="E38" i="222"/>
  <c r="E40" i="222"/>
  <c r="E42" i="222"/>
  <c r="E44" i="222"/>
  <c r="E46" i="222"/>
  <c r="F25" i="222"/>
  <c r="F27" i="222"/>
  <c r="F29" i="222"/>
  <c r="F31" i="222"/>
  <c r="F33" i="222"/>
  <c r="F35" i="222"/>
  <c r="F37" i="222"/>
  <c r="F39" i="222"/>
  <c r="F41" i="222"/>
  <c r="F43" i="222"/>
  <c r="F45" i="222"/>
  <c r="F47" i="222"/>
  <c r="F28" i="222"/>
  <c r="F32" i="222"/>
  <c r="F36" i="222"/>
  <c r="F40" i="222"/>
  <c r="F44" i="222"/>
  <c r="F24" i="222"/>
  <c r="F26" i="222"/>
  <c r="F30" i="222"/>
  <c r="F34" i="222"/>
  <c r="F38" i="222"/>
  <c r="F42" i="222"/>
  <c r="F46" i="222"/>
  <c r="F28" i="240"/>
  <c r="F30" i="240"/>
  <c r="F33" i="240"/>
  <c r="F36" i="240"/>
  <c r="F38" i="240"/>
  <c r="F41" i="240"/>
  <c r="F44" i="240"/>
  <c r="F46" i="240"/>
  <c r="F49" i="240"/>
  <c r="F31" i="240"/>
  <c r="F27" i="240"/>
  <c r="F35" i="240"/>
  <c r="F43" i="240"/>
  <c r="F29" i="240"/>
  <c r="F32" i="240"/>
  <c r="F34" i="240"/>
  <c r="F37" i="240"/>
  <c r="F40" i="240"/>
  <c r="F42" i="240"/>
  <c r="F45" i="240"/>
  <c r="F48" i="240"/>
  <c r="F26" i="240"/>
  <c r="F39" i="240"/>
  <c r="F47" i="240"/>
  <c r="F24" i="240"/>
  <c r="E24" i="240"/>
  <c r="D14" i="243"/>
  <c r="D16" i="236"/>
  <c r="D19" i="236" s="1"/>
  <c r="D16" i="228"/>
  <c r="D19" i="228" s="1"/>
  <c r="D14" i="221"/>
  <c r="D15" i="221" s="1"/>
  <c r="F81" i="223"/>
  <c r="D19" i="223"/>
  <c r="E26" i="223" s="1"/>
  <c r="F27" i="241"/>
  <c r="D18" i="222"/>
  <c r="D23" i="128"/>
  <c r="D24" i="128" s="1"/>
  <c r="D25" i="128" s="1"/>
  <c r="D26" i="128" s="1"/>
  <c r="D27" i="128" s="1"/>
  <c r="D28" i="128" s="1"/>
  <c r="D29" i="128" s="1"/>
  <c r="D30" i="128" s="1"/>
  <c r="D31" i="128" s="1"/>
  <c r="D32" i="128" s="1"/>
  <c r="D33" i="128" s="1"/>
  <c r="D34" i="128" s="1"/>
  <c r="D35" i="128" s="1"/>
  <c r="D36" i="128" s="1"/>
  <c r="D37" i="128" s="1"/>
  <c r="D38" i="128" s="1"/>
  <c r="D39" i="128" s="1"/>
  <c r="D40" i="128" s="1"/>
  <c r="D41" i="128" s="1"/>
  <c r="D42" i="128" s="1"/>
  <c r="D43" i="128" s="1"/>
  <c r="D44" i="128" s="1"/>
  <c r="D45" i="128" s="1"/>
  <c r="D46" i="128" s="1"/>
  <c r="D22" i="128"/>
  <c r="D48" i="128" s="1"/>
  <c r="E20" i="135"/>
  <c r="D21" i="135"/>
  <c r="D22" i="135" s="1"/>
  <c r="D23" i="135" s="1"/>
  <c r="D24" i="135" s="1"/>
  <c r="D25" i="135" s="1"/>
  <c r="D47" i="128"/>
  <c r="E20" i="148"/>
  <c r="E21" i="148" s="1"/>
  <c r="E22" i="148" s="1"/>
  <c r="E23" i="148" s="1"/>
  <c r="E24" i="148" s="1"/>
  <c r="E25" i="148" s="1"/>
  <c r="E26" i="148" s="1"/>
  <c r="E27" i="148" s="1"/>
  <c r="E28" i="148" s="1"/>
  <c r="E29" i="148" s="1"/>
  <c r="E30" i="148" s="1"/>
  <c r="E31" i="148" s="1"/>
  <c r="E32" i="148" s="1"/>
  <c r="E33" i="148" s="1"/>
  <c r="E34" i="148" s="1"/>
  <c r="E35" i="148" s="1"/>
  <c r="E36" i="148" s="1"/>
  <c r="E37" i="148" s="1"/>
  <c r="E38" i="148" s="1"/>
  <c r="E39" i="148" s="1"/>
  <c r="E40" i="148" s="1"/>
  <c r="E41" i="148" s="1"/>
  <c r="E42" i="148" s="1"/>
  <c r="E43" i="148" s="1"/>
  <c r="E44" i="148" s="1"/>
  <c r="E45" i="148" s="1"/>
  <c r="E46" i="148" s="1"/>
  <c r="E47" i="148" s="1"/>
  <c r="E48" i="148" s="1"/>
  <c r="E49" i="148" s="1"/>
  <c r="E50" i="148" s="1"/>
  <c r="E51" i="148" s="1"/>
  <c r="E52" i="148" s="1"/>
  <c r="E53" i="148" s="1"/>
  <c r="E54" i="148" s="1"/>
  <c r="E55" i="148" s="1"/>
  <c r="E56" i="148" s="1"/>
  <c r="E57" i="148" s="1"/>
  <c r="E58" i="148" s="1"/>
  <c r="E59" i="148" s="1"/>
  <c r="E60" i="148" s="1"/>
  <c r="E61" i="148" s="1"/>
  <c r="E62" i="148" s="1"/>
  <c r="E63" i="148" s="1"/>
  <c r="E64" i="148" s="1"/>
  <c r="E65" i="148" s="1"/>
  <c r="E66" i="148" s="1"/>
  <c r="E67" i="148" s="1"/>
  <c r="E68" i="148" s="1"/>
  <c r="E69" i="148" s="1"/>
  <c r="E70" i="148" s="1"/>
  <c r="E71" i="148" s="1"/>
  <c r="E72" i="148" s="1"/>
  <c r="E73" i="148" s="1"/>
  <c r="E74" i="148" s="1"/>
  <c r="E75" i="148" s="1"/>
  <c r="D21" i="136"/>
  <c r="D22" i="136" s="1"/>
  <c r="D23" i="136" s="1"/>
  <c r="D24" i="136" s="1"/>
  <c r="D25" i="136" s="1"/>
  <c r="E20" i="136"/>
  <c r="E22" i="51"/>
  <c r="E23" i="51" s="1"/>
  <c r="E24" i="51" s="1"/>
  <c r="E25" i="51" s="1"/>
  <c r="E26" i="51" s="1"/>
  <c r="E27" i="51" s="1"/>
  <c r="E28" i="51" s="1"/>
  <c r="E29" i="51" s="1"/>
  <c r="E30" i="51" s="1"/>
  <c r="E31" i="51" s="1"/>
  <c r="E32" i="51" s="1"/>
  <c r="E33" i="51" s="1"/>
  <c r="E34" i="51" s="1"/>
  <c r="E35" i="51" s="1"/>
  <c r="D23" i="129"/>
  <c r="D24" i="129" s="1"/>
  <c r="D25" i="129" s="1"/>
  <c r="D26" i="129" s="1"/>
  <c r="D27" i="129" s="1"/>
  <c r="D28" i="129" s="1"/>
  <c r="D29" i="129" s="1"/>
  <c r="D30" i="129" s="1"/>
  <c r="D31" i="129" s="1"/>
  <c r="D32" i="129" s="1"/>
  <c r="D33" i="129" s="1"/>
  <c r="D34" i="129" s="1"/>
  <c r="D35" i="129" s="1"/>
  <c r="D36" i="129" s="1"/>
  <c r="D37" i="129" s="1"/>
  <c r="D38" i="129" s="1"/>
  <c r="D39" i="129" s="1"/>
  <c r="D40" i="129" s="1"/>
  <c r="D41" i="129" s="1"/>
  <c r="D42" i="129" s="1"/>
  <c r="D43" i="129" s="1"/>
  <c r="D44" i="129" s="1"/>
  <c r="D45" i="129" s="1"/>
  <c r="D46" i="129" s="1"/>
  <c r="D47" i="129"/>
  <c r="E21" i="129"/>
  <c r="D22" i="129"/>
  <c r="D48" i="129" s="1"/>
  <c r="D23" i="134"/>
  <c r="D24" i="134" s="1"/>
  <c r="D25" i="134" s="1"/>
  <c r="D26" i="134" s="1"/>
  <c r="D27" i="134" s="1"/>
  <c r="D28" i="134" s="1"/>
  <c r="D29" i="134" s="1"/>
  <c r="D30" i="134" s="1"/>
  <c r="D31" i="134" s="1"/>
  <c r="D32" i="134" s="1"/>
  <c r="D33" i="134" s="1"/>
  <c r="D34" i="134" s="1"/>
  <c r="D35" i="134"/>
  <c r="E21" i="134"/>
  <c r="D22" i="134"/>
  <c r="D36" i="134" s="1"/>
  <c r="C17" i="229"/>
  <c r="C18" i="229"/>
  <c r="E50" i="240"/>
  <c r="G50" i="240" s="1"/>
  <c r="D22" i="133"/>
  <c r="D23" i="133" s="1"/>
  <c r="E21" i="133"/>
  <c r="E21" i="132"/>
  <c r="D22" i="132"/>
  <c r="D23" i="132" s="1"/>
  <c r="E21" i="225"/>
  <c r="C20" i="150"/>
  <c r="D22" i="225"/>
  <c r="D23" i="225" s="1"/>
  <c r="D24" i="225" s="1"/>
  <c r="D25" i="225" s="1"/>
  <c r="D26" i="225" s="1"/>
  <c r="E22" i="130"/>
  <c r="E23" i="130" s="1"/>
  <c r="E24" i="130" s="1"/>
  <c r="E25" i="130" s="1"/>
  <c r="E26" i="130" s="1"/>
  <c r="E27" i="130" s="1"/>
  <c r="E28" i="130" s="1"/>
  <c r="E29" i="130" s="1"/>
  <c r="E30" i="130" s="1"/>
  <c r="E31" i="130" s="1"/>
  <c r="E32" i="130" s="1"/>
  <c r="E33" i="130" s="1"/>
  <c r="E34" i="130" s="1"/>
  <c r="E35" i="130" s="1"/>
  <c r="E36" i="130" s="1"/>
  <c r="E37" i="130" s="1"/>
  <c r="E38" i="130" s="1"/>
  <c r="E39" i="130" s="1"/>
  <c r="E40" i="130" s="1"/>
  <c r="E41" i="130" s="1"/>
  <c r="E42" i="130" s="1"/>
  <c r="E43" i="130" s="1"/>
  <c r="E44" i="130" s="1"/>
  <c r="E45" i="130" s="1"/>
  <c r="E46" i="130" s="1"/>
  <c r="E47" i="130" s="1"/>
  <c r="E20" i="147"/>
  <c r="E21" i="147" s="1"/>
  <c r="E22" i="147" s="1"/>
  <c r="E23" i="147" s="1"/>
  <c r="E24" i="147" s="1"/>
  <c r="E25" i="147" s="1"/>
  <c r="E26" i="147" s="1"/>
  <c r="E27" i="147" s="1"/>
  <c r="E28" i="147" s="1"/>
  <c r="E29" i="147" s="1"/>
  <c r="E30" i="147" s="1"/>
  <c r="E31" i="147" s="1"/>
  <c r="E32" i="147" s="1"/>
  <c r="E33" i="147" s="1"/>
  <c r="E34" i="147" s="1"/>
  <c r="E35" i="147" s="1"/>
  <c r="E36" i="147" s="1"/>
  <c r="E37" i="147" s="1"/>
  <c r="E38" i="147" s="1"/>
  <c r="E39" i="147" s="1"/>
  <c r="E40" i="147" s="1"/>
  <c r="E41" i="147" s="1"/>
  <c r="E42" i="147" s="1"/>
  <c r="E43" i="147" s="1"/>
  <c r="E44" i="147" s="1"/>
  <c r="E45" i="147" s="1"/>
  <c r="E46" i="147" s="1"/>
  <c r="E47" i="147" s="1"/>
  <c r="E48" i="147" s="1"/>
  <c r="E49" i="147" s="1"/>
  <c r="E50" i="147" s="1"/>
  <c r="E51" i="147" s="1"/>
  <c r="E52" i="147" s="1"/>
  <c r="E53" i="147" s="1"/>
  <c r="E54" i="147" s="1"/>
  <c r="E55" i="147" s="1"/>
  <c r="E56" i="147" s="1"/>
  <c r="E57" i="147" s="1"/>
  <c r="E58" i="147" s="1"/>
  <c r="E59" i="147" s="1"/>
  <c r="E60" i="147" s="1"/>
  <c r="E61" i="147" s="1"/>
  <c r="E62" i="147" s="1"/>
  <c r="E63" i="147" s="1"/>
  <c r="E64" i="147" s="1"/>
  <c r="E65" i="147" s="1"/>
  <c r="E66" i="147" s="1"/>
  <c r="E67" i="147" s="1"/>
  <c r="E68" i="147" s="1"/>
  <c r="E69" i="147" s="1"/>
  <c r="E70" i="147" s="1"/>
  <c r="E71" i="147" s="1"/>
  <c r="E72" i="147" s="1"/>
  <c r="E73" i="147" s="1"/>
  <c r="E74" i="147" s="1"/>
  <c r="E75" i="147" s="1"/>
  <c r="E21" i="239" l="1"/>
  <c r="D17" i="245"/>
  <c r="D20" i="245" s="1"/>
  <c r="D22" i="239"/>
  <c r="D23" i="239" s="1"/>
  <c r="D24" i="239" s="1"/>
  <c r="D25" i="239" s="1"/>
  <c r="D26" i="239" s="1"/>
  <c r="D19" i="242"/>
  <c r="E33" i="242" s="1"/>
  <c r="E26" i="241"/>
  <c r="E27" i="241"/>
  <c r="H22" i="222"/>
  <c r="H21" i="222"/>
  <c r="G24" i="240"/>
  <c r="E25" i="237"/>
  <c r="E27" i="237"/>
  <c r="E29" i="237"/>
  <c r="E31" i="237"/>
  <c r="E33" i="237"/>
  <c r="E35" i="237"/>
  <c r="E37" i="237"/>
  <c r="E39" i="237"/>
  <c r="E41" i="237"/>
  <c r="E43" i="237"/>
  <c r="E45" i="237"/>
  <c r="E47" i="237"/>
  <c r="E49" i="237"/>
  <c r="E51" i="237"/>
  <c r="E53" i="237"/>
  <c r="E55" i="237"/>
  <c r="E57" i="237"/>
  <c r="E59" i="237"/>
  <c r="E61" i="237"/>
  <c r="E63" i="237"/>
  <c r="E65" i="237"/>
  <c r="E67" i="237"/>
  <c r="E69" i="237"/>
  <c r="E71" i="237"/>
  <c r="E73" i="237"/>
  <c r="E75" i="237"/>
  <c r="E77" i="237"/>
  <c r="E24" i="237"/>
  <c r="E26" i="237"/>
  <c r="E28" i="237"/>
  <c r="E30" i="237"/>
  <c r="E32" i="237"/>
  <c r="E34" i="237"/>
  <c r="E36" i="237"/>
  <c r="E38" i="237"/>
  <c r="E40" i="237"/>
  <c r="E42" i="237"/>
  <c r="E44" i="237"/>
  <c r="E46" i="237"/>
  <c r="E48" i="237"/>
  <c r="E50" i="237"/>
  <c r="E52" i="237"/>
  <c r="E54" i="237"/>
  <c r="E56" i="237"/>
  <c r="E58" i="237"/>
  <c r="E60" i="237"/>
  <c r="E62" i="237"/>
  <c r="E64" i="237"/>
  <c r="E66" i="237"/>
  <c r="E68" i="237"/>
  <c r="E70" i="237"/>
  <c r="E72" i="237"/>
  <c r="E74" i="237"/>
  <c r="E76" i="237"/>
  <c r="F28" i="237"/>
  <c r="F34" i="237"/>
  <c r="F36" i="237"/>
  <c r="F42" i="237"/>
  <c r="F48" i="237"/>
  <c r="F54" i="237"/>
  <c r="F60" i="237"/>
  <c r="F66" i="237"/>
  <c r="F72" i="237"/>
  <c r="F25" i="237"/>
  <c r="F27" i="237"/>
  <c r="F29" i="237"/>
  <c r="F31" i="237"/>
  <c r="F33" i="237"/>
  <c r="F35" i="237"/>
  <c r="F37" i="237"/>
  <c r="F39" i="237"/>
  <c r="F41" i="237"/>
  <c r="F43" i="237"/>
  <c r="F45" i="237"/>
  <c r="F47" i="237"/>
  <c r="F49" i="237"/>
  <c r="F51" i="237"/>
  <c r="F53" i="237"/>
  <c r="F55" i="237"/>
  <c r="F57" i="237"/>
  <c r="F59" i="237"/>
  <c r="F61" i="237"/>
  <c r="F63" i="237"/>
  <c r="F65" i="237"/>
  <c r="F67" i="237"/>
  <c r="F69" i="237"/>
  <c r="F71" i="237"/>
  <c r="F73" i="237"/>
  <c r="F75" i="237"/>
  <c r="F77" i="237"/>
  <c r="F30" i="237"/>
  <c r="F40" i="237"/>
  <c r="F50" i="237"/>
  <c r="F58" i="237"/>
  <c r="F70" i="237"/>
  <c r="F24" i="237"/>
  <c r="F26" i="237"/>
  <c r="F32" i="237"/>
  <c r="F38" i="237"/>
  <c r="F44" i="237"/>
  <c r="F46" i="237"/>
  <c r="F52" i="237"/>
  <c r="F56" i="237"/>
  <c r="F62" i="237"/>
  <c r="F64" i="237"/>
  <c r="F68" i="237"/>
  <c r="F74" i="237"/>
  <c r="F76" i="237"/>
  <c r="D18" i="237"/>
  <c r="G48" i="222"/>
  <c r="D19" i="240"/>
  <c r="H23" i="240" s="1"/>
  <c r="E27" i="240"/>
  <c r="G27" i="240" s="1"/>
  <c r="E35" i="240"/>
  <c r="G35" i="240" s="1"/>
  <c r="E43" i="240"/>
  <c r="G43" i="240" s="1"/>
  <c r="E41" i="240"/>
  <c r="G41" i="240" s="1"/>
  <c r="E46" i="240"/>
  <c r="G46" i="240" s="1"/>
  <c r="E49" i="240"/>
  <c r="G49" i="240" s="1"/>
  <c r="E29" i="240"/>
  <c r="G29" i="240" s="1"/>
  <c r="E32" i="240"/>
  <c r="G32" i="240" s="1"/>
  <c r="E34" i="240"/>
  <c r="G34" i="240" s="1"/>
  <c r="E37" i="240"/>
  <c r="G37" i="240" s="1"/>
  <c r="E40" i="240"/>
  <c r="G40" i="240" s="1"/>
  <c r="E42" i="240"/>
  <c r="G42" i="240" s="1"/>
  <c r="E45" i="240"/>
  <c r="G45" i="240" s="1"/>
  <c r="E48" i="240"/>
  <c r="G48" i="240" s="1"/>
  <c r="E26" i="240"/>
  <c r="G26" i="240" s="1"/>
  <c r="E30" i="240"/>
  <c r="G30" i="240" s="1"/>
  <c r="E38" i="240"/>
  <c r="G38" i="240" s="1"/>
  <c r="E44" i="240"/>
  <c r="G44" i="240" s="1"/>
  <c r="E31" i="240"/>
  <c r="G31" i="240" s="1"/>
  <c r="E39" i="240"/>
  <c r="G39" i="240" s="1"/>
  <c r="E47" i="240"/>
  <c r="G47" i="240" s="1"/>
  <c r="E28" i="240"/>
  <c r="G28" i="240" s="1"/>
  <c r="E33" i="240"/>
  <c r="G33" i="240" s="1"/>
  <c r="E36" i="240"/>
  <c r="G36" i="240" s="1"/>
  <c r="E24" i="224"/>
  <c r="F24" i="224"/>
  <c r="F29" i="223"/>
  <c r="F31" i="223"/>
  <c r="F33" i="223"/>
  <c r="F35" i="223"/>
  <c r="F37" i="223"/>
  <c r="F39" i="223"/>
  <c r="F41" i="223"/>
  <c r="F43" i="223"/>
  <c r="F45" i="223"/>
  <c r="F47" i="223"/>
  <c r="F49" i="223"/>
  <c r="F51" i="223"/>
  <c r="F53" i="223"/>
  <c r="F55" i="223"/>
  <c r="F57" i="223"/>
  <c r="F59" i="223"/>
  <c r="F61" i="223"/>
  <c r="F63" i="223"/>
  <c r="F65" i="223"/>
  <c r="F67" i="223"/>
  <c r="F69" i="223"/>
  <c r="F71" i="223"/>
  <c r="F73" i="223"/>
  <c r="F75" i="223"/>
  <c r="F77" i="223"/>
  <c r="F79" i="223"/>
  <c r="F80" i="223"/>
  <c r="F28" i="223"/>
  <c r="F30" i="223"/>
  <c r="F32" i="223"/>
  <c r="F34" i="223"/>
  <c r="F36" i="223"/>
  <c r="F38" i="223"/>
  <c r="F40" i="223"/>
  <c r="F42" i="223"/>
  <c r="F44" i="223"/>
  <c r="F46" i="223"/>
  <c r="F48" i="223"/>
  <c r="F50" i="223"/>
  <c r="F52" i="223"/>
  <c r="F54" i="223"/>
  <c r="F56" i="223"/>
  <c r="F58" i="223"/>
  <c r="F60" i="223"/>
  <c r="F62" i="223"/>
  <c r="F64" i="223"/>
  <c r="F66" i="223"/>
  <c r="F68" i="223"/>
  <c r="F70" i="223"/>
  <c r="F72" i="223"/>
  <c r="F74" i="223"/>
  <c r="F76" i="223"/>
  <c r="F78" i="223"/>
  <c r="E29" i="223"/>
  <c r="E31" i="223"/>
  <c r="E33" i="223"/>
  <c r="E35" i="223"/>
  <c r="E37" i="223"/>
  <c r="E39" i="223"/>
  <c r="E41" i="223"/>
  <c r="E43" i="223"/>
  <c r="E45" i="223"/>
  <c r="E47" i="223"/>
  <c r="E49" i="223"/>
  <c r="E51" i="223"/>
  <c r="E53" i="223"/>
  <c r="E55" i="223"/>
  <c r="E57" i="223"/>
  <c r="E59" i="223"/>
  <c r="E61" i="223"/>
  <c r="E63" i="223"/>
  <c r="E65" i="223"/>
  <c r="E67" i="223"/>
  <c r="E69" i="223"/>
  <c r="E71" i="223"/>
  <c r="E73" i="223"/>
  <c r="E75" i="223"/>
  <c r="E77" i="223"/>
  <c r="E79" i="223"/>
  <c r="E30" i="223"/>
  <c r="E32" i="223"/>
  <c r="E34" i="223"/>
  <c r="E36" i="223"/>
  <c r="E38" i="223"/>
  <c r="E40" i="223"/>
  <c r="E42" i="223"/>
  <c r="E44" i="223"/>
  <c r="E46" i="223"/>
  <c r="E48" i="223"/>
  <c r="E50" i="223"/>
  <c r="E52" i="223"/>
  <c r="E54" i="223"/>
  <c r="E56" i="223"/>
  <c r="E58" i="223"/>
  <c r="E60" i="223"/>
  <c r="E62" i="223"/>
  <c r="E64" i="223"/>
  <c r="E66" i="223"/>
  <c r="E68" i="223"/>
  <c r="E70" i="223"/>
  <c r="E72" i="223"/>
  <c r="E74" i="223"/>
  <c r="E76" i="223"/>
  <c r="E78" i="223"/>
  <c r="E80" i="223"/>
  <c r="E28" i="223"/>
  <c r="F28" i="242"/>
  <c r="F30" i="242"/>
  <c r="F36" i="242"/>
  <c r="F44" i="242"/>
  <c r="F50" i="242"/>
  <c r="F54" i="242"/>
  <c r="F62" i="242"/>
  <c r="F68" i="242"/>
  <c r="F29" i="242"/>
  <c r="F31" i="242"/>
  <c r="F33" i="242"/>
  <c r="F35" i="242"/>
  <c r="F37" i="242"/>
  <c r="F39" i="242"/>
  <c r="F41" i="242"/>
  <c r="F43" i="242"/>
  <c r="F45" i="242"/>
  <c r="F47" i="242"/>
  <c r="F49" i="242"/>
  <c r="F51" i="242"/>
  <c r="F53" i="242"/>
  <c r="F55" i="242"/>
  <c r="F57" i="242"/>
  <c r="F59" i="242"/>
  <c r="F61" i="242"/>
  <c r="F63" i="242"/>
  <c r="F65" i="242"/>
  <c r="F67" i="242"/>
  <c r="F69" i="242"/>
  <c r="F71" i="242"/>
  <c r="F34" i="242"/>
  <c r="F42" i="242"/>
  <c r="F48" i="242"/>
  <c r="F58" i="242"/>
  <c r="F66" i="242"/>
  <c r="F32" i="242"/>
  <c r="F38" i="242"/>
  <c r="F40" i="242"/>
  <c r="F46" i="242"/>
  <c r="F52" i="242"/>
  <c r="F56" i="242"/>
  <c r="F60" i="242"/>
  <c r="F64" i="242"/>
  <c r="F70" i="242"/>
  <c r="F72" i="242"/>
  <c r="D15" i="243"/>
  <c r="D17" i="243" s="1"/>
  <c r="D18" i="236"/>
  <c r="D18" i="228"/>
  <c r="D21" i="223"/>
  <c r="D17" i="221"/>
  <c r="D20" i="221" s="1"/>
  <c r="F26" i="223"/>
  <c r="G26" i="223" s="1"/>
  <c r="F26" i="246"/>
  <c r="F50" i="246"/>
  <c r="F24" i="246"/>
  <c r="F51" i="240"/>
  <c r="G25" i="222"/>
  <c r="G24" i="222"/>
  <c r="E21" i="136"/>
  <c r="E22" i="136" s="1"/>
  <c r="E23" i="136" s="1"/>
  <c r="E24" i="136" s="1"/>
  <c r="E25" i="136" s="1"/>
  <c r="E26" i="136" s="1"/>
  <c r="E27" i="136" s="1"/>
  <c r="E28" i="136" s="1"/>
  <c r="E29" i="136" s="1"/>
  <c r="E30" i="136" s="1"/>
  <c r="E31" i="136" s="1"/>
  <c r="E32" i="136" s="1"/>
  <c r="E33" i="136" s="1"/>
  <c r="E34" i="136" s="1"/>
  <c r="E35" i="136" s="1"/>
  <c r="E36" i="136" s="1"/>
  <c r="E37" i="136" s="1"/>
  <c r="E38" i="136" s="1"/>
  <c r="E39" i="136" s="1"/>
  <c r="E40" i="136" s="1"/>
  <c r="E41" i="136" s="1"/>
  <c r="E42" i="136" s="1"/>
  <c r="E43" i="136" s="1"/>
  <c r="E44" i="136" s="1"/>
  <c r="E22" i="128"/>
  <c r="E23" i="128" s="1"/>
  <c r="E24" i="128" s="1"/>
  <c r="E25" i="128" s="1"/>
  <c r="E26" i="128" s="1"/>
  <c r="E27" i="128" s="1"/>
  <c r="E28" i="128" s="1"/>
  <c r="E29" i="128" s="1"/>
  <c r="E30" i="128" s="1"/>
  <c r="E31" i="128" s="1"/>
  <c r="E32" i="128" s="1"/>
  <c r="E33" i="128" s="1"/>
  <c r="E34" i="128" s="1"/>
  <c r="E35" i="128" s="1"/>
  <c r="E36" i="128" s="1"/>
  <c r="E37" i="128" s="1"/>
  <c r="E38" i="128" s="1"/>
  <c r="E39" i="128" s="1"/>
  <c r="E40" i="128" s="1"/>
  <c r="E41" i="128" s="1"/>
  <c r="E42" i="128" s="1"/>
  <c r="E43" i="128" s="1"/>
  <c r="E44" i="128" s="1"/>
  <c r="E45" i="128" s="1"/>
  <c r="E46" i="128" s="1"/>
  <c r="E47" i="128" s="1"/>
  <c r="E21" i="135"/>
  <c r="E22" i="135" s="1"/>
  <c r="E23" i="135" s="1"/>
  <c r="E24" i="135" s="1"/>
  <c r="E25" i="135" s="1"/>
  <c r="E26" i="135" s="1"/>
  <c r="E27" i="135" s="1"/>
  <c r="E28" i="135" s="1"/>
  <c r="E29" i="135" s="1"/>
  <c r="E30" i="135" s="1"/>
  <c r="E31" i="135" s="1"/>
  <c r="E32" i="135" s="1"/>
  <c r="E33" i="135" s="1"/>
  <c r="E34" i="135" s="1"/>
  <c r="E35" i="135" s="1"/>
  <c r="E36" i="135" s="1"/>
  <c r="E37" i="135" s="1"/>
  <c r="E38" i="135" s="1"/>
  <c r="E39" i="135" s="1"/>
  <c r="E40" i="135" s="1"/>
  <c r="E41" i="135" s="1"/>
  <c r="E42" i="135" s="1"/>
  <c r="E43" i="135" s="1"/>
  <c r="E44" i="135" s="1"/>
  <c r="E22" i="129"/>
  <c r="E23" i="129" s="1"/>
  <c r="E24" i="129" s="1"/>
  <c r="E25" i="129" s="1"/>
  <c r="E26" i="129" s="1"/>
  <c r="E27" i="129" s="1"/>
  <c r="E28" i="129" s="1"/>
  <c r="E29" i="129" s="1"/>
  <c r="E30" i="129" s="1"/>
  <c r="E31" i="129" s="1"/>
  <c r="E32" i="129" s="1"/>
  <c r="E33" i="129" s="1"/>
  <c r="E34" i="129" s="1"/>
  <c r="E35" i="129" s="1"/>
  <c r="E36" i="129" s="1"/>
  <c r="E37" i="129" s="1"/>
  <c r="E38" i="129" s="1"/>
  <c r="E39" i="129" s="1"/>
  <c r="E40" i="129" s="1"/>
  <c r="E41" i="129" s="1"/>
  <c r="E42" i="129" s="1"/>
  <c r="E43" i="129" s="1"/>
  <c r="E44" i="129" s="1"/>
  <c r="E45" i="129" s="1"/>
  <c r="E46" i="129" s="1"/>
  <c r="E47" i="129" s="1"/>
  <c r="E22" i="133"/>
  <c r="E22" i="225"/>
  <c r="E23" i="225" s="1"/>
  <c r="E24" i="225" s="1"/>
  <c r="E25" i="225" s="1"/>
  <c r="E26" i="225" s="1"/>
  <c r="E27" i="225" s="1"/>
  <c r="E28" i="225" s="1"/>
  <c r="E29" i="225" s="1"/>
  <c r="E30" i="225" s="1"/>
  <c r="E31" i="225" s="1"/>
  <c r="E32" i="225" s="1"/>
  <c r="E33" i="225" s="1"/>
  <c r="E34" i="225" s="1"/>
  <c r="E35" i="225" s="1"/>
  <c r="E36" i="225" s="1"/>
  <c r="E37" i="225" s="1"/>
  <c r="E38" i="225" s="1"/>
  <c r="E39" i="225" s="1"/>
  <c r="E40" i="225" s="1"/>
  <c r="E41" i="225" s="1"/>
  <c r="E42" i="225" s="1"/>
  <c r="E43" i="225" s="1"/>
  <c r="E44" i="225" s="1"/>
  <c r="E45" i="225" s="1"/>
  <c r="E46" i="225" s="1"/>
  <c r="E47" i="225" s="1"/>
  <c r="E48" i="225" s="1"/>
  <c r="E49" i="225" s="1"/>
  <c r="E50" i="225" s="1"/>
  <c r="E51" i="225" s="1"/>
  <c r="D52" i="225"/>
  <c r="E22" i="132"/>
  <c r="E22" i="134"/>
  <c r="E23" i="134" s="1"/>
  <c r="E24" i="134" s="1"/>
  <c r="E25" i="134" s="1"/>
  <c r="E26" i="134" s="1"/>
  <c r="E27" i="134" s="1"/>
  <c r="E28" i="134" s="1"/>
  <c r="E29" i="134" s="1"/>
  <c r="E30" i="134" s="1"/>
  <c r="E31" i="134" s="1"/>
  <c r="E32" i="134" s="1"/>
  <c r="E33" i="134" s="1"/>
  <c r="E34" i="134" s="1"/>
  <c r="E35" i="134" s="1"/>
  <c r="E23" i="150"/>
  <c r="D54" i="150"/>
  <c r="D30" i="150"/>
  <c r="D31" i="150" s="1"/>
  <c r="D32" i="150" s="1"/>
  <c r="D33" i="150" s="1"/>
  <c r="D34" i="150" s="1"/>
  <c r="D35" i="150" s="1"/>
  <c r="D36" i="150" s="1"/>
  <c r="D37" i="150" s="1"/>
  <c r="D38" i="150" s="1"/>
  <c r="D39" i="150" s="1"/>
  <c r="D40" i="150" s="1"/>
  <c r="D41" i="150" s="1"/>
  <c r="D42" i="150" s="1"/>
  <c r="D43" i="150" s="1"/>
  <c r="D44" i="150" s="1"/>
  <c r="D45" i="150" s="1"/>
  <c r="D46" i="150" s="1"/>
  <c r="D47" i="150" s="1"/>
  <c r="D48" i="150" s="1"/>
  <c r="D49" i="150" s="1"/>
  <c r="D50" i="150" s="1"/>
  <c r="D51" i="150" s="1"/>
  <c r="D52" i="150" s="1"/>
  <c r="D53" i="150" s="1"/>
  <c r="D24" i="150"/>
  <c r="D58" i="229"/>
  <c r="D22" i="229"/>
  <c r="E21" i="229"/>
  <c r="E72" i="242" l="1"/>
  <c r="E37" i="242"/>
  <c r="E50" i="242"/>
  <c r="E69" i="242"/>
  <c r="D19" i="245"/>
  <c r="E28" i="245" s="1"/>
  <c r="E29" i="245" s="1"/>
  <c r="E30" i="245" s="1"/>
  <c r="E31" i="245" s="1"/>
  <c r="E32" i="245" s="1"/>
  <c r="D70" i="239"/>
  <c r="E22" i="239"/>
  <c r="E23" i="239" s="1"/>
  <c r="E24" i="239" s="1"/>
  <c r="E25" i="239" s="1"/>
  <c r="E26" i="239" s="1"/>
  <c r="E27" i="239" s="1"/>
  <c r="E28" i="239" s="1"/>
  <c r="E29" i="239" s="1"/>
  <c r="E30" i="239" s="1"/>
  <c r="E31" i="239" s="1"/>
  <c r="E32" i="239" s="1"/>
  <c r="E33" i="239" s="1"/>
  <c r="E34" i="239" s="1"/>
  <c r="E35" i="239" s="1"/>
  <c r="E36" i="239" s="1"/>
  <c r="E37" i="239" s="1"/>
  <c r="E38" i="239" s="1"/>
  <c r="E39" i="239" s="1"/>
  <c r="E40" i="239" s="1"/>
  <c r="E41" i="239" s="1"/>
  <c r="E42" i="239" s="1"/>
  <c r="E43" i="239" s="1"/>
  <c r="E44" i="239" s="1"/>
  <c r="E45" i="239" s="1"/>
  <c r="E46" i="239" s="1"/>
  <c r="E47" i="239" s="1"/>
  <c r="E48" i="239" s="1"/>
  <c r="E49" i="239" s="1"/>
  <c r="E50" i="239" s="1"/>
  <c r="E51" i="239" s="1"/>
  <c r="E52" i="239" s="1"/>
  <c r="E53" i="239" s="1"/>
  <c r="E54" i="239" s="1"/>
  <c r="E55" i="239" s="1"/>
  <c r="E56" i="239" s="1"/>
  <c r="E57" i="239" s="1"/>
  <c r="E58" i="239" s="1"/>
  <c r="E59" i="239" s="1"/>
  <c r="E60" i="239" s="1"/>
  <c r="E61" i="239" s="1"/>
  <c r="E62" i="239" s="1"/>
  <c r="E63" i="239" s="1"/>
  <c r="E64" i="239" s="1"/>
  <c r="E65" i="239" s="1"/>
  <c r="E66" i="239" s="1"/>
  <c r="E67" i="239" s="1"/>
  <c r="E68" i="239" s="1"/>
  <c r="E69" i="239" s="1"/>
  <c r="F26" i="245"/>
  <c r="F28" i="245"/>
  <c r="G28" i="245" s="1"/>
  <c r="F52" i="245"/>
  <c r="E26" i="245"/>
  <c r="E70" i="242"/>
  <c r="E48" i="242"/>
  <c r="E63" i="242"/>
  <c r="E31" i="242"/>
  <c r="E62" i="242"/>
  <c r="E40" i="242"/>
  <c r="E53" i="242"/>
  <c r="E58" i="242"/>
  <c r="E34" i="242"/>
  <c r="E47" i="242"/>
  <c r="H22" i="237"/>
  <c r="H21" i="237"/>
  <c r="E66" i="242"/>
  <c r="E56" i="242"/>
  <c r="E46" i="242"/>
  <c r="E32" i="242"/>
  <c r="E61" i="242"/>
  <c r="E45" i="242"/>
  <c r="E29" i="242"/>
  <c r="E64" i="242"/>
  <c r="E54" i="242"/>
  <c r="E42" i="242"/>
  <c r="E71" i="242"/>
  <c r="E55" i="242"/>
  <c r="E39" i="242"/>
  <c r="E38" i="242"/>
  <c r="E30" i="242"/>
  <c r="E67" i="242"/>
  <c r="E59" i="242"/>
  <c r="E51" i="242"/>
  <c r="E43" i="242"/>
  <c r="E35" i="242"/>
  <c r="E68" i="242"/>
  <c r="E60" i="242"/>
  <c r="E52" i="242"/>
  <c r="E44" i="242"/>
  <c r="E36" i="242"/>
  <c r="E28" i="242"/>
  <c r="E65" i="242"/>
  <c r="E57" i="242"/>
  <c r="E49" i="242"/>
  <c r="E41" i="242"/>
  <c r="H24" i="240"/>
  <c r="H26" i="240" s="1"/>
  <c r="D18" i="243"/>
  <c r="D19" i="243" s="1"/>
  <c r="E24" i="243"/>
  <c r="E25" i="243"/>
  <c r="H22" i="240"/>
  <c r="H24" i="222"/>
  <c r="H25" i="222" s="1"/>
  <c r="F78" i="237"/>
  <c r="H25" i="223"/>
  <c r="H26" i="223" s="1"/>
  <c r="H24" i="223"/>
  <c r="G24" i="237"/>
  <c r="E26" i="246"/>
  <c r="E27" i="246" s="1"/>
  <c r="E28" i="246" s="1"/>
  <c r="E24" i="246"/>
  <c r="G24" i="246" s="1"/>
  <c r="E50" i="246"/>
  <c r="G50" i="246" s="1"/>
  <c r="D19" i="246"/>
  <c r="E27" i="228"/>
  <c r="E29" i="228"/>
  <c r="E31" i="228"/>
  <c r="E33" i="228"/>
  <c r="E35" i="228"/>
  <c r="E37" i="228"/>
  <c r="E39" i="228"/>
  <c r="E41" i="228"/>
  <c r="E43" i="228"/>
  <c r="E45" i="228"/>
  <c r="E47" i="228"/>
  <c r="E49" i="228"/>
  <c r="E50" i="228"/>
  <c r="E28" i="228"/>
  <c r="E30" i="228"/>
  <c r="E32" i="228"/>
  <c r="E34" i="228"/>
  <c r="E36" i="228"/>
  <c r="E38" i="228"/>
  <c r="E40" i="228"/>
  <c r="E42" i="228"/>
  <c r="E44" i="228"/>
  <c r="E46" i="228"/>
  <c r="E48" i="228"/>
  <c r="E26" i="228"/>
  <c r="F27" i="228"/>
  <c r="F29" i="228"/>
  <c r="F31" i="228"/>
  <c r="F33" i="228"/>
  <c r="F35" i="228"/>
  <c r="F37" i="228"/>
  <c r="F39" i="228"/>
  <c r="F41" i="228"/>
  <c r="F43" i="228"/>
  <c r="F45" i="228"/>
  <c r="F47" i="228"/>
  <c r="F49" i="228"/>
  <c r="F28" i="228"/>
  <c r="F30" i="228"/>
  <c r="F32" i="228"/>
  <c r="F34" i="228"/>
  <c r="F36" i="228"/>
  <c r="F38" i="228"/>
  <c r="F40" i="228"/>
  <c r="F42" i="228"/>
  <c r="F44" i="228"/>
  <c r="F46" i="228"/>
  <c r="F48" i="228"/>
  <c r="F50" i="228"/>
  <c r="G28" i="223"/>
  <c r="E81" i="223"/>
  <c r="G24" i="224"/>
  <c r="F28" i="224"/>
  <c r="F32" i="224"/>
  <c r="F34" i="224"/>
  <c r="F36" i="224"/>
  <c r="F42" i="224"/>
  <c r="F46" i="224"/>
  <c r="F52" i="224"/>
  <c r="F58" i="224"/>
  <c r="F64" i="224"/>
  <c r="F70" i="224"/>
  <c r="F76" i="224"/>
  <c r="F27" i="224"/>
  <c r="F29" i="224"/>
  <c r="F31" i="224"/>
  <c r="F33" i="224"/>
  <c r="F35" i="224"/>
  <c r="F37" i="224"/>
  <c r="F39" i="224"/>
  <c r="F41" i="224"/>
  <c r="F43" i="224"/>
  <c r="F45" i="224"/>
  <c r="F47" i="224"/>
  <c r="F49" i="224"/>
  <c r="F51" i="224"/>
  <c r="F53" i="224"/>
  <c r="F55" i="224"/>
  <c r="F57" i="224"/>
  <c r="F59" i="224"/>
  <c r="F61" i="224"/>
  <c r="F63" i="224"/>
  <c r="F65" i="224"/>
  <c r="F67" i="224"/>
  <c r="F69" i="224"/>
  <c r="F71" i="224"/>
  <c r="F73" i="224"/>
  <c r="F75" i="224"/>
  <c r="F77" i="224"/>
  <c r="F79" i="224"/>
  <c r="F30" i="224"/>
  <c r="F40" i="224"/>
  <c r="F48" i="224"/>
  <c r="F54" i="224"/>
  <c r="F62" i="224"/>
  <c r="F72" i="224"/>
  <c r="F26" i="224"/>
  <c r="F38" i="224"/>
  <c r="F44" i="224"/>
  <c r="F50" i="224"/>
  <c r="F56" i="224"/>
  <c r="F60" i="224"/>
  <c r="F66" i="224"/>
  <c r="F68" i="224"/>
  <c r="F74" i="224"/>
  <c r="F78" i="224"/>
  <c r="E27" i="224"/>
  <c r="E29" i="224"/>
  <c r="E31" i="224"/>
  <c r="E33" i="224"/>
  <c r="E35" i="224"/>
  <c r="E37" i="224"/>
  <c r="E39" i="224"/>
  <c r="E41" i="224"/>
  <c r="E43" i="224"/>
  <c r="E45" i="224"/>
  <c r="E47" i="224"/>
  <c r="E49" i="224"/>
  <c r="E51" i="224"/>
  <c r="E53" i="224"/>
  <c r="E55" i="224"/>
  <c r="E57" i="224"/>
  <c r="E59" i="224"/>
  <c r="E61" i="224"/>
  <c r="E63" i="224"/>
  <c r="E65" i="224"/>
  <c r="E67" i="224"/>
  <c r="E69" i="224"/>
  <c r="E71" i="224"/>
  <c r="E73" i="224"/>
  <c r="E75" i="224"/>
  <c r="E77" i="224"/>
  <c r="E79" i="224"/>
  <c r="E26" i="224"/>
  <c r="E28" i="224"/>
  <c r="E30" i="224"/>
  <c r="E32" i="224"/>
  <c r="E34" i="224"/>
  <c r="E36" i="224"/>
  <c r="E38" i="224"/>
  <c r="E40" i="224"/>
  <c r="E42" i="224"/>
  <c r="E44" i="224"/>
  <c r="E46" i="224"/>
  <c r="E48" i="224"/>
  <c r="E50" i="224"/>
  <c r="E52" i="224"/>
  <c r="E54" i="224"/>
  <c r="E56" i="224"/>
  <c r="E58" i="224"/>
  <c r="E60" i="224"/>
  <c r="E62" i="224"/>
  <c r="E64" i="224"/>
  <c r="E66" i="224"/>
  <c r="E68" i="224"/>
  <c r="E70" i="224"/>
  <c r="E72" i="224"/>
  <c r="E74" i="224"/>
  <c r="E76" i="224"/>
  <c r="E78" i="224"/>
  <c r="D19" i="224"/>
  <c r="E27" i="244"/>
  <c r="E29" i="244"/>
  <c r="E31" i="244"/>
  <c r="E33" i="244"/>
  <c r="E35" i="244"/>
  <c r="E37" i="244"/>
  <c r="E39" i="244"/>
  <c r="E41" i="244"/>
  <c r="E43" i="244"/>
  <c r="E45" i="244"/>
  <c r="E47" i="244"/>
  <c r="E49" i="244"/>
  <c r="E51" i="244"/>
  <c r="E53" i="244"/>
  <c r="E55" i="244"/>
  <c r="E57" i="244"/>
  <c r="E59" i="244"/>
  <c r="E61" i="244"/>
  <c r="E63" i="244"/>
  <c r="E65" i="244"/>
  <c r="E67" i="244"/>
  <c r="E69" i="244"/>
  <c r="E26" i="244"/>
  <c r="E28" i="244"/>
  <c r="E30" i="244"/>
  <c r="E32" i="244"/>
  <c r="E34" i="244"/>
  <c r="E36" i="244"/>
  <c r="E38" i="244"/>
  <c r="E40" i="244"/>
  <c r="E42" i="244"/>
  <c r="E44" i="244"/>
  <c r="E46" i="244"/>
  <c r="E48" i="244"/>
  <c r="E50" i="244"/>
  <c r="E52" i="244"/>
  <c r="E54" i="244"/>
  <c r="E56" i="244"/>
  <c r="E58" i="244"/>
  <c r="E60" i="244"/>
  <c r="E62" i="244"/>
  <c r="E64" i="244"/>
  <c r="E66" i="244"/>
  <c r="E68" i="244"/>
  <c r="E70" i="244"/>
  <c r="F26" i="244"/>
  <c r="F27" i="244"/>
  <c r="F29" i="244"/>
  <c r="F31" i="244"/>
  <c r="F33" i="244"/>
  <c r="F35" i="244"/>
  <c r="F37" i="244"/>
  <c r="F39" i="244"/>
  <c r="F41" i="244"/>
  <c r="F43" i="244"/>
  <c r="F45" i="244"/>
  <c r="F47" i="244"/>
  <c r="F49" i="244"/>
  <c r="F51" i="244"/>
  <c r="F53" i="244"/>
  <c r="F55" i="244"/>
  <c r="F57" i="244"/>
  <c r="F59" i="244"/>
  <c r="F61" i="244"/>
  <c r="F63" i="244"/>
  <c r="F65" i="244"/>
  <c r="F67" i="244"/>
  <c r="F69" i="244"/>
  <c r="F28" i="244"/>
  <c r="F30" i="244"/>
  <c r="F32" i="244"/>
  <c r="F34" i="244"/>
  <c r="F36" i="244"/>
  <c r="F38" i="244"/>
  <c r="F40" i="244"/>
  <c r="F42" i="244"/>
  <c r="F44" i="244"/>
  <c r="F46" i="244"/>
  <c r="F48" i="244"/>
  <c r="F50" i="244"/>
  <c r="F52" i="244"/>
  <c r="F54" i="244"/>
  <c r="F56" i="244"/>
  <c r="F58" i="244"/>
  <c r="F60" i="244"/>
  <c r="F62" i="244"/>
  <c r="F64" i="244"/>
  <c r="F66" i="244"/>
  <c r="F68" i="244"/>
  <c r="F70" i="244"/>
  <c r="E27" i="236"/>
  <c r="E29" i="236"/>
  <c r="E31" i="236"/>
  <c r="E33" i="236"/>
  <c r="E35" i="236"/>
  <c r="E37" i="236"/>
  <c r="E39" i="236"/>
  <c r="E41" i="236"/>
  <c r="E43" i="236"/>
  <c r="E45" i="236"/>
  <c r="E47" i="236"/>
  <c r="E49" i="236"/>
  <c r="E51" i="236"/>
  <c r="E53" i="236"/>
  <c r="E55" i="236"/>
  <c r="E57" i="236"/>
  <c r="E59" i="236"/>
  <c r="E61" i="236"/>
  <c r="E63" i="236"/>
  <c r="E65" i="236"/>
  <c r="E67" i="236"/>
  <c r="E69" i="236"/>
  <c r="E71" i="236"/>
  <c r="E73" i="236"/>
  <c r="E75" i="236"/>
  <c r="E77" i="236"/>
  <c r="E79" i="236"/>
  <c r="E28" i="236"/>
  <c r="E30" i="236"/>
  <c r="E32" i="236"/>
  <c r="E34" i="236"/>
  <c r="E36" i="236"/>
  <c r="E38" i="236"/>
  <c r="E40" i="236"/>
  <c r="E42" i="236"/>
  <c r="E44" i="236"/>
  <c r="E46" i="236"/>
  <c r="E48" i="236"/>
  <c r="E50" i="236"/>
  <c r="E52" i="236"/>
  <c r="E54" i="236"/>
  <c r="E56" i="236"/>
  <c r="E58" i="236"/>
  <c r="E60" i="236"/>
  <c r="E62" i="236"/>
  <c r="E64" i="236"/>
  <c r="E66" i="236"/>
  <c r="E68" i="236"/>
  <c r="E70" i="236"/>
  <c r="E72" i="236"/>
  <c r="E74" i="236"/>
  <c r="E76" i="236"/>
  <c r="E78" i="236"/>
  <c r="E26" i="236"/>
  <c r="F30" i="236"/>
  <c r="F42" i="236"/>
  <c r="F46" i="236"/>
  <c r="F50" i="236"/>
  <c r="F54" i="236"/>
  <c r="F58" i="236"/>
  <c r="F62" i="236"/>
  <c r="F66" i="236"/>
  <c r="F72" i="236"/>
  <c r="F76" i="236"/>
  <c r="F27" i="236"/>
  <c r="F29" i="236"/>
  <c r="F31" i="236"/>
  <c r="F33" i="236"/>
  <c r="F35" i="236"/>
  <c r="F37" i="236"/>
  <c r="F39" i="236"/>
  <c r="F41" i="236"/>
  <c r="F43" i="236"/>
  <c r="F45" i="236"/>
  <c r="F47" i="236"/>
  <c r="F49" i="236"/>
  <c r="F51" i="236"/>
  <c r="F53" i="236"/>
  <c r="F55" i="236"/>
  <c r="F57" i="236"/>
  <c r="F59" i="236"/>
  <c r="F61" i="236"/>
  <c r="F63" i="236"/>
  <c r="F65" i="236"/>
  <c r="F67" i="236"/>
  <c r="F69" i="236"/>
  <c r="F71" i="236"/>
  <c r="F73" i="236"/>
  <c r="F75" i="236"/>
  <c r="F77" i="236"/>
  <c r="F79" i="236"/>
  <c r="F28" i="236"/>
  <c r="F32" i="236"/>
  <c r="F34" i="236"/>
  <c r="F36" i="236"/>
  <c r="F38" i="236"/>
  <c r="F40" i="236"/>
  <c r="F44" i="236"/>
  <c r="F48" i="236"/>
  <c r="F52" i="236"/>
  <c r="F56" i="236"/>
  <c r="F60" i="236"/>
  <c r="F64" i="236"/>
  <c r="F68" i="236"/>
  <c r="F74" i="236"/>
  <c r="F26" i="236"/>
  <c r="F70" i="236"/>
  <c r="F78" i="236"/>
  <c r="F26" i="228"/>
  <c r="E24" i="244"/>
  <c r="D20" i="236"/>
  <c r="D20" i="228"/>
  <c r="D19" i="221"/>
  <c r="E52" i="221" s="1"/>
  <c r="F52" i="221"/>
  <c r="F37" i="246"/>
  <c r="F38" i="246"/>
  <c r="F36" i="246"/>
  <c r="F43" i="246"/>
  <c r="F46" i="246"/>
  <c r="F48" i="246"/>
  <c r="F39" i="246"/>
  <c r="F49" i="246"/>
  <c r="F33" i="246"/>
  <c r="F32" i="246"/>
  <c r="F42" i="246"/>
  <c r="F45" i="246"/>
  <c r="F29" i="246"/>
  <c r="F44" i="246"/>
  <c r="F28" i="246"/>
  <c r="F31" i="246"/>
  <c r="F34" i="246"/>
  <c r="F41" i="246"/>
  <c r="F35" i="246"/>
  <c r="F40" i="246"/>
  <c r="F47" i="246"/>
  <c r="F27" i="246"/>
  <c r="F30" i="246"/>
  <c r="F49" i="222"/>
  <c r="G26" i="222"/>
  <c r="D25" i="150"/>
  <c r="D26" i="150" s="1"/>
  <c r="D27" i="150" s="1"/>
  <c r="D28" i="150" s="1"/>
  <c r="D29" i="150" s="1"/>
  <c r="E22" i="229"/>
  <c r="D23" i="229"/>
  <c r="D24" i="229" s="1"/>
  <c r="D25" i="229" s="1"/>
  <c r="D26" i="229" s="1"/>
  <c r="D27" i="229" s="1"/>
  <c r="D28" i="229" s="1"/>
  <c r="D29" i="229" s="1"/>
  <c r="D30" i="229" s="1"/>
  <c r="D31" i="229" s="1"/>
  <c r="D32" i="229" s="1"/>
  <c r="D33" i="229" s="1"/>
  <c r="D34" i="229" s="1"/>
  <c r="D35" i="229" s="1"/>
  <c r="D36" i="229" s="1"/>
  <c r="D37" i="229" s="1"/>
  <c r="D38" i="229" s="1"/>
  <c r="D39" i="229" s="1"/>
  <c r="D40" i="229" s="1"/>
  <c r="D41" i="229" s="1"/>
  <c r="D42" i="229" s="1"/>
  <c r="D43" i="229" s="1"/>
  <c r="D44" i="229" s="1"/>
  <c r="D45" i="229" s="1"/>
  <c r="D46" i="229" s="1"/>
  <c r="D47" i="229" s="1"/>
  <c r="D48" i="229" s="1"/>
  <c r="D49" i="229" s="1"/>
  <c r="D50" i="229" s="1"/>
  <c r="D51" i="229" s="1"/>
  <c r="D52" i="229" s="1"/>
  <c r="D53" i="229" s="1"/>
  <c r="D54" i="229" s="1"/>
  <c r="D55" i="229" s="1"/>
  <c r="D56" i="229" s="1"/>
  <c r="D57" i="229" s="1"/>
  <c r="E24" i="150"/>
  <c r="E52" i="245" l="1"/>
  <c r="D21" i="245"/>
  <c r="H24" i="245" s="1"/>
  <c r="G26" i="245"/>
  <c r="F40" i="245"/>
  <c r="F34" i="245"/>
  <c r="F32" i="245"/>
  <c r="G32" i="245" s="1"/>
  <c r="F47" i="245"/>
  <c r="F31" i="245"/>
  <c r="G31" i="245" s="1"/>
  <c r="F37" i="245"/>
  <c r="F39" i="245"/>
  <c r="F48" i="245"/>
  <c r="F36" i="245"/>
  <c r="F45" i="245"/>
  <c r="F35" i="245"/>
  <c r="F29" i="245"/>
  <c r="G29" i="245" s="1"/>
  <c r="F43" i="245"/>
  <c r="F46" i="245"/>
  <c r="F33" i="245"/>
  <c r="F30" i="245"/>
  <c r="G30" i="245" s="1"/>
  <c r="F38" i="245"/>
  <c r="F49" i="245"/>
  <c r="H25" i="245"/>
  <c r="F41" i="245"/>
  <c r="F42" i="245"/>
  <c r="F50" i="245"/>
  <c r="F51" i="245"/>
  <c r="F44" i="245"/>
  <c r="H24" i="237"/>
  <c r="G52" i="245"/>
  <c r="G50" i="228"/>
  <c r="G27" i="224"/>
  <c r="G26" i="246"/>
  <c r="G27" i="246"/>
  <c r="G28" i="228"/>
  <c r="H28" i="223"/>
  <c r="H24" i="236"/>
  <c r="H23" i="236"/>
  <c r="H23" i="224"/>
  <c r="H24" i="224" s="1"/>
  <c r="H22" i="224"/>
  <c r="H24" i="228"/>
  <c r="H23" i="228"/>
  <c r="H23" i="246"/>
  <c r="H24" i="246" s="1"/>
  <c r="H22" i="246"/>
  <c r="G25" i="237"/>
  <c r="F80" i="236"/>
  <c r="G26" i="224"/>
  <c r="E29" i="221"/>
  <c r="E31" i="221"/>
  <c r="E33" i="221"/>
  <c r="E35" i="221"/>
  <c r="E37" i="221"/>
  <c r="E39" i="221"/>
  <c r="E41" i="221"/>
  <c r="E43" i="221"/>
  <c r="E45" i="221"/>
  <c r="E47" i="221"/>
  <c r="E49" i="221"/>
  <c r="E51" i="221"/>
  <c r="E30" i="221"/>
  <c r="E32" i="221"/>
  <c r="E34" i="221"/>
  <c r="E36" i="221"/>
  <c r="E38" i="221"/>
  <c r="E40" i="221"/>
  <c r="E42" i="221"/>
  <c r="E44" i="221"/>
  <c r="E46" i="221"/>
  <c r="E48" i="221"/>
  <c r="E50" i="221"/>
  <c r="E28" i="221"/>
  <c r="F29" i="221"/>
  <c r="F31" i="221"/>
  <c r="F33" i="221"/>
  <c r="F35" i="221"/>
  <c r="F37" i="221"/>
  <c r="F39" i="221"/>
  <c r="F41" i="221"/>
  <c r="F43" i="221"/>
  <c r="F45" i="221"/>
  <c r="F47" i="221"/>
  <c r="F49" i="221"/>
  <c r="F51" i="221"/>
  <c r="F28" i="221"/>
  <c r="F30" i="221"/>
  <c r="F32" i="221"/>
  <c r="F34" i="221"/>
  <c r="F36" i="221"/>
  <c r="F38" i="221"/>
  <c r="F40" i="221"/>
  <c r="F42" i="221"/>
  <c r="F44" i="221"/>
  <c r="F46" i="221"/>
  <c r="F48" i="221"/>
  <c r="F50" i="221"/>
  <c r="D19" i="244"/>
  <c r="F24" i="244"/>
  <c r="G24" i="244" s="1"/>
  <c r="F25" i="243"/>
  <c r="F24" i="243"/>
  <c r="G26" i="236"/>
  <c r="G26" i="228"/>
  <c r="F51" i="228"/>
  <c r="G27" i="228"/>
  <c r="D21" i="221"/>
  <c r="H24" i="221" s="1"/>
  <c r="E26" i="221"/>
  <c r="F26" i="221"/>
  <c r="F82" i="223"/>
  <c r="G29" i="223"/>
  <c r="E28" i="241"/>
  <c r="G27" i="241"/>
  <c r="F51" i="246"/>
  <c r="E33" i="245"/>
  <c r="E29" i="246"/>
  <c r="G28" i="246"/>
  <c r="H27" i="240"/>
  <c r="G27" i="222"/>
  <c r="H26" i="222"/>
  <c r="F80" i="224"/>
  <c r="G28" i="224"/>
  <c r="G29" i="228"/>
  <c r="G30" i="223"/>
  <c r="E25" i="150"/>
  <c r="E26" i="150" s="1"/>
  <c r="E27" i="150" s="1"/>
  <c r="E28" i="150" s="1"/>
  <c r="E29" i="150" s="1"/>
  <c r="E30" i="150" s="1"/>
  <c r="E31" i="150" s="1"/>
  <c r="E32" i="150" s="1"/>
  <c r="E33" i="150" s="1"/>
  <c r="E34" i="150" s="1"/>
  <c r="E35" i="150" s="1"/>
  <c r="E36" i="150" s="1"/>
  <c r="E37" i="150" s="1"/>
  <c r="E38" i="150" s="1"/>
  <c r="E39" i="150" s="1"/>
  <c r="E40" i="150" s="1"/>
  <c r="E41" i="150" s="1"/>
  <c r="E42" i="150" s="1"/>
  <c r="E43" i="150" s="1"/>
  <c r="E44" i="150" s="1"/>
  <c r="E45" i="150" s="1"/>
  <c r="E46" i="150" s="1"/>
  <c r="E47" i="150" s="1"/>
  <c r="E48" i="150" s="1"/>
  <c r="E49" i="150" s="1"/>
  <c r="E50" i="150" s="1"/>
  <c r="E51" i="150" s="1"/>
  <c r="E52" i="150" s="1"/>
  <c r="E53" i="150" s="1"/>
  <c r="E54" i="150" s="1"/>
  <c r="D55" i="150"/>
  <c r="D59" i="229"/>
  <c r="E23" i="229"/>
  <c r="E24" i="229" s="1"/>
  <c r="E25" i="229" s="1"/>
  <c r="E26" i="229" s="1"/>
  <c r="E27" i="229" s="1"/>
  <c r="E28" i="229" s="1"/>
  <c r="E29" i="229" s="1"/>
  <c r="E30" i="229" s="1"/>
  <c r="E31" i="229" s="1"/>
  <c r="E32" i="229" s="1"/>
  <c r="E33" i="229" s="1"/>
  <c r="E34" i="229" s="1"/>
  <c r="E35" i="229" s="1"/>
  <c r="E36" i="229" s="1"/>
  <c r="E37" i="229" s="1"/>
  <c r="E38" i="229" s="1"/>
  <c r="E39" i="229" s="1"/>
  <c r="E40" i="229" s="1"/>
  <c r="E41" i="229" s="1"/>
  <c r="E42" i="229" s="1"/>
  <c r="E43" i="229" s="1"/>
  <c r="E44" i="229" s="1"/>
  <c r="E45" i="229" s="1"/>
  <c r="E46" i="229" s="1"/>
  <c r="E47" i="229" s="1"/>
  <c r="E48" i="229" s="1"/>
  <c r="E49" i="229" s="1"/>
  <c r="E50" i="229" s="1"/>
  <c r="E51" i="229" s="1"/>
  <c r="E52" i="229" s="1"/>
  <c r="E53" i="229" s="1"/>
  <c r="E54" i="229" s="1"/>
  <c r="E55" i="229" s="1"/>
  <c r="E56" i="229" s="1"/>
  <c r="E57" i="229" s="1"/>
  <c r="E58" i="229" s="1"/>
  <c r="H26" i="245" l="1"/>
  <c r="H28" i="245" s="1"/>
  <c r="H29" i="245" s="1"/>
  <c r="H30" i="245" s="1"/>
  <c r="H31" i="245" s="1"/>
  <c r="H32" i="245" s="1"/>
  <c r="F53" i="245"/>
  <c r="H25" i="237"/>
  <c r="H29" i="223"/>
  <c r="H30" i="223" s="1"/>
  <c r="H26" i="224"/>
  <c r="H27" i="224" s="1"/>
  <c r="H28" i="224" s="1"/>
  <c r="H26" i="228"/>
  <c r="H27" i="228" s="1"/>
  <c r="H28" i="228" s="1"/>
  <c r="H29" i="228" s="1"/>
  <c r="H26" i="236"/>
  <c r="H26" i="246"/>
  <c r="H27" i="246" s="1"/>
  <c r="H28" i="246" s="1"/>
  <c r="H23" i="243"/>
  <c r="H22" i="243"/>
  <c r="H23" i="244"/>
  <c r="H24" i="244" s="1"/>
  <c r="H22" i="244"/>
  <c r="E26" i="243"/>
  <c r="G26" i="237"/>
  <c r="F26" i="243"/>
  <c r="H25" i="221"/>
  <c r="G28" i="244"/>
  <c r="G29" i="244"/>
  <c r="G26" i="244"/>
  <c r="G25" i="243"/>
  <c r="G24" i="243"/>
  <c r="G27" i="236"/>
  <c r="G28" i="221"/>
  <c r="G26" i="221"/>
  <c r="G26" i="241"/>
  <c r="G28" i="241" s="1"/>
  <c r="F28" i="241"/>
  <c r="E34" i="245"/>
  <c r="G33" i="245"/>
  <c r="E30" i="246"/>
  <c r="G29" i="246"/>
  <c r="H27" i="222"/>
  <c r="H28" i="240"/>
  <c r="G28" i="222"/>
  <c r="G29" i="224"/>
  <c r="G30" i="228"/>
  <c r="G31" i="223"/>
  <c r="H26" i="237" l="1"/>
  <c r="H27" i="236"/>
  <c r="H26" i="221"/>
  <c r="H28" i="221" s="1"/>
  <c r="H31" i="223"/>
  <c r="G27" i="237"/>
  <c r="H27" i="237" s="1"/>
  <c r="G26" i="243"/>
  <c r="H26" i="244"/>
  <c r="G27" i="244"/>
  <c r="F71" i="244"/>
  <c r="H24" i="243"/>
  <c r="H25" i="243" s="1"/>
  <c r="G28" i="236"/>
  <c r="F53" i="221"/>
  <c r="G29" i="221"/>
  <c r="H29" i="246"/>
  <c r="H33" i="245"/>
  <c r="G30" i="246"/>
  <c r="E31" i="246"/>
  <c r="E35" i="245"/>
  <c r="G34" i="245"/>
  <c r="H34" i="245" s="1"/>
  <c r="H30" i="228"/>
  <c r="H29" i="224"/>
  <c r="H28" i="222"/>
  <c r="H29" i="240"/>
  <c r="G29" i="222"/>
  <c r="G30" i="224"/>
  <c r="G30" i="244"/>
  <c r="G31" i="228"/>
  <c r="G32" i="223"/>
  <c r="D21" i="242"/>
  <c r="F26" i="242"/>
  <c r="E26" i="242"/>
  <c r="H28" i="236" l="1"/>
  <c r="H32" i="223"/>
  <c r="H29" i="221"/>
  <c r="H25" i="242"/>
  <c r="H24" i="242"/>
  <c r="G28" i="237"/>
  <c r="H28" i="237" s="1"/>
  <c r="H30" i="246"/>
  <c r="H27" i="244"/>
  <c r="H28" i="244" s="1"/>
  <c r="H29" i="244" s="1"/>
  <c r="H30" i="244" s="1"/>
  <c r="G29" i="236"/>
  <c r="H29" i="236" s="1"/>
  <c r="G30" i="221"/>
  <c r="G35" i="245"/>
  <c r="H35" i="245" s="1"/>
  <c r="E36" i="245"/>
  <c r="E32" i="246"/>
  <c r="G31" i="246"/>
  <c r="H31" i="228"/>
  <c r="H30" i="224"/>
  <c r="H29" i="222"/>
  <c r="H30" i="240"/>
  <c r="G26" i="242"/>
  <c r="G30" i="222"/>
  <c r="G31" i="224"/>
  <c r="G31" i="244"/>
  <c r="G32" i="228"/>
  <c r="G33" i="223"/>
  <c r="G28" i="242"/>
  <c r="H33" i="223" l="1"/>
  <c r="H26" i="242"/>
  <c r="H28" i="242" s="1"/>
  <c r="H30" i="221"/>
  <c r="H31" i="246"/>
  <c r="G29" i="237"/>
  <c r="H29" i="237" s="1"/>
  <c r="H31" i="224"/>
  <c r="G30" i="236"/>
  <c r="H30" i="236" s="1"/>
  <c r="G31" i="221"/>
  <c r="E37" i="245"/>
  <c r="G36" i="245"/>
  <c r="H36" i="245" s="1"/>
  <c r="G32" i="246"/>
  <c r="E33" i="246"/>
  <c r="H31" i="240"/>
  <c r="H32" i="228"/>
  <c r="H30" i="222"/>
  <c r="H31" i="244"/>
  <c r="F73" i="242"/>
  <c r="G31" i="222"/>
  <c r="G32" i="224"/>
  <c r="G32" i="244"/>
  <c r="G33" i="228"/>
  <c r="G34" i="223"/>
  <c r="G29" i="242"/>
  <c r="H34" i="223" l="1"/>
  <c r="H32" i="246"/>
  <c r="H31" i="221"/>
  <c r="G30" i="237"/>
  <c r="H30" i="237" s="1"/>
  <c r="H32" i="224"/>
  <c r="G31" i="236"/>
  <c r="H31" i="236" s="1"/>
  <c r="H33" i="228"/>
  <c r="G32" i="221"/>
  <c r="E38" i="245"/>
  <c r="G37" i="245"/>
  <c r="H37" i="245" s="1"/>
  <c r="H31" i="222"/>
  <c r="H32" i="240"/>
  <c r="E34" i="246"/>
  <c r="G33" i="246"/>
  <c r="H33" i="246" s="1"/>
  <c r="H29" i="242"/>
  <c r="H32" i="244"/>
  <c r="G32" i="222"/>
  <c r="G33" i="224"/>
  <c r="G33" i="244"/>
  <c r="G34" i="228"/>
  <c r="G35" i="223"/>
  <c r="G30" i="242"/>
  <c r="H35" i="223" l="1"/>
  <c r="H33" i="224"/>
  <c r="H32" i="221"/>
  <c r="G31" i="237"/>
  <c r="H31" i="237" s="1"/>
  <c r="H34" i="228"/>
  <c r="G32" i="236"/>
  <c r="H32" i="236" s="1"/>
  <c r="G33" i="221"/>
  <c r="H33" i="244"/>
  <c r="H33" i="240"/>
  <c r="H34" i="240" s="1"/>
  <c r="H32" i="222"/>
  <c r="G34" i="246"/>
  <c r="H34" i="246" s="1"/>
  <c r="E35" i="246"/>
  <c r="G38" i="245"/>
  <c r="H38" i="245" s="1"/>
  <c r="E39" i="245"/>
  <c r="H30" i="242"/>
  <c r="G33" i="222"/>
  <c r="G34" i="224"/>
  <c r="G34" i="244"/>
  <c r="G35" i="228"/>
  <c r="G36" i="223"/>
  <c r="H36" i="223" s="1"/>
  <c r="G31" i="242"/>
  <c r="H33" i="221" l="1"/>
  <c r="H35" i="228"/>
  <c r="H34" i="224"/>
  <c r="G32" i="237"/>
  <c r="H32" i="237" s="1"/>
  <c r="H31" i="242"/>
  <c r="G33" i="236"/>
  <c r="H33" i="236" s="1"/>
  <c r="G34" i="221"/>
  <c r="H34" i="221" s="1"/>
  <c r="H34" i="244"/>
  <c r="H33" i="222"/>
  <c r="E36" i="246"/>
  <c r="G35" i="246"/>
  <c r="H35" i="246" s="1"/>
  <c r="E40" i="245"/>
  <c r="G39" i="245"/>
  <c r="H39" i="245" s="1"/>
  <c r="H35" i="240"/>
  <c r="G34" i="222"/>
  <c r="G35" i="224"/>
  <c r="G35" i="244"/>
  <c r="G36" i="228"/>
  <c r="H36" i="228" s="1"/>
  <c r="G37" i="223"/>
  <c r="H37" i="223" s="1"/>
  <c r="G32" i="242"/>
  <c r="H35" i="224" l="1"/>
  <c r="G33" i="237"/>
  <c r="H33" i="237" s="1"/>
  <c r="H32" i="242"/>
  <c r="H35" i="244"/>
  <c r="G34" i="236"/>
  <c r="H34" i="236" s="1"/>
  <c r="H34" i="222"/>
  <c r="G35" i="221"/>
  <c r="H35" i="221" s="1"/>
  <c r="G40" i="245"/>
  <c r="H40" i="245" s="1"/>
  <c r="E41" i="245"/>
  <c r="G36" i="246"/>
  <c r="H36" i="246" s="1"/>
  <c r="E37" i="246"/>
  <c r="H36" i="240"/>
  <c r="G35" i="222"/>
  <c r="G36" i="224"/>
  <c r="G36" i="244"/>
  <c r="G37" i="228"/>
  <c r="H37" i="228" s="1"/>
  <c r="G38" i="223"/>
  <c r="H38" i="223" s="1"/>
  <c r="G33" i="242"/>
  <c r="H36" i="224" l="1"/>
  <c r="G34" i="237"/>
  <c r="H34" i="237" s="1"/>
  <c r="H35" i="222"/>
  <c r="H33" i="242"/>
  <c r="H36" i="244"/>
  <c r="G35" i="236"/>
  <c r="H35" i="236" s="1"/>
  <c r="G36" i="221"/>
  <c r="H36" i="221" s="1"/>
  <c r="E38" i="246"/>
  <c r="G37" i="246"/>
  <c r="H37" i="246" s="1"/>
  <c r="E42" i="245"/>
  <c r="G41" i="245"/>
  <c r="H41" i="245" s="1"/>
  <c r="H37" i="240"/>
  <c r="G36" i="222"/>
  <c r="G37" i="224"/>
  <c r="G37" i="244"/>
  <c r="G38" i="228"/>
  <c r="H38" i="228" s="1"/>
  <c r="G39" i="223"/>
  <c r="H39" i="223" s="1"/>
  <c r="G34" i="242"/>
  <c r="H36" i="222" l="1"/>
  <c r="H37" i="224"/>
  <c r="G35" i="237"/>
  <c r="H35" i="237" s="1"/>
  <c r="H34" i="242"/>
  <c r="H37" i="244"/>
  <c r="G36" i="236"/>
  <c r="H36" i="236" s="1"/>
  <c r="G37" i="221"/>
  <c r="H37" i="221" s="1"/>
  <c r="G42" i="245"/>
  <c r="H42" i="245" s="1"/>
  <c r="E43" i="245"/>
  <c r="G38" i="246"/>
  <c r="H38" i="246" s="1"/>
  <c r="E39" i="246"/>
  <c r="H38" i="240"/>
  <c r="G37" i="222"/>
  <c r="H37" i="222" s="1"/>
  <c r="G38" i="224"/>
  <c r="G38" i="244"/>
  <c r="G39" i="228"/>
  <c r="H39" i="228" s="1"/>
  <c r="G40" i="223"/>
  <c r="H40" i="223" s="1"/>
  <c r="G35" i="242"/>
  <c r="H38" i="224" l="1"/>
  <c r="G36" i="237"/>
  <c r="H36" i="237" s="1"/>
  <c r="H35" i="242"/>
  <c r="H38" i="244"/>
  <c r="G37" i="236"/>
  <c r="H37" i="236" s="1"/>
  <c r="G38" i="221"/>
  <c r="H38" i="221" s="1"/>
  <c r="E44" i="245"/>
  <c r="G43" i="245"/>
  <c r="H43" i="245" s="1"/>
  <c r="G39" i="246"/>
  <c r="H39" i="246" s="1"/>
  <c r="E40" i="246"/>
  <c r="H39" i="240"/>
  <c r="G38" i="222"/>
  <c r="H38" i="222" s="1"/>
  <c r="G39" i="224"/>
  <c r="H39" i="224" s="1"/>
  <c r="G39" i="244"/>
  <c r="G40" i="228"/>
  <c r="H40" i="228" s="1"/>
  <c r="G41" i="223"/>
  <c r="H41" i="223" s="1"/>
  <c r="G36" i="242"/>
  <c r="H36" i="242" l="1"/>
  <c r="G37" i="237"/>
  <c r="H37" i="237" s="1"/>
  <c r="H39" i="244"/>
  <c r="G38" i="236"/>
  <c r="H38" i="236" s="1"/>
  <c r="G39" i="221"/>
  <c r="H39" i="221" s="1"/>
  <c r="G40" i="246"/>
  <c r="H40" i="246" s="1"/>
  <c r="E41" i="246"/>
  <c r="G44" i="245"/>
  <c r="H44" i="245" s="1"/>
  <c r="E45" i="245"/>
  <c r="H40" i="240"/>
  <c r="G39" i="222"/>
  <c r="H39" i="222" s="1"/>
  <c r="G40" i="224"/>
  <c r="H40" i="224" s="1"/>
  <c r="G40" i="244"/>
  <c r="G41" i="228"/>
  <c r="H41" i="228" s="1"/>
  <c r="G42" i="223"/>
  <c r="H42" i="223" s="1"/>
  <c r="G37" i="242"/>
  <c r="H37" i="242" l="1"/>
  <c r="G38" i="237"/>
  <c r="H38" i="237" s="1"/>
  <c r="H40" i="244"/>
  <c r="G39" i="236"/>
  <c r="H39" i="236" s="1"/>
  <c r="G40" i="221"/>
  <c r="H40" i="221" s="1"/>
  <c r="E46" i="245"/>
  <c r="G45" i="245"/>
  <c r="H45" i="245" s="1"/>
  <c r="E42" i="246"/>
  <c r="G41" i="246"/>
  <c r="H41" i="246" s="1"/>
  <c r="H41" i="240"/>
  <c r="G40" i="222"/>
  <c r="H40" i="222" s="1"/>
  <c r="G41" i="224"/>
  <c r="H41" i="224" s="1"/>
  <c r="G41" i="244"/>
  <c r="G42" i="228"/>
  <c r="H42" i="228" s="1"/>
  <c r="G43" i="223"/>
  <c r="H43" i="223" s="1"/>
  <c r="G38" i="242"/>
  <c r="H41" i="244" l="1"/>
  <c r="H38" i="242"/>
  <c r="G39" i="237"/>
  <c r="H39" i="237" s="1"/>
  <c r="G40" i="236"/>
  <c r="H40" i="236" s="1"/>
  <c r="G41" i="221"/>
  <c r="H41" i="221" s="1"/>
  <c r="G42" i="246"/>
  <c r="H42" i="246" s="1"/>
  <c r="E43" i="246"/>
  <c r="G46" i="245"/>
  <c r="H46" i="245" s="1"/>
  <c r="E47" i="245"/>
  <c r="H42" i="240"/>
  <c r="G41" i="222"/>
  <c r="H41" i="222" s="1"/>
  <c r="G42" i="224"/>
  <c r="H42" i="224" s="1"/>
  <c r="G42" i="244"/>
  <c r="H42" i="244" s="1"/>
  <c r="G43" i="228"/>
  <c r="H43" i="228" s="1"/>
  <c r="G44" i="223"/>
  <c r="H44" i="223" s="1"/>
  <c r="G39" i="242"/>
  <c r="H39" i="242" l="1"/>
  <c r="G40" i="237"/>
  <c r="H40" i="237" s="1"/>
  <c r="G41" i="236"/>
  <c r="H41" i="236" s="1"/>
  <c r="G42" i="221"/>
  <c r="H42" i="221" s="1"/>
  <c r="E48" i="245"/>
  <c r="G47" i="245"/>
  <c r="H47" i="245" s="1"/>
  <c r="E44" i="246"/>
  <c r="G43" i="246"/>
  <c r="H43" i="246" s="1"/>
  <c r="H43" i="240"/>
  <c r="G42" i="222"/>
  <c r="H42" i="222" s="1"/>
  <c r="G43" i="224"/>
  <c r="H43" i="224" s="1"/>
  <c r="G43" i="244"/>
  <c r="H43" i="244" s="1"/>
  <c r="G44" i="228"/>
  <c r="H44" i="228" s="1"/>
  <c r="G45" i="223"/>
  <c r="H45" i="223" s="1"/>
  <c r="G40" i="242"/>
  <c r="H40" i="242" l="1"/>
  <c r="G41" i="237"/>
  <c r="H41" i="237" s="1"/>
  <c r="G42" i="236"/>
  <c r="H42" i="236" s="1"/>
  <c r="G43" i="221"/>
  <c r="H43" i="221" s="1"/>
  <c r="G44" i="246"/>
  <c r="H44" i="246" s="1"/>
  <c r="E45" i="246"/>
  <c r="G48" i="245"/>
  <c r="H48" i="245" s="1"/>
  <c r="E49" i="245"/>
  <c r="H44" i="240"/>
  <c r="G43" i="222"/>
  <c r="H43" i="222" s="1"/>
  <c r="G44" i="224"/>
  <c r="H44" i="224" s="1"/>
  <c r="G44" i="244"/>
  <c r="H44" i="244" s="1"/>
  <c r="G45" i="228"/>
  <c r="H45" i="228" s="1"/>
  <c r="G46" i="223"/>
  <c r="H46" i="223" s="1"/>
  <c r="G41" i="242"/>
  <c r="H41" i="242" l="1"/>
  <c r="G42" i="237"/>
  <c r="H42" i="237" s="1"/>
  <c r="G43" i="236"/>
  <c r="H43" i="236" s="1"/>
  <c r="G44" i="221"/>
  <c r="H44" i="221" s="1"/>
  <c r="E50" i="245"/>
  <c r="G49" i="245"/>
  <c r="H49" i="245" s="1"/>
  <c r="E46" i="246"/>
  <c r="G45" i="246"/>
  <c r="H45" i="246" s="1"/>
  <c r="H45" i="240"/>
  <c r="G44" i="222"/>
  <c r="H44" i="222" s="1"/>
  <c r="G45" i="224"/>
  <c r="H45" i="224" s="1"/>
  <c r="G45" i="244"/>
  <c r="H45" i="244" s="1"/>
  <c r="G46" i="228"/>
  <c r="H46" i="228" s="1"/>
  <c r="G47" i="223"/>
  <c r="H47" i="223" s="1"/>
  <c r="G42" i="242"/>
  <c r="H42" i="242" l="1"/>
  <c r="G43" i="237"/>
  <c r="H43" i="237" s="1"/>
  <c r="G44" i="236"/>
  <c r="H44" i="236" s="1"/>
  <c r="G45" i="221"/>
  <c r="H45" i="221" s="1"/>
  <c r="G46" i="246"/>
  <c r="H46" i="246" s="1"/>
  <c r="E47" i="246"/>
  <c r="G50" i="245"/>
  <c r="H50" i="245" s="1"/>
  <c r="E51" i="245"/>
  <c r="H46" i="240"/>
  <c r="G45" i="222"/>
  <c r="H45" i="222" s="1"/>
  <c r="G46" i="224"/>
  <c r="H46" i="224" s="1"/>
  <c r="G46" i="244"/>
  <c r="H46" i="244" s="1"/>
  <c r="G47" i="228"/>
  <c r="H47" i="228" s="1"/>
  <c r="G48" i="223"/>
  <c r="H48" i="223" s="1"/>
  <c r="G43" i="242"/>
  <c r="H43" i="242" l="1"/>
  <c r="G44" i="237"/>
  <c r="H44" i="237" s="1"/>
  <c r="G45" i="236"/>
  <c r="H45" i="236" s="1"/>
  <c r="G46" i="221"/>
  <c r="H46" i="221" s="1"/>
  <c r="G51" i="245"/>
  <c r="E53" i="245"/>
  <c r="G47" i="246"/>
  <c r="H47" i="246" s="1"/>
  <c r="E48" i="246"/>
  <c r="H47" i="240"/>
  <c r="G46" i="222"/>
  <c r="H46" i="222" s="1"/>
  <c r="G47" i="224"/>
  <c r="H47" i="224" s="1"/>
  <c r="G47" i="244"/>
  <c r="H47" i="244" s="1"/>
  <c r="G48" i="228"/>
  <c r="H48" i="228" s="1"/>
  <c r="G49" i="223"/>
  <c r="H49" i="223" s="1"/>
  <c r="G44" i="242"/>
  <c r="H44" i="242" l="1"/>
  <c r="G45" i="237"/>
  <c r="H45" i="237" s="1"/>
  <c r="G46" i="236"/>
  <c r="H46" i="236" s="1"/>
  <c r="G47" i="221"/>
  <c r="H47" i="221" s="1"/>
  <c r="G48" i="246"/>
  <c r="H48" i="246" s="1"/>
  <c r="E49" i="246"/>
  <c r="H51" i="245"/>
  <c r="H52" i="245" s="1"/>
  <c r="G53" i="245"/>
  <c r="H48" i="240"/>
  <c r="G47" i="222"/>
  <c r="H47" i="222" s="1"/>
  <c r="H48" i="222" s="1"/>
  <c r="G48" i="224"/>
  <c r="H48" i="224" s="1"/>
  <c r="G48" i="244"/>
  <c r="H48" i="244" s="1"/>
  <c r="G49" i="228"/>
  <c r="H49" i="228" s="1"/>
  <c r="H50" i="228" s="1"/>
  <c r="G50" i="223"/>
  <c r="H50" i="223" s="1"/>
  <c r="G45" i="242"/>
  <c r="H45" i="242" l="1"/>
  <c r="G46" i="237"/>
  <c r="H46" i="237" s="1"/>
  <c r="G47" i="236"/>
  <c r="H47" i="236" s="1"/>
  <c r="G48" i="221"/>
  <c r="H48" i="221" s="1"/>
  <c r="G49" i="246"/>
  <c r="E51" i="246"/>
  <c r="H49" i="240"/>
  <c r="H50" i="240" s="1"/>
  <c r="G49" i="224"/>
  <c r="H49" i="224" s="1"/>
  <c r="G49" i="244"/>
  <c r="H49" i="244" s="1"/>
  <c r="G51" i="223"/>
  <c r="H51" i="223" s="1"/>
  <c r="G46" i="242"/>
  <c r="H46" i="242" l="1"/>
  <c r="G47" i="237"/>
  <c r="H47" i="237" s="1"/>
  <c r="G48" i="236"/>
  <c r="H48" i="236" s="1"/>
  <c r="G49" i="221"/>
  <c r="H49" i="221" s="1"/>
  <c r="H49" i="246"/>
  <c r="H50" i="246" s="1"/>
  <c r="G51" i="246"/>
  <c r="G50" i="224"/>
  <c r="H50" i="224" s="1"/>
  <c r="G50" i="244"/>
  <c r="H50" i="244" s="1"/>
  <c r="G52" i="223"/>
  <c r="H52" i="223" s="1"/>
  <c r="G47" i="242"/>
  <c r="H47" i="242" l="1"/>
  <c r="G48" i="237"/>
  <c r="H48" i="237" s="1"/>
  <c r="G49" i="236"/>
  <c r="H49" i="236" s="1"/>
  <c r="G50" i="221"/>
  <c r="H50" i="221" s="1"/>
  <c r="G51" i="224"/>
  <c r="H51" i="224" s="1"/>
  <c r="G51" i="244"/>
  <c r="H51" i="244" s="1"/>
  <c r="G53" i="223"/>
  <c r="H53" i="223" s="1"/>
  <c r="G48" i="242"/>
  <c r="H48" i="242" l="1"/>
  <c r="G49" i="237"/>
  <c r="H49" i="237" s="1"/>
  <c r="G50" i="236"/>
  <c r="H50" i="236" s="1"/>
  <c r="G51" i="221"/>
  <c r="H51" i="221" s="1"/>
  <c r="G52" i="224"/>
  <c r="H52" i="224" s="1"/>
  <c r="G52" i="244"/>
  <c r="H52" i="244" s="1"/>
  <c r="G54" i="223"/>
  <c r="H54" i="223" s="1"/>
  <c r="G49" i="242"/>
  <c r="H49" i="242" l="1"/>
  <c r="G50" i="237"/>
  <c r="H50" i="237" s="1"/>
  <c r="G51" i="236"/>
  <c r="H51" i="236" s="1"/>
  <c r="G52" i="221"/>
  <c r="H52" i="221" s="1"/>
  <c r="G53" i="224"/>
  <c r="H53" i="224" s="1"/>
  <c r="G53" i="244"/>
  <c r="H53" i="244" s="1"/>
  <c r="G55" i="223"/>
  <c r="H55" i="223" s="1"/>
  <c r="G50" i="242"/>
  <c r="H50" i="242" l="1"/>
  <c r="G51" i="237"/>
  <c r="H51" i="237" s="1"/>
  <c r="G52" i="236"/>
  <c r="H52" i="236" s="1"/>
  <c r="G49" i="222"/>
  <c r="E49" i="222"/>
  <c r="G54" i="224"/>
  <c r="H54" i="224" s="1"/>
  <c r="G54" i="244"/>
  <c r="H54" i="244" s="1"/>
  <c r="G51" i="228"/>
  <c r="E51" i="228"/>
  <c r="G56" i="223"/>
  <c r="H56" i="223" s="1"/>
  <c r="G51" i="242"/>
  <c r="H51" i="242" l="1"/>
  <c r="G52" i="237"/>
  <c r="H52" i="237" s="1"/>
  <c r="G53" i="236"/>
  <c r="H53" i="236" s="1"/>
  <c r="G51" i="240"/>
  <c r="E51" i="240"/>
  <c r="G55" i="224"/>
  <c r="H55" i="224" s="1"/>
  <c r="G55" i="244"/>
  <c r="H55" i="244" s="1"/>
  <c r="G57" i="223"/>
  <c r="H57" i="223" s="1"/>
  <c r="G52" i="242"/>
  <c r="H52" i="242" s="1"/>
  <c r="G53" i="237" l="1"/>
  <c r="H53" i="237" s="1"/>
  <c r="G54" i="236"/>
  <c r="H54" i="236" s="1"/>
  <c r="G56" i="224"/>
  <c r="H56" i="224" s="1"/>
  <c r="G56" i="244"/>
  <c r="H56" i="244" s="1"/>
  <c r="G58" i="223"/>
  <c r="H58" i="223" s="1"/>
  <c r="G53" i="242"/>
  <c r="H53" i="242" s="1"/>
  <c r="G54" i="237" l="1"/>
  <c r="H54" i="237" s="1"/>
  <c r="G55" i="236"/>
  <c r="H55" i="236" s="1"/>
  <c r="G57" i="224"/>
  <c r="H57" i="224" s="1"/>
  <c r="G57" i="244"/>
  <c r="H57" i="244" s="1"/>
  <c r="G59" i="223"/>
  <c r="H59" i="223" s="1"/>
  <c r="G54" i="242"/>
  <c r="H54" i="242" s="1"/>
  <c r="G55" i="237" l="1"/>
  <c r="H55" i="237" s="1"/>
  <c r="E53" i="221"/>
  <c r="G56" i="236"/>
  <c r="H56" i="236" s="1"/>
  <c r="G53" i="221"/>
  <c r="G58" i="224"/>
  <c r="H58" i="224" s="1"/>
  <c r="G58" i="244"/>
  <c r="H58" i="244" s="1"/>
  <c r="G60" i="223"/>
  <c r="H60" i="223" s="1"/>
  <c r="G55" i="242"/>
  <c r="H55" i="242" s="1"/>
  <c r="G56" i="237" l="1"/>
  <c r="H56" i="237" s="1"/>
  <c r="G57" i="236"/>
  <c r="H57" i="236" s="1"/>
  <c r="G59" i="224"/>
  <c r="H59" i="224" s="1"/>
  <c r="G59" i="244"/>
  <c r="H59" i="244" s="1"/>
  <c r="G61" i="223"/>
  <c r="H61" i="223" s="1"/>
  <c r="G56" i="242"/>
  <c r="H56" i="242" s="1"/>
  <c r="G57" i="237" l="1"/>
  <c r="H57" i="237" s="1"/>
  <c r="G58" i="236"/>
  <c r="H58" i="236" s="1"/>
  <c r="G60" i="224"/>
  <c r="H60" i="224" s="1"/>
  <c r="G60" i="244"/>
  <c r="H60" i="244" s="1"/>
  <c r="G62" i="223"/>
  <c r="H62" i="223" s="1"/>
  <c r="G57" i="242"/>
  <c r="H57" i="242" s="1"/>
  <c r="G58" i="237" l="1"/>
  <c r="H58" i="237" s="1"/>
  <c r="G59" i="236"/>
  <c r="H59" i="236" s="1"/>
  <c r="G61" i="224"/>
  <c r="H61" i="224" s="1"/>
  <c r="G61" i="244"/>
  <c r="H61" i="244" s="1"/>
  <c r="G63" i="223"/>
  <c r="H63" i="223" s="1"/>
  <c r="G58" i="242"/>
  <c r="H58" i="242" s="1"/>
  <c r="G59" i="237" l="1"/>
  <c r="H59" i="237" s="1"/>
  <c r="G60" i="236"/>
  <c r="H60" i="236" s="1"/>
  <c r="G62" i="224"/>
  <c r="H62" i="224" s="1"/>
  <c r="G62" i="244"/>
  <c r="H62" i="244" s="1"/>
  <c r="G64" i="223"/>
  <c r="H64" i="223" s="1"/>
  <c r="G59" i="242"/>
  <c r="H59" i="242" s="1"/>
  <c r="G60" i="237" l="1"/>
  <c r="H60" i="237" s="1"/>
  <c r="G61" i="236"/>
  <c r="H61" i="236" s="1"/>
  <c r="G63" i="224"/>
  <c r="H63" i="224" s="1"/>
  <c r="G63" i="244"/>
  <c r="H63" i="244" s="1"/>
  <c r="G65" i="223"/>
  <c r="H65" i="223" s="1"/>
  <c r="G60" i="242"/>
  <c r="H60" i="242" s="1"/>
  <c r="G61" i="237" l="1"/>
  <c r="H61" i="237" s="1"/>
  <c r="G62" i="236"/>
  <c r="H62" i="236" s="1"/>
  <c r="G64" i="224"/>
  <c r="H64" i="224" s="1"/>
  <c r="G64" i="244"/>
  <c r="H64" i="244" s="1"/>
  <c r="G66" i="223"/>
  <c r="H66" i="223" s="1"/>
  <c r="G61" i="242"/>
  <c r="H61" i="242" s="1"/>
  <c r="G62" i="237" l="1"/>
  <c r="H62" i="237" s="1"/>
  <c r="G63" i="236"/>
  <c r="H63" i="236" s="1"/>
  <c r="G65" i="224"/>
  <c r="H65" i="224" s="1"/>
  <c r="G65" i="244"/>
  <c r="H65" i="244" s="1"/>
  <c r="G67" i="223"/>
  <c r="H67" i="223" s="1"/>
  <c r="G62" i="242"/>
  <c r="H62" i="242" s="1"/>
  <c r="G63" i="237" l="1"/>
  <c r="H63" i="237" s="1"/>
  <c r="G64" i="236"/>
  <c r="H64" i="236" s="1"/>
  <c r="G66" i="224"/>
  <c r="H66" i="224" s="1"/>
  <c r="G66" i="244"/>
  <c r="H66" i="244" s="1"/>
  <c r="G68" i="223"/>
  <c r="H68" i="223" s="1"/>
  <c r="G63" i="242"/>
  <c r="H63" i="242" s="1"/>
  <c r="G64" i="237" l="1"/>
  <c r="H64" i="237" s="1"/>
  <c r="G65" i="236"/>
  <c r="H65" i="236" s="1"/>
  <c r="G67" i="224"/>
  <c r="H67" i="224" s="1"/>
  <c r="G67" i="244"/>
  <c r="H67" i="244" s="1"/>
  <c r="G69" i="223"/>
  <c r="H69" i="223" s="1"/>
  <c r="G64" i="242"/>
  <c r="H64" i="242" s="1"/>
  <c r="G65" i="237" l="1"/>
  <c r="H65" i="237" s="1"/>
  <c r="G66" i="236"/>
  <c r="H66" i="236" s="1"/>
  <c r="G68" i="224"/>
  <c r="H68" i="224" s="1"/>
  <c r="G68" i="244"/>
  <c r="H68" i="244" s="1"/>
  <c r="G70" i="223"/>
  <c r="H70" i="223" s="1"/>
  <c r="G65" i="242"/>
  <c r="H65" i="242" s="1"/>
  <c r="G66" i="237" l="1"/>
  <c r="H66" i="237" s="1"/>
  <c r="G67" i="236"/>
  <c r="H67" i="236" s="1"/>
  <c r="G69" i="224"/>
  <c r="H69" i="224" s="1"/>
  <c r="G69" i="244"/>
  <c r="H69" i="244" s="1"/>
  <c r="G71" i="223"/>
  <c r="H71" i="223" s="1"/>
  <c r="G66" i="242"/>
  <c r="H66" i="242" s="1"/>
  <c r="G67" i="237" l="1"/>
  <c r="H67" i="237" s="1"/>
  <c r="G68" i="236"/>
  <c r="H68" i="236" s="1"/>
  <c r="G70" i="224"/>
  <c r="H70" i="224" s="1"/>
  <c r="G70" i="244"/>
  <c r="H70" i="244" s="1"/>
  <c r="G72" i="223"/>
  <c r="H72" i="223" s="1"/>
  <c r="G67" i="242"/>
  <c r="H67" i="242" s="1"/>
  <c r="G68" i="237" l="1"/>
  <c r="H68" i="237" s="1"/>
  <c r="G69" i="236"/>
  <c r="H69" i="236" s="1"/>
  <c r="G71" i="224"/>
  <c r="H71" i="224" s="1"/>
  <c r="G73" i="223"/>
  <c r="H73" i="223" s="1"/>
  <c r="G68" i="242"/>
  <c r="H68" i="242" s="1"/>
  <c r="G69" i="237" l="1"/>
  <c r="H69" i="237" s="1"/>
  <c r="G70" i="236"/>
  <c r="H70" i="236" s="1"/>
  <c r="G72" i="224"/>
  <c r="H72" i="224" s="1"/>
  <c r="G74" i="223"/>
  <c r="H74" i="223" s="1"/>
  <c r="G69" i="242"/>
  <c r="H69" i="242" s="1"/>
  <c r="G70" i="237" l="1"/>
  <c r="H70" i="237" s="1"/>
  <c r="G71" i="236"/>
  <c r="H71" i="236" s="1"/>
  <c r="G73" i="224"/>
  <c r="H73" i="224" s="1"/>
  <c r="G75" i="223"/>
  <c r="H75" i="223" s="1"/>
  <c r="G70" i="242"/>
  <c r="H70" i="242" s="1"/>
  <c r="G71" i="237" l="1"/>
  <c r="H71" i="237" s="1"/>
  <c r="G72" i="236"/>
  <c r="H72" i="236" s="1"/>
  <c r="G74" i="224"/>
  <c r="H74" i="224" s="1"/>
  <c r="G76" i="223"/>
  <c r="H76" i="223" s="1"/>
  <c r="G71" i="242"/>
  <c r="H71" i="242" s="1"/>
  <c r="G72" i="237" l="1"/>
  <c r="H72" i="237" s="1"/>
  <c r="G73" i="236"/>
  <c r="H73" i="236" s="1"/>
  <c r="G75" i="224"/>
  <c r="H75" i="224" s="1"/>
  <c r="G71" i="244"/>
  <c r="E71" i="244"/>
  <c r="G77" i="223"/>
  <c r="H77" i="223" s="1"/>
  <c r="G72" i="242"/>
  <c r="H72" i="242" s="1"/>
  <c r="G73" i="237" l="1"/>
  <c r="H73" i="237" s="1"/>
  <c r="G74" i="236"/>
  <c r="H74" i="236" s="1"/>
  <c r="G76" i="224"/>
  <c r="H76" i="224" s="1"/>
  <c r="G78" i="223"/>
  <c r="H78" i="223" s="1"/>
  <c r="G74" i="237" l="1"/>
  <c r="H74" i="237" s="1"/>
  <c r="G75" i="236"/>
  <c r="H75" i="236" s="1"/>
  <c r="G77" i="224"/>
  <c r="H77" i="224" s="1"/>
  <c r="G79" i="223"/>
  <c r="H79" i="223" s="1"/>
  <c r="G75" i="237" l="1"/>
  <c r="H75" i="237" s="1"/>
  <c r="G76" i="236"/>
  <c r="H76" i="236" s="1"/>
  <c r="G78" i="224"/>
  <c r="H78" i="224" s="1"/>
  <c r="G80" i="223"/>
  <c r="H80" i="223" s="1"/>
  <c r="G76" i="237" l="1"/>
  <c r="H76" i="237" s="1"/>
  <c r="G77" i="236"/>
  <c r="H77" i="236" s="1"/>
  <c r="G79" i="224"/>
  <c r="H79" i="224" s="1"/>
  <c r="G81" i="223"/>
  <c r="H81" i="223" s="1"/>
  <c r="G77" i="237" l="1"/>
  <c r="H77" i="237" s="1"/>
  <c r="G78" i="236"/>
  <c r="H78" i="236" s="1"/>
  <c r="G73" i="242"/>
  <c r="E73" i="242"/>
  <c r="G79" i="236" l="1"/>
  <c r="H79" i="236" s="1"/>
  <c r="G80" i="224" l="1"/>
  <c r="E80" i="224"/>
  <c r="G82" i="223"/>
  <c r="E82" i="223"/>
  <c r="G78" i="237" l="1"/>
  <c r="E78" i="237"/>
  <c r="E80" i="236"/>
  <c r="G80" i="236" l="1"/>
  <c r="D21" i="241" l="1"/>
  <c r="H25" i="241" s="1"/>
  <c r="H26" i="241" s="1"/>
  <c r="H27" i="241" s="1"/>
  <c r="H24" i="24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Heraclene M. Frio</author>
  </authors>
  <commentList>
    <comment ref="G16" authorId="0" shapeId="0" xr:uid="{00000000-0006-0000-0200-000001000000}">
      <text>
        <r>
          <rPr>
            <b/>
            <sz val="9"/>
            <color indexed="81"/>
            <rFont val="Tahoma"/>
            <family val="2"/>
          </rPr>
          <t>Heraclene M. Frio:</t>
        </r>
        <r>
          <rPr>
            <sz val="9"/>
            <color indexed="81"/>
            <rFont val="Tahoma"/>
            <family val="2"/>
          </rPr>
          <t xml:space="preserve">
Reopened effective May 14, 2019 (new price)</t>
        </r>
      </text>
    </comment>
  </commentList>
</comments>
</file>

<file path=xl/sharedStrings.xml><?xml version="1.0" encoding="utf-8"?>
<sst xmlns="http://schemas.openxmlformats.org/spreadsheetml/2006/main" count="2353" uniqueCount="380">
  <si>
    <t>NAME OF BUYER</t>
  </si>
  <si>
    <t>RF DATE</t>
  </si>
  <si>
    <t>PARTICULARS</t>
  </si>
  <si>
    <t>AMOUNT DUE</t>
  </si>
  <si>
    <t>MA - 1</t>
  </si>
  <si>
    <t>MA - 2</t>
  </si>
  <si>
    <t>MA - 3</t>
  </si>
  <si>
    <t>MA - 4</t>
  </si>
  <si>
    <t>MA - 5</t>
  </si>
  <si>
    <t>MA - 6</t>
  </si>
  <si>
    <t>MA - 7</t>
  </si>
  <si>
    <t>MA - 8</t>
  </si>
  <si>
    <t>MA - 9</t>
  </si>
  <si>
    <t>MA - 10</t>
  </si>
  <si>
    <t>MA - 11</t>
  </si>
  <si>
    <t>MA - 12</t>
  </si>
  <si>
    <t>TOTAL</t>
  </si>
  <si>
    <t>CONFORME:</t>
  </si>
  <si>
    <t>BUYER</t>
  </si>
  <si>
    <t>MA - 13</t>
  </si>
  <si>
    <t>MA - 14</t>
  </si>
  <si>
    <t>MA - 15</t>
  </si>
  <si>
    <t>MA - 16</t>
  </si>
  <si>
    <t>MA - 17</t>
  </si>
  <si>
    <t>MA - 18</t>
  </si>
  <si>
    <t>MA - 19</t>
  </si>
  <si>
    <t>MA - 20</t>
  </si>
  <si>
    <t>MA - 21</t>
  </si>
  <si>
    <t>MA - 22</t>
  </si>
  <si>
    <t>MA - 23</t>
  </si>
  <si>
    <t>MA - 24</t>
  </si>
  <si>
    <t>UNIT</t>
  </si>
  <si>
    <t>DATE DUE</t>
  </si>
  <si>
    <t>PAYMENT TERM</t>
  </si>
  <si>
    <t>PAYMENT NO.</t>
  </si>
  <si>
    <t>HIGHLANDS PRIME, INC.</t>
  </si>
  <si>
    <t>SCHEDULE OF PAYMENTS</t>
  </si>
  <si>
    <t>UNIT AREA  (in sq.m.)</t>
  </si>
  <si>
    <t>Reservation Fee</t>
  </si>
  <si>
    <t>Lump Sum</t>
  </si>
  <si>
    <t>Floor</t>
  </si>
  <si>
    <t>Unit Type</t>
  </si>
  <si>
    <t>2B</t>
  </si>
  <si>
    <t>2C</t>
  </si>
  <si>
    <t>2H</t>
  </si>
  <si>
    <t>2J</t>
  </si>
  <si>
    <t>3J</t>
  </si>
  <si>
    <t>5A</t>
  </si>
  <si>
    <t>MA - 25</t>
  </si>
  <si>
    <t>MA - 26</t>
  </si>
  <si>
    <t>MA - 27</t>
  </si>
  <si>
    <t>MA - 28</t>
  </si>
  <si>
    <t>MA - 29</t>
  </si>
  <si>
    <t>MA - 30</t>
  </si>
  <si>
    <t>LINDEN</t>
  </si>
  <si>
    <t>CONTRACT PRICE COMPUTATION:</t>
  </si>
  <si>
    <t>Plus: TMGC Share</t>
  </si>
  <si>
    <t>LIST PRICE (VAT In)</t>
  </si>
  <si>
    <t>Total Contract Price</t>
  </si>
  <si>
    <t>Less: TMGC Share</t>
  </si>
  <si>
    <t>Contract Price</t>
  </si>
  <si>
    <t>Unit Price (VAT In)</t>
  </si>
  <si>
    <t>REGISTRATION EXPENSES (subject to adjustment imposed by the respective government agencies):</t>
  </si>
  <si>
    <t>4. Notarial/Miscellaneous Fees = P25,000.00</t>
  </si>
  <si>
    <t>NON-MEMBER</t>
  </si>
  <si>
    <t>MEMBER</t>
  </si>
  <si>
    <t>ANNEX A</t>
  </si>
  <si>
    <t>OUTSTANDING BAL.</t>
  </si>
  <si>
    <t>Spot Down Payment</t>
  </si>
  <si>
    <t>1. Doc. Stamp Tax = 1.5% of the total unit price (subject to change without prior notice).</t>
  </si>
  <si>
    <t>2. Transfer Tax = 0.75% of the total unit price (subject to change without prior notice).</t>
  </si>
  <si>
    <t>Less: Term Discount</t>
  </si>
  <si>
    <t>100% Spot Cash</t>
  </si>
  <si>
    <t>Spot Cash</t>
  </si>
  <si>
    <t xml:space="preserve">    plus 1% of the Reg. Fee as Legal Fee.</t>
  </si>
  <si>
    <t>10% Spot, 10% over 12 months, 80% Lump Sum</t>
  </si>
  <si>
    <t>List Price (VAT In)</t>
  </si>
  <si>
    <t>Net Contract Price</t>
  </si>
  <si>
    <t>10% over 6 months, 10% over 18 months, 80% Lump Sum</t>
  </si>
  <si>
    <t>DP - 1</t>
  </si>
  <si>
    <t>DP - 2</t>
  </si>
  <si>
    <t>DP - 3</t>
  </si>
  <si>
    <t>DP - 4</t>
  </si>
  <si>
    <t>DP - 5</t>
  </si>
  <si>
    <t>DP - 6</t>
  </si>
  <si>
    <t>Contract Price Computation:</t>
  </si>
  <si>
    <t>List Price (VAT in)</t>
  </si>
  <si>
    <t>Unit Price (VAT in)</t>
  </si>
  <si>
    <t xml:space="preserve">3. Registration Fee = P8,796 for the first P1.7M plus P90 for every P20,000 in excess of P1.7M; </t>
  </si>
  <si>
    <t>50% Spot, 10% over 24 months, 40% Lump Sum</t>
  </si>
  <si>
    <t>20% Spot, 10% over 24 months, 70% Lump Sum</t>
  </si>
  <si>
    <t>10% Spot, 10% over 6 months, 30% over 48 months, 50% Lump Sum</t>
  </si>
  <si>
    <t>MA - 31</t>
  </si>
  <si>
    <t>MA - 32</t>
  </si>
  <si>
    <t>MA - 33</t>
  </si>
  <si>
    <t>MA - 34</t>
  </si>
  <si>
    <t>MA - 35</t>
  </si>
  <si>
    <t>MA - 36</t>
  </si>
  <si>
    <t>MA - 37</t>
  </si>
  <si>
    <t>MA - 38</t>
  </si>
  <si>
    <t>MA - 39</t>
  </si>
  <si>
    <t>MA - 40</t>
  </si>
  <si>
    <t>MA - 41</t>
  </si>
  <si>
    <t>MA - 42</t>
  </si>
  <si>
    <t>MA - 43</t>
  </si>
  <si>
    <t>MA - 44</t>
  </si>
  <si>
    <t>MA - 45</t>
  </si>
  <si>
    <t>MA - 46</t>
  </si>
  <si>
    <t>MA - 47</t>
  </si>
  <si>
    <t>MA - 48</t>
  </si>
  <si>
    <t>MA - 49</t>
  </si>
  <si>
    <t>MA - 50</t>
  </si>
  <si>
    <t>MA - 51</t>
  </si>
  <si>
    <t>MA - 52</t>
  </si>
  <si>
    <t>MA - 53</t>
  </si>
  <si>
    <t>MA - 54</t>
  </si>
  <si>
    <t>Less: Addt'l. Discount</t>
  </si>
  <si>
    <t xml:space="preserve"> </t>
  </si>
  <si>
    <t>Less: Addt'l. Disc.</t>
  </si>
  <si>
    <t>Less: Year-end Discount</t>
  </si>
  <si>
    <t>Less: Year-end Disc.</t>
  </si>
  <si>
    <t>Compatibility Report for SET 2B - Linden Template effective until June 30, 2017.xls</t>
  </si>
  <si>
    <t>Run on 4/18/2017 10:23</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</si>
  <si>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</si>
  <si>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</si>
  <si>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</si>
  <si>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</si>
  <si>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formulas in this workbook are linked to other workbooks that are closed. When these formulas are recalculated in earlier versions of Excel without opening the linked workbooks, characters beyond the 255-character limit cannot be returned.</t>
  </si>
  <si>
    <t>Excel 97-2003</t>
  </si>
  <si>
    <t>12
Defined Names</t>
  </si>
  <si>
    <t>Some cells or styles in this workbook contain formatting that is not supported by the selected file format. These formats will be converted to the closest format available.</t>
  </si>
  <si>
    <t>2A</t>
  </si>
  <si>
    <t>2D</t>
  </si>
  <si>
    <t>HORIZON PHASE 2</t>
  </si>
  <si>
    <t>PL1</t>
  </si>
  <si>
    <t>Floor Area
in sqm +/-</t>
  </si>
  <si>
    <t>TCP*
VAT-In w/ TMGC</t>
  </si>
  <si>
    <t>GARDEN SUITES (ST. ANDREWS)</t>
  </si>
  <si>
    <t>Address</t>
  </si>
  <si>
    <t>GA</t>
  </si>
  <si>
    <t>1-Bedroom Terrace Suite</t>
  </si>
  <si>
    <t>GB</t>
  </si>
  <si>
    <t>GC</t>
  </si>
  <si>
    <t>GD</t>
  </si>
  <si>
    <t>GE</t>
  </si>
  <si>
    <t>GF</t>
  </si>
  <si>
    <t>GG</t>
  </si>
  <si>
    <t>2-Bedroom</t>
  </si>
  <si>
    <t>GH</t>
  </si>
  <si>
    <t>1-Bedroom</t>
  </si>
  <si>
    <t>GK</t>
  </si>
  <si>
    <t>GL</t>
  </si>
  <si>
    <t>GM</t>
  </si>
  <si>
    <t xml:space="preserve">2nd
</t>
  </si>
  <si>
    <t>2E</t>
  </si>
  <si>
    <t>2G</t>
  </si>
  <si>
    <t>2K</t>
  </si>
  <si>
    <t>2L</t>
  </si>
  <si>
    <t>2M</t>
  </si>
  <si>
    <t>3A</t>
  </si>
  <si>
    <t>3B</t>
  </si>
  <si>
    <t>3G</t>
  </si>
  <si>
    <t>3H</t>
  </si>
  <si>
    <t>3K</t>
  </si>
  <si>
    <t>3L</t>
  </si>
  <si>
    <t>3M</t>
  </si>
  <si>
    <t>5B</t>
  </si>
  <si>
    <t>5H</t>
  </si>
  <si>
    <t>5J</t>
  </si>
  <si>
    <t>5K</t>
  </si>
  <si>
    <t>5L</t>
  </si>
  <si>
    <t>5M</t>
  </si>
  <si>
    <t>PA</t>
  </si>
  <si>
    <t>PH</t>
  </si>
  <si>
    <t>PJ</t>
  </si>
  <si>
    <t>PK</t>
  </si>
  <si>
    <t>PM</t>
  </si>
  <si>
    <t>*EACH UNIT IS BUNDLED WITH ONE (1) TMGC SHARE.
The prices quoted above are inclusive of 12% VAT and TMGC SHARE price. Should the buyer be a member, the TMGC SHARE price shall be deducted from the quoted TCP.</t>
  </si>
  <si>
    <t>PARKING SLOTS (inclusive of 12% VAT)</t>
  </si>
  <si>
    <t>Less: Intro Discount</t>
  </si>
  <si>
    <t>Lumpsum</t>
  </si>
  <si>
    <t>Unit Price (VAT In, no share)</t>
  </si>
  <si>
    <t>Unit Price (VAT In, no Share)</t>
  </si>
  <si>
    <t>Unit TYPE</t>
  </si>
  <si>
    <t>DP - 7</t>
  </si>
  <si>
    <t>DP - 8</t>
  </si>
  <si>
    <t>DP - 9</t>
  </si>
  <si>
    <t>DP - 10</t>
  </si>
  <si>
    <t>DP - 11</t>
  </si>
  <si>
    <t>DP - 12</t>
  </si>
  <si>
    <t>DP - 13</t>
  </si>
  <si>
    <t>DP - 14</t>
  </si>
  <si>
    <t>DP - 15</t>
  </si>
  <si>
    <t>DP - 16</t>
  </si>
  <si>
    <t>DP - 17</t>
  </si>
  <si>
    <t>DP - 18</t>
  </si>
  <si>
    <t>DP - 19</t>
  </si>
  <si>
    <t>DP - 20</t>
  </si>
  <si>
    <t>DP - 21</t>
  </si>
  <si>
    <t>DP - 22</t>
  </si>
  <si>
    <t>DP - 23</t>
  </si>
  <si>
    <t>DP - 24</t>
  </si>
  <si>
    <t>DP - 25</t>
  </si>
  <si>
    <t>DP - 26</t>
  </si>
  <si>
    <t>DP - 27</t>
  </si>
  <si>
    <t>DP - 28</t>
  </si>
  <si>
    <t>DP - 29</t>
  </si>
  <si>
    <t>DP - 30</t>
  </si>
  <si>
    <t xml:space="preserve"> 20% over 36 months, 80% Lump Sum</t>
  </si>
  <si>
    <t>DP - 31</t>
  </si>
  <si>
    <t>DP - 32</t>
  </si>
  <si>
    <t>DP - 33</t>
  </si>
  <si>
    <t>DP - 34</t>
  </si>
  <si>
    <t>DP - 35</t>
  </si>
  <si>
    <t>DP - 36</t>
  </si>
  <si>
    <t>DP - 37</t>
  </si>
  <si>
    <t>DP - 38</t>
  </si>
  <si>
    <t>DP - 39</t>
  </si>
  <si>
    <t>DP - 40</t>
  </si>
  <si>
    <t>DP - 41</t>
  </si>
  <si>
    <t>DP - 42</t>
  </si>
  <si>
    <t>DP - 43</t>
  </si>
  <si>
    <t>DP - 44</t>
  </si>
  <si>
    <t>DP - 45</t>
  </si>
  <si>
    <t>DP - 46</t>
  </si>
  <si>
    <t>DP - 47</t>
  </si>
  <si>
    <t>DP - 48</t>
  </si>
  <si>
    <t>DP - 49</t>
  </si>
  <si>
    <t>DP - 50</t>
  </si>
  <si>
    <t>DP - 51</t>
  </si>
  <si>
    <t>DP - 52</t>
  </si>
  <si>
    <t>DP - 53</t>
  </si>
  <si>
    <t>DP - 54</t>
  </si>
  <si>
    <t>Discount</t>
  </si>
  <si>
    <t>5% DP in 6 mos, 30% over 42 months, 65% Lump Sum</t>
  </si>
  <si>
    <t>MA 1 -1</t>
  </si>
  <si>
    <t>MA 1 -2</t>
  </si>
  <si>
    <t>MA 1 - 3</t>
  </si>
  <si>
    <t>MA 1 -4</t>
  </si>
  <si>
    <t>MA 1 -5</t>
  </si>
  <si>
    <t>MA 1 -6</t>
  </si>
  <si>
    <t>MA 2 - 1</t>
  </si>
  <si>
    <t>MA 2 - 3</t>
  </si>
  <si>
    <t>MA 2 - 4</t>
  </si>
  <si>
    <t>MA 2 - 5</t>
  </si>
  <si>
    <t>MA 2 - 6</t>
  </si>
  <si>
    <t>MA 2 - 7</t>
  </si>
  <si>
    <t>MA 2 - 8</t>
  </si>
  <si>
    <t>MA 2 - 9</t>
  </si>
  <si>
    <t>MA 2 - 10</t>
  </si>
  <si>
    <t>MA 2 - 11</t>
  </si>
  <si>
    <t>MA 2 - 12</t>
  </si>
  <si>
    <t>MA 1 - 1</t>
  </si>
  <si>
    <t>MA 1 - 2</t>
  </si>
  <si>
    <t>MA 1 - 4</t>
  </si>
  <si>
    <t>MA 1 - 5</t>
  </si>
  <si>
    <t>MA 1 - 6</t>
  </si>
  <si>
    <t>MA 2 - 2</t>
  </si>
  <si>
    <t>LUMPSUM</t>
  </si>
  <si>
    <t>Spot DP</t>
  </si>
  <si>
    <t>3C</t>
  </si>
  <si>
    <t>Less: Repeat Buyer Disc</t>
  </si>
  <si>
    <t>2nd</t>
  </si>
  <si>
    <t>3rd</t>
  </si>
  <si>
    <t>5th</t>
  </si>
  <si>
    <t>Penthouse</t>
  </si>
  <si>
    <t>10% over 6 months, 10% over 24 months, 80% LS</t>
  </si>
  <si>
    <t>MA 2 - 13</t>
  </si>
  <si>
    <t>MA 2 - 14</t>
  </si>
  <si>
    <t>MA 2 - 15</t>
  </si>
  <si>
    <t>MA 2 - 16</t>
  </si>
  <si>
    <t>MA 2 - 17</t>
  </si>
  <si>
    <t>MA 2 - 18</t>
  </si>
  <si>
    <t>MA 2 - 19</t>
  </si>
  <si>
    <t>MA 2 - 20</t>
  </si>
  <si>
    <t>MA 2 - 21</t>
  </si>
  <si>
    <t>MA 2 - 22</t>
  </si>
  <si>
    <t>MA 2 - 23</t>
  </si>
  <si>
    <t>MA 2 - 24</t>
  </si>
  <si>
    <t>A project of HIGHLANDS PRIME, INC. Horizon Terraces HLURB License To Sell No. 032272</t>
  </si>
  <si>
    <t>MA 2 - 25</t>
  </si>
  <si>
    <t>MA 2 - 26</t>
  </si>
  <si>
    <t>MA 2 - 27</t>
  </si>
  <si>
    <t>MA 2 - 28</t>
  </si>
  <si>
    <t>MA 2 - 29</t>
  </si>
  <si>
    <t>MA 2 - 30</t>
  </si>
  <si>
    <t>MA 2 - 31</t>
  </si>
  <si>
    <t>MA 2 - 32</t>
  </si>
  <si>
    <t>MA 2 - 33</t>
  </si>
  <si>
    <t>MA 2 - 34</t>
  </si>
  <si>
    <t>MA 2 - 35</t>
  </si>
  <si>
    <t>MA 2 - 36</t>
  </si>
  <si>
    <t>MA 2 - 37</t>
  </si>
  <si>
    <t>MA 2 - 38</t>
  </si>
  <si>
    <t>MA 2 - 39</t>
  </si>
  <si>
    <t>MA 2 - 40</t>
  </si>
  <si>
    <t>MA 2 - 41</t>
  </si>
  <si>
    <t>MA 2 - 42</t>
  </si>
  <si>
    <t>38K (6mos), Bullet to 10%, 45K (12mos), 60K (12mos), P75K (12mos), Balance</t>
  </si>
  <si>
    <t>HORIZON TERRACES - ST. ANDREWS</t>
  </si>
  <si>
    <t>TCP*
VAT-In w/ TCCATH</t>
  </si>
  <si>
    <t>PL2</t>
  </si>
  <si>
    <t>Plus: TCCATH Share</t>
  </si>
  <si>
    <t>LIST PRICE (VAT In w/ TCCATH)</t>
  </si>
  <si>
    <t>Less: TCCATH Share</t>
  </si>
  <si>
    <t>Return to Data Sheet</t>
  </si>
  <si>
    <t xml:space="preserve">DP </t>
  </si>
  <si>
    <t>80% DP / 20% on the 60th month or upon turnover, whichever comes first</t>
  </si>
  <si>
    <t>80% DP, 20% after 60 month or upon turnover whichever comes first</t>
  </si>
  <si>
    <t>MA-1</t>
  </si>
  <si>
    <t>MA-2</t>
  </si>
  <si>
    <t>MA-3</t>
  </si>
  <si>
    <t>MA-4</t>
  </si>
  <si>
    <t>MA-5</t>
  </si>
  <si>
    <t>MA-6</t>
  </si>
  <si>
    <t>MA-7</t>
  </si>
  <si>
    <t>MA-8</t>
  </si>
  <si>
    <t>MA-9</t>
  </si>
  <si>
    <t>MA-10</t>
  </si>
  <si>
    <t>MA-11</t>
  </si>
  <si>
    <t>MA-12</t>
  </si>
  <si>
    <t>MA-13</t>
  </si>
  <si>
    <t>MA-14</t>
  </si>
  <si>
    <t>MA-15</t>
  </si>
  <si>
    <t>MA-16</t>
  </si>
  <si>
    <t>MA-17</t>
  </si>
  <si>
    <t>MA-18</t>
  </si>
  <si>
    <t>MA-19</t>
  </si>
  <si>
    <t>MA-20</t>
  </si>
  <si>
    <t>MA-21</t>
  </si>
  <si>
    <t>MA-22</t>
  </si>
  <si>
    <t>MA-23</t>
  </si>
  <si>
    <t>MA-24</t>
  </si>
  <si>
    <t>50% DP, 50% over 45 months</t>
  </si>
  <si>
    <t>20% DP, 80% over 54 months</t>
  </si>
  <si>
    <t>100% over 54 months</t>
  </si>
  <si>
    <t>5% DP, 15% over 24 months, 80% Lump Sum</t>
  </si>
  <si>
    <t>10% DP, 10% over 24 months, 80% Lumpsum</t>
  </si>
  <si>
    <t>5% DP, 15% over 24 months, 80% Lumpsum</t>
  </si>
  <si>
    <t>25% over 24 months, 75% Lumpsum</t>
  </si>
  <si>
    <t xml:space="preserve">DIRECTION: </t>
  </si>
  <si>
    <t>1. Please input data in yellow highlighted cells only.</t>
  </si>
  <si>
    <t>2. From the list of payment terms below, click on the cell to navigate to selected payment term.</t>
  </si>
  <si>
    <t>DUE DATE</t>
  </si>
  <si>
    <t>OTHER CHARGES</t>
  </si>
  <si>
    <t>CONTRACT BALANCE</t>
  </si>
  <si>
    <t>TOTAL CONTRACT PRICE</t>
  </si>
  <si>
    <t>% PAYMENT</t>
  </si>
  <si>
    <t>HORIZON TERRACES - ST. ANDREWS (GARDEN SUITES 1)</t>
  </si>
  <si>
    <t>TOTAL PAYABLE</t>
  </si>
  <si>
    <t>Plus: Other Charges*</t>
  </si>
  <si>
    <t>Amortization over 24 months</t>
  </si>
  <si>
    <t>UNIT TYPE</t>
  </si>
  <si>
    <t>Amortization over 45 months</t>
  </si>
  <si>
    <t>Amortization over 54 months</t>
  </si>
  <si>
    <t>HPI SALES OFFICER</t>
  </si>
  <si>
    <t>LIST PRICE (VAT-in w/ share)</t>
  </si>
  <si>
    <t>AREA (+/-)</t>
  </si>
  <si>
    <t>LIST PRICE (VAT-IN, W/ SHARE)</t>
  </si>
  <si>
    <t>Unit Price (VAT-In, net of share)</t>
  </si>
  <si>
    <t>Net Unit Price (VAT-In, net of share)</t>
  </si>
  <si>
    <t>Net List Price (VAT-In, net of share)</t>
  </si>
  <si>
    <t>Net List Price (VAT-In, with share)</t>
  </si>
  <si>
    <t>NET LIST PRICE</t>
  </si>
  <si>
    <t>Notes:</t>
  </si>
  <si>
    <t>1. This computation sheet only intends to provide an indicative reservation price. Prices, terms and conditions are subject to change without prior notice.</t>
  </si>
  <si>
    <t>2. Submission of post dated checks is required.</t>
  </si>
  <si>
    <t>3. Price includes the Value-Added Tax, currently at 12%.</t>
  </si>
  <si>
    <t>4. Any government-mandated adjustments on taxes shall be applied accordingly.</t>
  </si>
  <si>
    <t>5. Should the buyer intend to avail and/or obtain financing for the payment of the Contract Price, or any part thereof, from a bank or financing institution acceptable to Highlands Prime, Inc., he shall be solely responsible for filing the requisite application form required by the bank or financial institiution, together with the necessary supporting documents for the processing of the loan proceeds to be used to finance the purchase of the property and payment of the contract price or any part thereof, is made within the due date(s) for payment under the chosen payment scheme. While Highlands Prime, Inc. acknowledges that the Bank will initially send the Deed of Undertaking and Letter of Guarantee, as the case may be, to inform Highlands PRime, Inc. of the loan approval, the proceeds shall be paid to Highlands Prime, Inc. on or before the due date stated above. In the event of a delay, penalty charges shall be applied. The Buyers are then encouraged to work on their loan paplication at least four to six months from their due date when they intend to partially or fuly pay the balance.</t>
  </si>
  <si>
    <t>6. Each unit comes with one (1) proprietary share at The Country Club at Tagaytay Highlands (TCCATH). In the interest of determining the apppropriate taxes, a value will be assigned to the club share upon final documentation. All membership applications shall be subject to the approval of the Membership Committee in accordance with the Club's rules, regulations and policies.</t>
  </si>
  <si>
    <t>7. If the buyer is an existing shareholder-member, the proprietary TCCATH share may be converted into a cash discount equivalent to P650,000.</t>
  </si>
  <si>
    <t>Payment Terms for 2Q 2020
Effective April 1, 2020</t>
  </si>
  <si>
    <t>7% in 11 months with 5% bullet on the 12th, 8% from 13th to 24th month, Lumpsum on the 25th</t>
  </si>
  <si>
    <t>Amortization over 11 months</t>
  </si>
  <si>
    <t>Bullet payment</t>
  </si>
  <si>
    <t>Amortization over 12 months</t>
  </si>
  <si>
    <t>BULLET</t>
  </si>
  <si>
    <t>Less : Promo Discount</t>
  </si>
  <si>
    <t>Less: Special Offer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</si>
</sst>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_(&quot;$&quot;* #,##0.00_);_(&quot;$&quot;* \(#,##0.00\);_(&quot;$&quot;* &quot;-&quot;??_);_(@_)"/>
    <numFmt numFmtId="165" formatCode="_(* #,##0_);_(* \(#,##0\);_(* &quot;-&quot;??_);_(@_)"/>
    <numFmt numFmtId="166" formatCode="0.00_)"/>
    <numFmt numFmtId="167" formatCode="[$-409]mmmm\ d\,\ yyyy;@"/>
    <numFmt numFmtId="168" formatCode="_(* #,##0.00_);_(* \(#,##0.00\);_(* \-??_);_(@_)"/>
    <numFmt numFmtId="169" formatCode="[$-409]mmmm\-yy;@"/>
    <numFmt numFmtId="170" formatCode="[$-409]d\-mmm\-yyyy;@"/>
    <numFmt numFmtId="171" formatCode="0.0%"/>
    <numFmt numFmtId="172" formatCode=";;;"/>
    <numFmt numFmtId="173" formatCode="[$-409]dd\-mmm\-yy;@"/>
    <numFmt numFmtId="174" formatCode="#,##0.00_ ;\-#,##0.00\ "/>
  </numFmts>
  <fonts count="43">
    <font>
      <sz val="11"/>
      <color theme="1"/>
      <name val="Calibri"/>
      <family val="2"/>
      <scheme val="minor"/>
    </font>
    <font>
      <sz val="11"/>
      <color indexed="8"/>
      <name val="Calibri"/>
      <family val="2"/>
    </font>
    <font>
      <sz val="10"/>
      <name val="Arial"/>
      <family val="2"/>
    </font>
    <font>
      <sz val="8"/>
      <name val="Arial"/>
      <family val="2"/>
    </font>
    <font>
      <b/>
      <i/>
      <sz val="16"/>
      <name val="Helv"/>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0"/>
      <color theme="1"/>
      <name val="Calibri"/>
      <family val="2"/>
      <scheme val="minor"/>
    </font>
    <font>
      <sz val="9"/>
      <name val="Calibri"/>
      <family val="2"/>
      <scheme val="minor"/>
    </font>
    <font>
      <b/>
      <sz val="10"/>
      <color theme="1"/>
      <name val="Calibri"/>
      <family val="2"/>
      <scheme val="minor"/>
    </font>
    <font>
      <sz val="9"/>
      <color theme="1"/>
      <name val="Calibri"/>
      <family val="2"/>
      <scheme val="minor"/>
    </font>
    <font>
      <b/>
      <sz val="15"/>
      <color theme="1"/>
      <name val="Calibri"/>
      <family val="2"/>
      <scheme val="minor"/>
    </font>
    <font>
      <sz val="14"/>
      <name val="Calibri"/>
      <family val="2"/>
      <scheme val="minor"/>
    </font>
    <font>
      <sz val="12"/>
      <name val="Calibri"/>
      <family val="2"/>
      <scheme val="minor"/>
    </font>
    <font>
      <b/>
      <sz val="10"/>
      <name val="Calibri"/>
      <family val="2"/>
      <scheme val="minor"/>
    </font>
    <font>
      <sz val="11"/>
      <name val="Calibri"/>
      <family val="2"/>
      <scheme val="minor"/>
    </font>
    <font>
      <sz val="10"/>
      <color theme="0"/>
      <name val="Calibri"/>
      <family val="2"/>
      <scheme val="minor"/>
    </font>
    <font>
      <sz val="10"/>
      <name val="Calibri"/>
      <family val="2"/>
      <scheme val="minor"/>
    </font>
    <font>
      <u/>
      <sz val="10"/>
      <color theme="10"/>
      <name val="Calibri"/>
      <family val="2"/>
      <scheme val="minor"/>
    </font>
    <font>
      <b/>
      <sz val="12"/>
      <color theme="1"/>
      <name val="Century Gothic"/>
      <family val="2"/>
    </font>
    <font>
      <sz val="11"/>
      <color theme="1"/>
      <name val="Century Gothic"/>
      <family val="2"/>
    </font>
    <font>
      <sz val="9"/>
      <color theme="1"/>
      <name val="Century Gothic"/>
      <family val="2"/>
    </font>
    <font>
      <b/>
      <sz val="10"/>
      <color theme="1"/>
      <name val="Century Gothic"/>
      <family val="2"/>
    </font>
    <font>
      <sz val="10"/>
      <color theme="1"/>
      <name val="Century Gothic"/>
      <family val="2"/>
    </font>
    <font>
      <i/>
      <sz val="8"/>
      <color theme="1"/>
      <name val="Century Gothic"/>
      <family val="2"/>
    </font>
    <font>
      <b/>
      <u/>
      <sz val="18"/>
      <color theme="1"/>
      <name val="Calibri"/>
      <family val="2"/>
      <scheme val="minor"/>
    </font>
    <font>
      <sz val="14"/>
      <color theme="1"/>
      <name val="Calibri"/>
      <family val="2"/>
      <scheme val="minor"/>
    </font>
    <font>
      <sz val="15"/>
      <color theme="1"/>
      <name val="Calibri"/>
      <family val="2"/>
      <scheme val="minor"/>
    </font>
    <font>
      <b/>
      <sz val="10"/>
      <color theme="0"/>
      <name val="Calibri"/>
      <family val="2"/>
      <scheme val="minor"/>
    </font>
    <font>
      <b/>
      <sz val="14"/>
      <color theme="1"/>
      <name val="Calibri"/>
      <family val="2"/>
      <scheme val="minor"/>
    </font>
    <font>
      <b/>
      <sz val="14"/>
      <name val="Calibri"/>
      <family val="2"/>
      <scheme val="minor"/>
    </font>
    <font>
      <b/>
      <sz val="18"/>
      <color rgb="FF0E6EB6"/>
      <name val="Cambria"/>
      <family val="1"/>
      <scheme val="major"/>
    </font>
    <font>
      <u/>
      <sz val="14"/>
      <color theme="1"/>
      <name val="Calibri"/>
      <family val="2"/>
      <scheme val="minor"/>
    </font>
    <font>
      <b/>
      <sz val="12"/>
      <color theme="0"/>
      <name val="Century Gothic"/>
      <family val="2"/>
    </font>
    <font>
      <sz val="11"/>
      <color theme="0"/>
      <name val="Century Gothic"/>
      <family val="2"/>
    </font>
    <font>
      <sz val="9"/>
      <color theme="0"/>
      <name val="Century Gothic"/>
      <family val="2"/>
    </font>
    <font>
      <b/>
      <sz val="10"/>
      <color theme="0"/>
      <name val="Century Gothic"/>
      <family val="2"/>
    </font>
    <font>
      <sz val="10"/>
      <color theme="0"/>
      <name val="Century Gothic"/>
      <family val="2"/>
    </font>
    <font>
      <i/>
      <sz val="8"/>
      <color theme="0"/>
      <name val="Century Gothic"/>
      <family val="2"/>
    </font>
  </fonts>
  <fills count="1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ACACAF"/>
        <bgColor indexed="64"/>
      </patternFill>
    </fill>
    <fill>
      <patternFill patternType="solid">
        <fgColor rgb="FFF7941D"/>
        <bgColor indexed="64"/>
      </patternFill>
    </fill>
    <fill>
      <patternFill patternType="solid">
        <fgColor rgb="FF389E8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6">
    <xf numFmtId="0" fontId="0" fillId="0" borderId="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68" fontId="2" fillId="0" borderId="0" applyFill="0" applyBorder="0" applyAlignment="0" applyProtection="0"/>
    <xf numFmtId="164" fontId="7" fillId="0" borderId="0" applyFont="0" applyFill="0" applyBorder="0" applyAlignment="0" applyProtection="0"/>
    <xf numFmtId="168" fontId="1" fillId="0" borderId="0"/>
    <xf numFmtId="0" fontId="1" fillId="0" borderId="0"/>
    <xf numFmtId="9" fontId="1" fillId="0" borderId="0"/>
    <xf numFmtId="38" fontId="3" fillId="2" borderId="0" applyNumberFormat="0" applyBorder="0" applyAlignment="0" applyProtection="0"/>
    <xf numFmtId="0" fontId="9" fillId="0" borderId="0" applyNumberFormat="0" applyFill="0" applyBorder="0" applyAlignment="0" applyProtection="0"/>
    <xf numFmtId="10" fontId="3" fillId="3" borderId="1" applyNumberFormat="0" applyBorder="0" applyAlignment="0" applyProtection="0"/>
    <xf numFmtId="166" fontId="4" fillId="0" borderId="0"/>
    <xf numFmtId="0" fontId="2" fillId="0" borderId="0"/>
    <xf numFmtId="0" fontId="2" fillId="0" borderId="0"/>
    <xf numFmtId="0" fontId="7" fillId="0" borderId="0"/>
    <xf numFmtId="0" fontId="7" fillId="0" borderId="0"/>
    <xf numFmtId="9" fontId="7"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cellStyleXfs>
  <cellXfs count="519">
    <xf numFmtId="0" fontId="0" fillId="0" borderId="0" xfId="0"/>
    <xf numFmtId="0" fontId="11" fillId="0" borderId="0" xfId="0" applyFont="1"/>
    <xf numFmtId="0" fontId="11" fillId="0" borderId="0" xfId="0" applyFont="1" applyAlignment="1">
      <alignment horizontal="center"/>
    </xf>
    <xf numFmtId="0" fontId="12" fillId="0" borderId="0" xfId="0" applyFont="1"/>
    <xf numFmtId="0" fontId="12" fillId="0" borderId="0" xfId="0" applyFont="1"/>
    <xf numFmtId="0" fontId="11" fillId="0" borderId="2" xfId="0" applyFont="1" applyBorder="1"/>
    <xf numFmtId="0" fontId="13" fillId="0" borderId="0" xfId="0" applyFont="1"/>
    <xf numFmtId="0" fontId="11" fillId="0" borderId="3" xfId="0" applyFont="1" applyBorder="1" applyAlignment="1">
      <alignment horizontal="center"/>
    </xf>
    <xf numFmtId="0" fontId="11" fillId="0" borderId="4" xfId="0" applyFont="1" applyBorder="1" applyAlignment="1">
      <alignment horizontal="center"/>
    </xf>
    <xf numFmtId="0" fontId="11" fillId="4" borderId="1" xfId="0" applyFont="1" applyFill="1" applyBorder="1" applyAlignment="1">
      <alignment horizontal="center"/>
    </xf>
    <xf numFmtId="169" fontId="11" fillId="0" borderId="4" xfId="0" applyNumberFormat="1" applyFont="1" applyBorder="1" applyAlignment="1">
      <alignment horizontal="center"/>
    </xf>
    <xf numFmtId="43" fontId="11" fillId="0" borderId="4" xfId="1" applyFont="1" applyBorder="1"/>
    <xf numFmtId="43" fontId="11" fillId="0" borderId="4" xfId="0" applyNumberFormat="1" applyFont="1" applyBorder="1"/>
    <xf numFmtId="43" fontId="11" fillId="0" borderId="3" xfId="1" applyFont="1" applyBorder="1"/>
    <xf numFmtId="0" fontId="11" fillId="0" borderId="5" xfId="0" applyFont="1" applyBorder="1" applyAlignment="1">
      <alignment horizontal="center"/>
    </xf>
    <xf numFmtId="169" fontId="11" fillId="0" borderId="5" xfId="0" applyNumberFormat="1" applyFont="1" applyBorder="1" applyAlignment="1">
      <alignment horizontal="center"/>
    </xf>
    <xf numFmtId="43" fontId="11" fillId="0" borderId="5" xfId="1" applyFont="1" applyBorder="1"/>
    <xf numFmtId="0" fontId="11" fillId="4" borderId="0" xfId="0" applyFont="1" applyFill="1"/>
    <xf numFmtId="170" fontId="11" fillId="4" borderId="0" xfId="0" applyNumberFormat="1" applyFont="1" applyFill="1" applyAlignment="1">
      <alignment horizontal="center"/>
    </xf>
    <xf numFmtId="0" fontId="13" fillId="4" borderId="0" xfId="0" applyFont="1" applyFill="1" applyAlignment="1">
      <alignment horizontal="center"/>
    </xf>
    <xf numFmtId="43" fontId="13" fillId="4" borderId="0" xfId="1" applyFont="1" applyFill="1"/>
    <xf numFmtId="167" fontId="11" fillId="0" borderId="0" xfId="0" applyNumberFormat="1" applyFont="1" applyAlignment="1">
      <alignment horizontal="center"/>
    </xf>
    <xf numFmtId="43" fontId="11" fillId="0" borderId="0" xfId="1" applyFont="1"/>
    <xf numFmtId="39" fontId="11" fillId="0" borderId="0" xfId="0" applyNumberFormat="1" applyFont="1"/>
    <xf numFmtId="43" fontId="11" fillId="0" borderId="2" xfId="1" applyFont="1" applyBorder="1"/>
    <xf numFmtId="39" fontId="13" fillId="0" borderId="6" xfId="0" applyNumberFormat="1" applyFont="1" applyBorder="1"/>
    <xf numFmtId="43" fontId="13" fillId="0" borderId="6" xfId="1" applyFont="1" applyBorder="1"/>
    <xf numFmtId="167" fontId="14" fillId="0" borderId="0" xfId="0" applyNumberFormat="1" applyFont="1" applyAlignment="1">
      <alignment horizontal="center"/>
    </xf>
    <xf numFmtId="0" fontId="14" fillId="0" borderId="0" xfId="0" applyFont="1" applyAlignment="1">
      <alignment horizontal="center"/>
    </xf>
    <xf numFmtId="43" fontId="14" fillId="0" borderId="0" xfId="1" applyFont="1"/>
    <xf numFmtId="0" fontId="14" fillId="0" borderId="0" xfId="0" applyFont="1"/>
    <xf numFmtId="0" fontId="15" fillId="5" borderId="0" xfId="0" applyFont="1" applyFill="1" applyProtection="1">
      <protection hidden="1"/>
    </xf>
    <xf numFmtId="0" fontId="0" fillId="0" borderId="0" xfId="0" applyAlignment="1" applyProtection="1">
      <alignment vertical="center"/>
      <protection hidden="1"/>
    </xf>
    <xf numFmtId="0" fontId="0" fillId="0" borderId="10" xfId="0" applyBorder="1" applyAlignment="1" applyProtection="1">
      <alignment vertical="center"/>
      <protection hidden="1"/>
    </xf>
    <xf numFmtId="0" fontId="16" fillId="0" borderId="11" xfId="0" applyFont="1" applyBorder="1" applyAlignment="1" applyProtection="1">
      <alignment vertical="center"/>
      <protection hidden="1"/>
    </xf>
    <xf numFmtId="0" fontId="16" fillId="0" borderId="0" xfId="0" applyFont="1" applyAlignment="1" applyProtection="1">
      <alignment vertical="center"/>
      <protection hidden="1"/>
    </xf>
    <xf numFmtId="43" fontId="11" fillId="0" borderId="5" xfId="0" applyNumberFormat="1" applyFont="1" applyBorder="1"/>
    <xf numFmtId="0" fontId="11" fillId="0" borderId="0" xfId="0" applyFont="1" applyProtection="1">
      <protection hidden="1"/>
    </xf>
    <xf numFmtId="0" fontId="11" fillId="0" borderId="0" xfId="0" applyFont="1" applyAlignment="1" applyProtection="1">
      <alignment horizontal="center"/>
      <protection hidden="1"/>
    </xf>
    <xf numFmtId="0" fontId="13" fillId="0" borderId="0" xfId="0" applyFont="1" applyProtection="1">
      <protection hidden="1"/>
    </xf>
    <xf numFmtId="39" fontId="11" fillId="0" borderId="0" xfId="0" applyNumberFormat="1" applyFont="1" applyProtection="1">
      <protection hidden="1"/>
    </xf>
    <xf numFmtId="0" fontId="11" fillId="0" borderId="0" xfId="0" applyFont="1" applyProtection="1">
      <protection locked="0" hidden="1"/>
    </xf>
    <xf numFmtId="0" fontId="18" fillId="0" borderId="0" xfId="13" applyFont="1" applyProtection="1">
      <protection locked="0" hidden="1"/>
    </xf>
    <xf numFmtId="0" fontId="11" fillId="0" borderId="0" xfId="0" applyFont="1" applyAlignment="1" applyProtection="1">
      <alignment horizontal="center"/>
      <protection locked="0" hidden="1"/>
    </xf>
    <xf numFmtId="0" fontId="13" fillId="0" borderId="0" xfId="0" applyFont="1" applyProtection="1">
      <protection locked="0" hidden="1"/>
    </xf>
    <xf numFmtId="0" fontId="13" fillId="4" borderId="12" xfId="0" applyFont="1" applyFill="1" applyBorder="1" applyAlignment="1" applyProtection="1">
      <alignment horizontal="left"/>
      <protection locked="0" hidden="1"/>
    </xf>
    <xf numFmtId="0" fontId="11" fillId="0" borderId="13" xfId="0" applyFont="1" applyBorder="1" applyAlignment="1" applyProtection="1">
      <alignment horizontal="left"/>
      <protection locked="0" hidden="1"/>
    </xf>
    <xf numFmtId="0" fontId="11" fillId="0" borderId="14" xfId="0" applyFont="1" applyBorder="1" applyAlignment="1" applyProtection="1">
      <alignment horizontal="left"/>
      <protection locked="0" hidden="1"/>
    </xf>
    <xf numFmtId="39" fontId="11" fillId="0" borderId="0" xfId="0" applyNumberFormat="1" applyFont="1" applyProtection="1">
      <protection locked="0" hidden="1"/>
    </xf>
    <xf numFmtId="10" fontId="11" fillId="0" borderId="0" xfId="0" applyNumberFormat="1" applyFont="1" applyAlignment="1" applyProtection="1">
      <alignment horizontal="center"/>
      <protection locked="0" hidden="1"/>
    </xf>
    <xf numFmtId="39" fontId="11" fillId="0" borderId="2" xfId="0" applyNumberFormat="1" applyFont="1" applyBorder="1" applyProtection="1">
      <protection locked="0" hidden="1"/>
    </xf>
    <xf numFmtId="43" fontId="11" fillId="0" borderId="2" xfId="1" applyFont="1" applyBorder="1" applyProtection="1">
      <protection hidden="1"/>
    </xf>
    <xf numFmtId="0" fontId="11" fillId="0" borderId="0" xfId="0" applyFont="1" applyAlignment="1" applyProtection="1">
      <alignment horizontal="left"/>
      <protection locked="0" hidden="1"/>
    </xf>
    <xf numFmtId="43" fontId="11" fillId="0" borderId="2" xfId="1" applyFont="1" applyBorder="1" applyProtection="1">
      <protection locked="0" hidden="1"/>
    </xf>
    <xf numFmtId="43" fontId="11" fillId="0" borderId="0" xfId="1" applyFont="1" applyProtection="1">
      <protection locked="0" hidden="1"/>
    </xf>
    <xf numFmtId="39" fontId="13" fillId="0" borderId="6" xfId="0" applyNumberFormat="1" applyFont="1" applyBorder="1" applyProtection="1">
      <protection hidden="1"/>
    </xf>
    <xf numFmtId="0" fontId="11" fillId="4" borderId="1" xfId="0" applyFont="1" applyFill="1" applyBorder="1" applyAlignment="1" applyProtection="1">
      <alignment horizontal="center"/>
      <protection hidden="1"/>
    </xf>
    <xf numFmtId="0" fontId="11" fillId="0" borderId="4" xfId="0" applyFont="1" applyBorder="1" applyAlignment="1" applyProtection="1">
      <alignment horizontal="center"/>
      <protection hidden="1"/>
    </xf>
    <xf numFmtId="169" fontId="11" fillId="0" borderId="4" xfId="0" applyNumberFormat="1" applyFont="1" applyBorder="1" applyAlignment="1" applyProtection="1">
      <alignment horizontal="center"/>
      <protection hidden="1"/>
    </xf>
    <xf numFmtId="43" fontId="11" fillId="0" borderId="4" xfId="1" applyFont="1" applyBorder="1" applyProtection="1">
      <protection hidden="1"/>
    </xf>
    <xf numFmtId="43" fontId="11" fillId="0" borderId="4" xfId="0" applyNumberFormat="1" applyFont="1" applyBorder="1" applyProtection="1">
      <protection hidden="1"/>
    </xf>
    <xf numFmtId="0" fontId="11" fillId="0" borderId="5" xfId="0" applyFont="1" applyBorder="1" applyAlignment="1" applyProtection="1">
      <alignment horizontal="center"/>
      <protection hidden="1"/>
    </xf>
    <xf numFmtId="169" fontId="11" fillId="0" borderId="5" xfId="0" applyNumberFormat="1" applyFont="1" applyBorder="1" applyAlignment="1" applyProtection="1">
      <alignment horizontal="center"/>
      <protection hidden="1"/>
    </xf>
    <xf numFmtId="43" fontId="11" fillId="0" borderId="5" xfId="1" applyFont="1" applyBorder="1" applyProtection="1">
      <protection hidden="1"/>
    </xf>
    <xf numFmtId="43" fontId="11" fillId="0" borderId="5" xfId="0" applyNumberFormat="1" applyFont="1" applyBorder="1" applyProtection="1">
      <protection hidden="1"/>
    </xf>
    <xf numFmtId="0" fontId="11" fillId="4" borderId="0" xfId="0" applyFont="1" applyFill="1" applyProtection="1">
      <protection hidden="1"/>
    </xf>
    <xf numFmtId="170" fontId="11" fillId="4" borderId="0" xfId="0" applyNumberFormat="1" applyFont="1" applyFill="1" applyAlignment="1" applyProtection="1">
      <alignment horizontal="center"/>
      <protection hidden="1"/>
    </xf>
    <xf numFmtId="0" fontId="13" fillId="4" borderId="0" xfId="0" applyFont="1" applyFill="1" applyAlignment="1" applyProtection="1">
      <alignment horizontal="center"/>
      <protection hidden="1"/>
    </xf>
    <xf numFmtId="43" fontId="13" fillId="4" borderId="0" xfId="1" applyFont="1" applyFill="1" applyProtection="1">
      <protection hidden="1"/>
    </xf>
    <xf numFmtId="0" fontId="12" fillId="0" borderId="0" xfId="0" applyFont="1" applyProtection="1">
      <protection hidden="1"/>
    </xf>
    <xf numFmtId="167" fontId="14" fillId="0" borderId="0" xfId="0" applyNumberFormat="1" applyFont="1" applyAlignment="1" applyProtection="1">
      <alignment horizontal="center"/>
      <protection hidden="1"/>
    </xf>
    <xf numFmtId="0" fontId="14" fillId="0" borderId="0" xfId="0" applyFont="1" applyAlignment="1" applyProtection="1">
      <alignment horizontal="center"/>
      <protection hidden="1"/>
    </xf>
    <xf numFmtId="43" fontId="14" fillId="0" borderId="0" xfId="1" applyFont="1" applyProtection="1">
      <protection hidden="1"/>
    </xf>
    <xf numFmtId="0" fontId="14" fillId="0" borderId="0" xfId="0" applyFont="1" applyProtection="1">
      <protection hidden="1"/>
    </xf>
    <xf numFmtId="0" fontId="12" fillId="0" borderId="0" xfId="0" applyFont="1" applyProtection="1">
      <protection hidden="1"/>
    </xf>
    <xf numFmtId="0" fontId="11" fillId="0" borderId="2" xfId="0" applyFont="1" applyBorder="1" applyProtection="1">
      <protection hidden="1"/>
    </xf>
    <xf numFmtId="0" fontId="11" fillId="0" borderId="0" xfId="0" applyFont="1" applyAlignment="1" applyProtection="1">
      <alignment horizontal="left"/>
      <protection locked="0" hidden="1"/>
    </xf>
    <xf numFmtId="43" fontId="11" fillId="0" borderId="0" xfId="1" applyFont="1"/>
    <xf numFmtId="0" fontId="11" fillId="0" borderId="15" xfId="0" applyFont="1" applyBorder="1" applyAlignment="1">
      <alignment horizontal="center"/>
    </xf>
    <xf numFmtId="169" fontId="11" fillId="0" borderId="15" xfId="0" applyNumberFormat="1" applyFont="1" applyBorder="1" applyAlignment="1">
      <alignment horizontal="center"/>
    </xf>
    <xf numFmtId="43" fontId="11" fillId="0" borderId="15" xfId="1" applyFont="1" applyBorder="1"/>
    <xf numFmtId="43" fontId="11" fillId="0" borderId="15" xfId="0" applyNumberFormat="1" applyFont="1" applyBorder="1"/>
    <xf numFmtId="39" fontId="11" fillId="0" borderId="0" xfId="0" applyNumberFormat="1" applyFont="1" applyAlignment="1" applyProtection="1">
      <alignment horizontal="right"/>
      <protection locked="0" hidden="1"/>
    </xf>
    <xf numFmtId="43" fontId="11" fillId="0" borderId="2" xfId="1" applyFont="1" applyBorder="1" applyAlignment="1" applyProtection="1">
      <alignment horizontal="right"/>
      <protection locked="0" hidden="1"/>
    </xf>
    <xf numFmtId="43" fontId="13" fillId="0" borderId="6" xfId="0" applyNumberFormat="1" applyFont="1" applyBorder="1" applyAlignment="1" applyProtection="1">
      <alignment horizontal="right"/>
      <protection locked="0" hidden="1"/>
    </xf>
    <xf numFmtId="39" fontId="11" fillId="0" borderId="0" xfId="0" applyNumberFormat="1" applyFont="1" applyProtection="1">
      <protection locked="0" hidden="1"/>
    </xf>
    <xf numFmtId="43" fontId="11" fillId="0" borderId="0" xfId="1" applyFont="1" applyAlignment="1" applyProtection="1">
      <alignment horizontal="right"/>
      <protection locked="0" hidden="1"/>
    </xf>
    <xf numFmtId="43" fontId="11" fillId="0" borderId="0" xfId="1" applyFont="1" applyAlignment="1" applyProtection="1">
      <alignment horizontal="center"/>
      <protection locked="0" hidden="1"/>
    </xf>
    <xf numFmtId="43" fontId="11" fillId="0" borderId="2" xfId="1" applyFont="1" applyBorder="1" applyAlignment="1" applyProtection="1">
      <alignment horizontal="center"/>
      <protection locked="0" hidden="1"/>
    </xf>
    <xf numFmtId="43" fontId="13" fillId="0" borderId="6" xfId="1" applyFont="1" applyBorder="1" applyAlignment="1" applyProtection="1">
      <alignment horizontal="center"/>
      <protection locked="0" hidden="1"/>
    </xf>
    <xf numFmtId="0" fontId="11" fillId="0" borderId="16" xfId="0" applyFont="1" applyBorder="1" applyAlignment="1">
      <alignment horizontal="center"/>
    </xf>
    <xf numFmtId="169" fontId="11" fillId="0" borderId="16" xfId="0" applyNumberFormat="1" applyFont="1" applyBorder="1" applyAlignment="1">
      <alignment horizontal="center"/>
    </xf>
    <xf numFmtId="43" fontId="11" fillId="0" borderId="16" xfId="1" applyFont="1" applyBorder="1"/>
    <xf numFmtId="43" fontId="11" fillId="0" borderId="16" xfId="0" applyNumberFormat="1" applyFont="1" applyBorder="1"/>
    <xf numFmtId="169" fontId="11" fillId="0" borderId="3" xfId="0" applyNumberFormat="1" applyFont="1" applyBorder="1" applyAlignment="1">
      <alignment horizontal="center"/>
    </xf>
    <xf numFmtId="43" fontId="11" fillId="0" borderId="3" xfId="0" applyNumberFormat="1" applyFont="1" applyBorder="1"/>
    <xf numFmtId="39" fontId="13" fillId="0" borderId="6" xfId="0" applyNumberFormat="1" applyFont="1" applyBorder="1" applyProtection="1">
      <protection locked="0" hidden="1"/>
    </xf>
    <xf numFmtId="39" fontId="11" fillId="0" borderId="0" xfId="0" applyNumberFormat="1" applyFont="1" applyAlignment="1">
      <alignment horizontal="center"/>
    </xf>
    <xf numFmtId="0" fontId="11" fillId="0" borderId="17" xfId="0" applyFont="1" applyBorder="1" applyAlignment="1">
      <alignment horizontal="center"/>
    </xf>
    <xf numFmtId="169" fontId="11" fillId="0" borderId="17" xfId="0" applyNumberFormat="1" applyFont="1" applyBorder="1" applyAlignment="1">
      <alignment horizontal="center"/>
    </xf>
    <xf numFmtId="43" fontId="11" fillId="0" borderId="17" xfId="1" applyFont="1" applyBorder="1"/>
    <xf numFmtId="43" fontId="11" fillId="0" borderId="17" xfId="0" applyNumberFormat="1" applyFont="1" applyBorder="1"/>
    <xf numFmtId="43" fontId="11" fillId="0" borderId="0" xfId="1" applyFont="1" applyAlignment="1" applyProtection="1">
      <alignment horizontal="center"/>
      <protection locked="0" hidden="1"/>
    </xf>
    <xf numFmtId="39" fontId="11" fillId="0" borderId="0" xfId="0" applyNumberFormat="1" applyFont="1" applyAlignment="1" applyProtection="1">
      <alignment horizontal="center"/>
      <protection locked="0" hidden="1"/>
    </xf>
    <xf numFmtId="0" fontId="10" fillId="0" borderId="0" xfId="0" applyFont="1" applyAlignment="1">
      <alignment vertical="top" wrapText="1"/>
    </xf>
    <xf numFmtId="0" fontId="0" fillId="0" borderId="0" xfId="0"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10" fillId="0" borderId="0" xfId="0" applyFont="1" applyAlignment="1">
      <alignment horizontal="center" vertical="top" wrapText="1"/>
    </xf>
    <xf numFmtId="0" fontId="0" fillId="0" borderId="0" xfId="0"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11" fillId="0" borderId="0" xfId="0" applyFont="1"/>
    <xf numFmtId="0" fontId="18" fillId="0" borderId="0" xfId="13" applyFont="1"/>
    <xf numFmtId="0" fontId="11" fillId="0" borderId="0" xfId="0" applyFont="1" applyAlignment="1">
      <alignment horizontal="center"/>
    </xf>
    <xf numFmtId="0" fontId="13" fillId="0" borderId="0" xfId="0" applyFont="1"/>
    <xf numFmtId="0" fontId="13" fillId="4" borderId="12" xfId="0" applyFont="1" applyFill="1" applyBorder="1" applyAlignment="1">
      <alignment horizontal="left"/>
    </xf>
    <xf numFmtId="0" fontId="11" fillId="0" borderId="13" xfId="0" applyFont="1" applyBorder="1" applyAlignment="1">
      <alignment horizontal="left"/>
    </xf>
    <xf numFmtId="0" fontId="11" fillId="0" borderId="14" xfId="0" applyFont="1" applyBorder="1" applyAlignment="1">
      <alignment horizontal="left"/>
    </xf>
    <xf numFmtId="39" fontId="11" fillId="0" borderId="0" xfId="0" applyNumberFormat="1" applyFont="1"/>
    <xf numFmtId="43" fontId="11" fillId="0" borderId="2" xfId="1" applyFont="1" applyBorder="1"/>
    <xf numFmtId="10" fontId="11" fillId="0" borderId="0" xfId="0" applyNumberFormat="1" applyFont="1" applyAlignment="1">
      <alignment horizontal="center"/>
    </xf>
    <xf numFmtId="0" fontId="11" fillId="4" borderId="1" xfId="0" applyFont="1" applyFill="1" applyBorder="1" applyAlignment="1">
      <alignment horizontal="center"/>
    </xf>
    <xf numFmtId="0" fontId="11" fillId="0" borderId="4" xfId="0" applyFont="1" applyBorder="1" applyAlignment="1">
      <alignment horizontal="center"/>
    </xf>
    <xf numFmtId="169" fontId="11" fillId="0" borderId="4" xfId="0" applyNumberFormat="1" applyFont="1" applyBorder="1" applyAlignment="1">
      <alignment horizontal="center"/>
    </xf>
    <xf numFmtId="43" fontId="11" fillId="0" borderId="4" xfId="1" applyFont="1" applyBorder="1"/>
    <xf numFmtId="43" fontId="11" fillId="0" borderId="4" xfId="0" applyNumberFormat="1" applyFont="1" applyBorder="1"/>
    <xf numFmtId="0" fontId="11" fillId="4" borderId="0" xfId="0" applyFont="1" applyFill="1"/>
    <xf numFmtId="170" fontId="11" fillId="4" borderId="0" xfId="0" applyNumberFormat="1" applyFont="1" applyFill="1" applyAlignment="1">
      <alignment horizontal="center"/>
    </xf>
    <xf numFmtId="0" fontId="13" fillId="4" borderId="0" xfId="0" applyFont="1" applyFill="1" applyAlignment="1">
      <alignment horizontal="center"/>
    </xf>
    <xf numFmtId="43" fontId="13" fillId="4" borderId="0" xfId="1" applyFont="1" applyFill="1"/>
    <xf numFmtId="0" fontId="12" fillId="0" borderId="0" xfId="0" applyFont="1"/>
    <xf numFmtId="0" fontId="12" fillId="0" borderId="0" xfId="0" applyFont="1"/>
    <xf numFmtId="0" fontId="11" fillId="0" borderId="2" xfId="0" applyFont="1" applyBorder="1"/>
    <xf numFmtId="39" fontId="11" fillId="0" borderId="2" xfId="0" applyNumberFormat="1" applyFont="1" applyBorder="1"/>
    <xf numFmtId="39" fontId="13" fillId="0" borderId="6" xfId="0" applyNumberFormat="1" applyFont="1" applyBorder="1"/>
    <xf numFmtId="167" fontId="14" fillId="0" borderId="0" xfId="0" applyNumberFormat="1" applyFont="1" applyAlignment="1">
      <alignment horizontal="center"/>
    </xf>
    <xf numFmtId="0" fontId="14" fillId="0" borderId="0" xfId="0" applyFont="1" applyAlignment="1">
      <alignment horizontal="center"/>
    </xf>
    <xf numFmtId="43" fontId="14" fillId="0" borderId="0" xfId="1" applyFont="1"/>
    <xf numFmtId="0" fontId="14" fillId="0" borderId="0" xfId="0" applyFont="1"/>
    <xf numFmtId="39" fontId="11" fillId="0" borderId="0" xfId="0" applyNumberFormat="1" applyFont="1"/>
    <xf numFmtId="0" fontId="11" fillId="0" borderId="16" xfId="0" applyFont="1" applyBorder="1" applyAlignment="1">
      <alignment horizontal="center"/>
    </xf>
    <xf numFmtId="0" fontId="11" fillId="0" borderId="0" xfId="0" applyFont="1" applyAlignment="1">
      <alignment horizontal="left" indent="1"/>
    </xf>
    <xf numFmtId="0" fontId="11" fillId="0" borderId="1" xfId="0" applyFont="1" applyBorder="1" applyAlignment="1">
      <alignment horizontal="center"/>
    </xf>
    <xf numFmtId="169" fontId="11" fillId="0" borderId="1" xfId="0" applyNumberFormat="1" applyFont="1" applyBorder="1" applyAlignment="1">
      <alignment horizontal="center"/>
    </xf>
    <xf numFmtId="43" fontId="11" fillId="0" borderId="1" xfId="1" applyFont="1" applyBorder="1"/>
    <xf numFmtId="43" fontId="11" fillId="0" borderId="1" xfId="0" applyNumberFormat="1" applyFont="1" applyBorder="1"/>
    <xf numFmtId="0" fontId="19" fillId="0" borderId="23" xfId="0" applyFont="1" applyBorder="1" applyAlignment="1" applyProtection="1">
      <alignment vertical="center"/>
      <protection hidden="1"/>
    </xf>
    <xf numFmtId="0" fontId="19" fillId="0" borderId="0" xfId="0" applyFont="1" applyAlignment="1" applyProtection="1">
      <alignment vertical="center"/>
      <protection hidden="1"/>
    </xf>
    <xf numFmtId="4" fontId="11" fillId="5" borderId="0" xfId="0" applyNumberFormat="1" applyFont="1" applyFill="1" applyAlignment="1">
      <alignment horizontal="left"/>
    </xf>
    <xf numFmtId="4" fontId="11" fillId="0" borderId="0" xfId="0" applyNumberFormat="1" applyFont="1" applyAlignment="1">
      <alignment horizontal="left"/>
    </xf>
    <xf numFmtId="4" fontId="11" fillId="0" borderId="24" xfId="0" applyNumberFormat="1" applyFont="1" applyBorder="1" applyAlignment="1">
      <alignment horizontal="left"/>
    </xf>
    <xf numFmtId="171" fontId="11" fillId="0" borderId="0" xfId="0" applyNumberFormat="1" applyFont="1" applyAlignment="1">
      <alignment horizontal="center"/>
    </xf>
    <xf numFmtId="171" fontId="11" fillId="0" borderId="0" xfId="0" applyNumberFormat="1" applyFont="1" applyAlignment="1" applyProtection="1">
      <alignment horizontal="center"/>
      <protection locked="0"/>
    </xf>
    <xf numFmtId="39" fontId="11" fillId="0" borderId="2" xfId="0" applyNumberFormat="1" applyFont="1" applyBorder="1"/>
    <xf numFmtId="0" fontId="13" fillId="4" borderId="25" xfId="0" applyFont="1" applyFill="1" applyBorder="1" applyAlignment="1">
      <alignment horizontal="left"/>
    </xf>
    <xf numFmtId="0" fontId="11" fillId="4" borderId="26" xfId="0" applyFont="1" applyFill="1" applyBorder="1" applyAlignment="1">
      <alignment horizontal="center"/>
    </xf>
    <xf numFmtId="0" fontId="11" fillId="0" borderId="27" xfId="0" applyFont="1" applyBorder="1"/>
    <xf numFmtId="0" fontId="11" fillId="0" borderId="24" xfId="0" applyFont="1" applyBorder="1"/>
    <xf numFmtId="0" fontId="11" fillId="0" borderId="28" xfId="0" applyFont="1" applyBorder="1"/>
    <xf numFmtId="0" fontId="11" fillId="0" borderId="3" xfId="0" applyFont="1" applyBorder="1" applyAlignment="1">
      <alignment horizontal="center"/>
    </xf>
    <xf numFmtId="43" fontId="11" fillId="0" borderId="3" xfId="1" applyFont="1" applyBorder="1"/>
    <xf numFmtId="0" fontId="20" fillId="0" borderId="0" xfId="0" applyFont="1" applyAlignment="1">
      <alignment horizontal="center"/>
    </xf>
    <xf numFmtId="0" fontId="11" fillId="0" borderId="0" xfId="0" applyFont="1" applyProtection="1">
      <protection locked="0"/>
    </xf>
    <xf numFmtId="0" fontId="11" fillId="0" borderId="0" xfId="0" applyFont="1" applyAlignment="1" applyProtection="1">
      <alignment horizontal="left" indent="1"/>
      <protection locked="0"/>
    </xf>
    <xf numFmtId="0" fontId="14" fillId="0" borderId="0" xfId="0" applyFont="1"/>
    <xf numFmtId="167" fontId="14" fillId="0" borderId="0" xfId="0" applyNumberFormat="1" applyFont="1" applyAlignment="1">
      <alignment horizontal="center"/>
    </xf>
    <xf numFmtId="0" fontId="14" fillId="0" borderId="0" xfId="0" applyFont="1" applyAlignment="1">
      <alignment horizontal="center"/>
    </xf>
    <xf numFmtId="43" fontId="14" fillId="0" borderId="0" xfId="1" applyFont="1"/>
    <xf numFmtId="0" fontId="11" fillId="4" borderId="0" xfId="0" applyFont="1" applyFill="1"/>
    <xf numFmtId="170" fontId="11" fillId="4" borderId="0" xfId="0" applyNumberFormat="1" applyFont="1" applyFill="1" applyAlignment="1">
      <alignment horizontal="center"/>
    </xf>
    <xf numFmtId="0" fontId="13" fillId="4" borderId="0" xfId="0" applyFont="1" applyFill="1" applyAlignment="1">
      <alignment horizontal="center"/>
    </xf>
    <xf numFmtId="43" fontId="13" fillId="4" borderId="0" xfId="1" applyFont="1" applyFill="1"/>
    <xf numFmtId="172" fontId="21" fillId="0" borderId="0" xfId="20" applyNumberFormat="1" applyFont="1" applyAlignment="1">
      <alignment horizontal="center"/>
    </xf>
    <xf numFmtId="172" fontId="11" fillId="0" borderId="0" xfId="20" applyNumberFormat="1" applyFont="1" applyAlignment="1">
      <alignment horizontal="center"/>
    </xf>
    <xf numFmtId="43" fontId="11" fillId="0" borderId="16" xfId="1" applyFont="1" applyBorder="1"/>
    <xf numFmtId="169" fontId="11" fillId="0" borderId="16" xfId="0" applyNumberFormat="1" applyFont="1" applyBorder="1" applyAlignment="1">
      <alignment horizontal="center"/>
    </xf>
    <xf numFmtId="43" fontId="11" fillId="0" borderId="16" xfId="0" applyNumberFormat="1" applyFont="1" applyBorder="1"/>
    <xf numFmtId="4" fontId="11" fillId="5" borderId="0" xfId="0" applyNumberFormat="1" applyFont="1" applyFill="1" applyAlignment="1">
      <alignment horizontal="left"/>
    </xf>
    <xf numFmtId="0" fontId="11" fillId="0" borderId="24" xfId="0" applyFont="1" applyBorder="1" applyAlignment="1">
      <alignment horizontal="left"/>
    </xf>
    <xf numFmtId="172" fontId="11" fillId="0" borderId="0" xfId="0" applyNumberFormat="1" applyFont="1" applyAlignment="1">
      <alignment horizontal="left"/>
    </xf>
    <xf numFmtId="43" fontId="11" fillId="0" borderId="4" xfId="8" applyNumberFormat="1" applyFont="1" applyBorder="1" applyAlignment="1">
      <alignment horizontal="right"/>
    </xf>
    <xf numFmtId="172" fontId="11" fillId="5" borderId="0" xfId="0" applyNumberFormat="1" applyFont="1" applyFill="1" applyAlignment="1">
      <alignment horizontal="left"/>
    </xf>
    <xf numFmtId="172" fontId="11" fillId="0" borderId="24" xfId="0" applyNumberFormat="1" applyFont="1" applyBorder="1"/>
    <xf numFmtId="4" fontId="11" fillId="0" borderId="16" xfId="1" applyNumberFormat="1" applyFont="1" applyBorder="1" applyAlignment="1">
      <alignment horizontal="right"/>
    </xf>
    <xf numFmtId="4" fontId="11" fillId="0" borderId="4" xfId="8" applyNumberFormat="1" applyFont="1" applyBorder="1" applyAlignment="1">
      <alignment horizontal="right"/>
    </xf>
    <xf numFmtId="4" fontId="11" fillId="0" borderId="3" xfId="1" applyNumberFormat="1" applyFont="1" applyBorder="1"/>
    <xf numFmtId="4" fontId="11" fillId="0" borderId="3" xfId="1" applyNumberFormat="1" applyFont="1" applyBorder="1" applyAlignment="1">
      <alignment horizontal="right"/>
    </xf>
    <xf numFmtId="0" fontId="11" fillId="0" borderId="24" xfId="0" applyFont="1" applyBorder="1" applyProtection="1">
      <protection locked="0" hidden="1"/>
    </xf>
    <xf numFmtId="4" fontId="11" fillId="0" borderId="24" xfId="0" applyNumberFormat="1" applyFont="1" applyBorder="1" applyProtection="1">
      <protection locked="0" hidden="1"/>
    </xf>
    <xf numFmtId="39" fontId="11" fillId="0" borderId="24" xfId="0" applyNumberFormat="1" applyFont="1" applyBorder="1" applyProtection="1">
      <protection locked="0" hidden="1"/>
    </xf>
    <xf numFmtId="0" fontId="11" fillId="0" borderId="0" xfId="0" applyFont="1" applyAlignment="1" applyProtection="1">
      <alignment horizontal="left" indent="1"/>
      <protection locked="0" hidden="1"/>
    </xf>
    <xf numFmtId="172" fontId="11" fillId="0" borderId="0" xfId="20" applyNumberFormat="1" applyFont="1"/>
    <xf numFmtId="39" fontId="11" fillId="0" borderId="2" xfId="0" applyNumberFormat="1" applyFont="1" applyBorder="1" applyProtection="1">
      <protection hidden="1"/>
    </xf>
    <xf numFmtId="39" fontId="11" fillId="0" borderId="0" xfId="0" applyNumberFormat="1" applyFont="1" applyProtection="1">
      <protection hidden="1"/>
    </xf>
    <xf numFmtId="171" fontId="11" fillId="5" borderId="0" xfId="20" applyNumberFormat="1" applyFont="1" applyFill="1" applyAlignment="1">
      <alignment horizontal="center"/>
    </xf>
    <xf numFmtId="4" fontId="11" fillId="5" borderId="0" xfId="0" applyNumberFormat="1" applyFont="1" applyFill="1" applyAlignment="1">
      <alignment horizontal="left"/>
    </xf>
    <xf numFmtId="4" fontId="11" fillId="0" borderId="0" xfId="0" applyNumberFormat="1" applyFont="1" applyAlignment="1">
      <alignment horizontal="left"/>
    </xf>
    <xf numFmtId="171" fontId="11" fillId="5" borderId="0" xfId="20" applyNumberFormat="1" applyFont="1" applyFill="1" applyAlignment="1" applyProtection="1">
      <alignment horizontal="center"/>
      <protection locked="0"/>
    </xf>
    <xf numFmtId="0" fontId="11" fillId="5" borderId="0" xfId="0" applyFont="1" applyFill="1"/>
    <xf numFmtId="0" fontId="13" fillId="5" borderId="0" xfId="0" applyFont="1" applyFill="1"/>
    <xf numFmtId="0" fontId="23" fillId="0" borderId="0" xfId="0" applyFont="1" applyAlignment="1">
      <alignment horizontal="left"/>
    </xf>
    <xf numFmtId="0" fontId="24" fillId="0" borderId="0" xfId="0" applyFont="1" applyAlignment="1">
      <alignment horizontal="center"/>
    </xf>
    <xf numFmtId="9" fontId="24" fillId="0" borderId="0" xfId="20" applyFont="1" applyAlignment="1">
      <alignment horizontal="center" vertical="center"/>
    </xf>
    <xf numFmtId="0" fontId="24" fillId="0" borderId="0" xfId="0" applyFont="1"/>
    <xf numFmtId="0" fontId="0" fillId="0" borderId="0" xfId="0" applyFont="1"/>
    <xf numFmtId="0" fontId="24" fillId="0" borderId="0" xfId="0" applyFont="1" applyAlignment="1">
      <alignment horizontal="left"/>
    </xf>
    <xf numFmtId="0" fontId="25" fillId="0" borderId="0" xfId="0" applyFont="1" applyAlignment="1">
      <alignment horizontal="right"/>
    </xf>
    <xf numFmtId="9" fontId="25" fillId="0" borderId="0" xfId="20" applyFont="1" applyAlignment="1">
      <alignment horizontal="right" vertical="center"/>
    </xf>
    <xf numFmtId="0" fontId="26" fillId="0" borderId="0" xfId="0" applyFont="1" applyAlignment="1">
      <alignment horizontal="center" vertical="center"/>
    </xf>
    <xf numFmtId="0" fontId="26" fillId="0" borderId="0" xfId="0" applyFont="1" applyAlignment="1">
      <alignment horizontal="center" vertical="center" wrapText="1"/>
    </xf>
    <xf numFmtId="9" fontId="26" fillId="0" borderId="0" xfId="20" applyFont="1" applyAlignment="1">
      <alignment horizontal="center" vertical="center" wrapText="1"/>
    </xf>
    <xf numFmtId="0" fontId="27" fillId="0" borderId="0" xfId="0" applyFont="1" applyAlignment="1">
      <alignment horizontal="center" vertical="center"/>
    </xf>
    <xf numFmtId="2" fontId="24" fillId="0" borderId="0" xfId="0" applyNumberFormat="1" applyFont="1" applyAlignment="1">
      <alignment horizontal="center"/>
    </xf>
    <xf numFmtId="165" fontId="24" fillId="0" borderId="0" xfId="0" applyNumberFormat="1" applyFont="1" applyAlignment="1">
      <alignment horizontal="center"/>
    </xf>
    <xf numFmtId="0" fontId="24" fillId="0" borderId="0" xfId="0" applyFont="1" applyAlignment="1">
      <alignment horizontal="center" vertical="top" wrapText="1"/>
    </xf>
    <xf numFmtId="0" fontId="24" fillId="0" borderId="0" xfId="0" applyFont="1" applyAlignment="1">
      <alignment vertical="top" wrapText="1"/>
    </xf>
    <xf numFmtId="0" fontId="28" fillId="0" borderId="0" xfId="0" applyFont="1" applyAlignment="1">
      <alignment wrapText="1"/>
    </xf>
    <xf numFmtId="9" fontId="7" fillId="0" borderId="0" xfId="20" applyFont="1" applyAlignment="1">
      <alignment vertical="center"/>
    </xf>
    <xf numFmtId="0" fontId="28" fillId="0" borderId="0" xfId="0" applyFont="1" applyAlignment="1">
      <alignment horizontal="left" vertical="center" wrapText="1"/>
    </xf>
    <xf numFmtId="0" fontId="11" fillId="5" borderId="0" xfId="0" applyFont="1" applyFill="1" applyAlignment="1">
      <alignment horizontal="left" vertical="center" indent="1"/>
    </xf>
    <xf numFmtId="0" fontId="0" fillId="0" borderId="11" xfId="0" applyBorder="1" applyAlignment="1" applyProtection="1">
      <alignment vertical="center"/>
      <protection hidden="1"/>
    </xf>
    <xf numFmtId="0" fontId="31" fillId="5" borderId="0" xfId="0" applyFont="1" applyFill="1" applyProtection="1">
      <protection hidden="1"/>
    </xf>
    <xf numFmtId="0" fontId="31" fillId="5" borderId="0" xfId="0" applyFont="1" applyFill="1" applyAlignment="1" applyProtection="1">
      <alignment horizontal="left" wrapText="1"/>
      <protection hidden="1"/>
    </xf>
    <xf numFmtId="173" fontId="33" fillId="6" borderId="1" xfId="0" applyNumberFormat="1" applyFont="1" applyFill="1" applyBorder="1" applyAlignment="1" applyProtection="1">
      <alignment horizontal="center" vertical="center"/>
      <protection locked="0" hidden="1"/>
    </xf>
    <xf numFmtId="0" fontId="34" fillId="6" borderId="1" xfId="0" quotePrefix="1" applyFont="1" applyFill="1" applyBorder="1" applyAlignment="1" applyProtection="1">
      <alignment horizontal="center" vertical="center"/>
      <protection locked="0" hidden="1"/>
    </xf>
    <xf numFmtId="18" fontId="33" fillId="6" borderId="1" xfId="0" applyNumberFormat="1" applyFont="1" applyFill="1" applyBorder="1" applyAlignment="1" applyProtection="1">
      <alignment horizontal="center" vertical="center"/>
      <protection locked="0" hidden="1"/>
    </xf>
    <xf numFmtId="171" fontId="11" fillId="5" borderId="0" xfId="0" applyNumberFormat="1" applyFont="1" applyFill="1" applyAlignment="1" applyProtection="1">
      <alignment horizontal="center"/>
      <protection hidden="1"/>
    </xf>
    <xf numFmtId="0" fontId="11" fillId="5" borderId="0" xfId="0" applyFont="1" applyFill="1" applyAlignment="1" applyProtection="1">
      <alignment horizontal="left" vertical="center" indent="1"/>
      <protection hidden="1"/>
    </xf>
    <xf numFmtId="171" fontId="13" fillId="5" borderId="0" xfId="0" applyNumberFormat="1" applyFont="1" applyFill="1" applyAlignment="1" applyProtection="1">
      <alignment horizontal="center"/>
      <protection hidden="1"/>
    </xf>
    <xf numFmtId="0" fontId="13" fillId="5" borderId="0" xfId="0" applyFont="1" applyFill="1" applyProtection="1">
      <protection hidden="1"/>
    </xf>
    <xf numFmtId="0" fontId="11" fillId="5" borderId="0" xfId="0" applyFont="1" applyFill="1" applyAlignment="1" applyProtection="1">
      <alignment horizontal="center"/>
      <protection hidden="1"/>
    </xf>
    <xf numFmtId="171" fontId="11" fillId="0" borderId="0" xfId="0" applyNumberFormat="1" applyFont="1" applyAlignment="1" applyProtection="1">
      <alignment horizontal="center"/>
      <protection hidden="1"/>
    </xf>
    <xf numFmtId="0" fontId="11" fillId="5" borderId="0" xfId="0" applyFont="1" applyFill="1" applyProtection="1">
      <protection hidden="1"/>
    </xf>
    <xf numFmtId="171" fontId="11" fillId="0" borderId="0" xfId="0" applyNumberFormat="1" applyFont="1" applyBorder="1" applyAlignment="1" applyProtection="1">
      <alignment horizontal="center"/>
      <protection hidden="1"/>
    </xf>
    <xf numFmtId="0" fontId="33" fillId="0" borderId="0" xfId="0" applyFont="1" applyBorder="1" applyAlignment="1" applyProtection="1">
      <alignment horizontal="left" vertical="center" indent="3"/>
      <protection hidden="1"/>
    </xf>
    <xf numFmtId="0" fontId="33" fillId="0" borderId="24" xfId="0" applyFont="1" applyBorder="1" applyAlignment="1" applyProtection="1">
      <alignment horizontal="left" vertical="center" indent="3"/>
      <protection hidden="1"/>
    </xf>
    <xf numFmtId="18" fontId="33" fillId="0" borderId="1" xfId="0" applyNumberFormat="1" applyFont="1" applyFill="1" applyBorder="1" applyAlignment="1" applyProtection="1">
      <alignment horizontal="center" vertical="center"/>
      <protection hidden="1"/>
    </xf>
    <xf numFmtId="2" fontId="33" fillId="0" borderId="1" xfId="0" applyNumberFormat="1" applyFont="1" applyFill="1" applyBorder="1" applyAlignment="1" applyProtection="1">
      <alignment horizontal="center" vertical="center"/>
      <protection hidden="1"/>
    </xf>
    <xf numFmtId="4" fontId="33" fillId="0" borderId="1" xfId="0" applyNumberFormat="1" applyFont="1" applyFill="1" applyBorder="1" applyAlignment="1" applyProtection="1">
      <alignment horizontal="center" vertical="center"/>
      <protection hidden="1"/>
    </xf>
    <xf numFmtId="0" fontId="18" fillId="5" borderId="0" xfId="13" applyFont="1" applyFill="1" applyProtection="1">
      <protection hidden="1"/>
    </xf>
    <xf numFmtId="0" fontId="29" fillId="5" borderId="0" xfId="0" applyFont="1" applyFill="1" applyAlignment="1" applyProtection="1">
      <alignment horizontal="center" vertical="center"/>
      <protection hidden="1"/>
    </xf>
    <xf numFmtId="0" fontId="13" fillId="7" borderId="12" xfId="0" applyFont="1" applyFill="1" applyBorder="1" applyAlignment="1" applyProtection="1">
      <alignment horizontal="left" vertical="center"/>
      <protection hidden="1"/>
    </xf>
    <xf numFmtId="0" fontId="13" fillId="7" borderId="29" xfId="0" applyFont="1" applyFill="1" applyBorder="1" applyAlignment="1" applyProtection="1">
      <alignment horizontal="left" vertical="center"/>
      <protection hidden="1"/>
    </xf>
    <xf numFmtId="0" fontId="13" fillId="0" borderId="13" xfId="0" applyFont="1" applyFill="1" applyBorder="1" applyAlignment="1" applyProtection="1">
      <alignment vertical="center"/>
      <protection hidden="1"/>
    </xf>
    <xf numFmtId="0" fontId="11" fillId="5" borderId="0" xfId="0" applyFont="1" applyFill="1" applyAlignment="1" applyProtection="1">
      <alignment vertical="center"/>
      <protection hidden="1"/>
    </xf>
    <xf numFmtId="0" fontId="11" fillId="5" borderId="13" xfId="0" applyFont="1" applyFill="1" applyBorder="1" applyAlignment="1" applyProtection="1">
      <alignment vertical="center"/>
      <protection hidden="1"/>
    </xf>
    <xf numFmtId="4" fontId="11" fillId="5" borderId="13" xfId="0" applyNumberFormat="1" applyFont="1" applyFill="1" applyBorder="1" applyAlignment="1" applyProtection="1">
      <alignment vertical="center"/>
      <protection hidden="1"/>
    </xf>
    <xf numFmtId="39" fontId="11" fillId="5" borderId="13" xfId="0" applyNumberFormat="1" applyFont="1" applyFill="1" applyBorder="1" applyAlignment="1" applyProtection="1">
      <alignment vertical="center"/>
      <protection hidden="1"/>
    </xf>
    <xf numFmtId="39" fontId="11" fillId="5" borderId="13" xfId="0" applyNumberFormat="1" applyFont="1" applyFill="1" applyBorder="1" applyAlignment="1" applyProtection="1">
      <alignment vertical="center" wrapText="1"/>
      <protection hidden="1"/>
    </xf>
    <xf numFmtId="0" fontId="11" fillId="5" borderId="0" xfId="0" applyFont="1" applyFill="1" applyBorder="1" applyProtection="1">
      <protection hidden="1"/>
    </xf>
    <xf numFmtId="39" fontId="11" fillId="5" borderId="0" xfId="0" applyNumberFormat="1" applyFont="1" applyFill="1" applyProtection="1">
      <protection hidden="1"/>
    </xf>
    <xf numFmtId="0" fontId="20" fillId="5" borderId="0" xfId="0" applyFont="1" applyFill="1" applyAlignment="1" applyProtection="1">
      <alignment horizontal="center"/>
      <protection hidden="1"/>
    </xf>
    <xf numFmtId="0" fontId="32" fillId="5" borderId="0" xfId="0" applyFont="1" applyFill="1" applyAlignment="1" applyProtection="1">
      <alignment horizontal="center"/>
      <protection hidden="1"/>
    </xf>
    <xf numFmtId="0" fontId="20" fillId="5" borderId="0" xfId="0" applyFont="1" applyFill="1" applyProtection="1">
      <protection hidden="1"/>
    </xf>
    <xf numFmtId="43" fontId="11" fillId="5" borderId="0" xfId="1" applyFont="1" applyFill="1" applyBorder="1" applyProtection="1">
      <protection hidden="1"/>
    </xf>
    <xf numFmtId="39" fontId="11" fillId="5" borderId="0" xfId="0" applyNumberFormat="1" applyFont="1" applyFill="1" applyBorder="1" applyProtection="1">
      <protection hidden="1"/>
    </xf>
    <xf numFmtId="39" fontId="21" fillId="5" borderId="0" xfId="0" applyNumberFormat="1" applyFont="1" applyFill="1" applyAlignment="1" applyProtection="1">
      <alignment horizontal="center"/>
      <protection hidden="1"/>
    </xf>
    <xf numFmtId="39" fontId="18" fillId="5" borderId="0" xfId="0" applyNumberFormat="1" applyFont="1" applyFill="1" applyAlignment="1" applyProtection="1">
      <alignment horizontal="center"/>
      <protection hidden="1"/>
    </xf>
    <xf numFmtId="0" fontId="21" fillId="5" borderId="0" xfId="0" applyFont="1" applyFill="1" applyProtection="1">
      <protection hidden="1"/>
    </xf>
    <xf numFmtId="39" fontId="20" fillId="5" borderId="0" xfId="0" applyNumberFormat="1" applyFont="1" applyFill="1" applyAlignment="1" applyProtection="1">
      <alignment horizontal="center"/>
      <protection hidden="1"/>
    </xf>
    <xf numFmtId="39" fontId="32" fillId="5" borderId="0" xfId="0" applyNumberFormat="1" applyFont="1" applyFill="1" applyAlignment="1" applyProtection="1">
      <alignment horizontal="center"/>
      <protection hidden="1"/>
    </xf>
    <xf numFmtId="0" fontId="32" fillId="5" borderId="0" xfId="0" applyFont="1" applyFill="1" applyProtection="1">
      <protection hidden="1"/>
    </xf>
    <xf numFmtId="43" fontId="13" fillId="5" borderId="0" xfId="1" applyFont="1" applyFill="1" applyBorder="1" applyProtection="1">
      <protection hidden="1"/>
    </xf>
    <xf numFmtId="0" fontId="11" fillId="5" borderId="0" xfId="0" applyFont="1" applyFill="1" applyAlignment="1" applyProtection="1">
      <alignment horizontal="left" indent="1"/>
      <protection hidden="1"/>
    </xf>
    <xf numFmtId="43" fontId="11" fillId="5" borderId="2" xfId="1" applyFont="1" applyFill="1" applyBorder="1" applyProtection="1">
      <protection hidden="1"/>
    </xf>
    <xf numFmtId="0" fontId="13" fillId="5" borderId="0" xfId="0" applyFont="1" applyFill="1" applyAlignment="1" applyProtection="1">
      <alignment horizontal="left"/>
      <protection hidden="1"/>
    </xf>
    <xf numFmtId="0" fontId="13" fillId="5" borderId="0" xfId="0" applyFont="1" applyFill="1" applyAlignment="1" applyProtection="1">
      <alignment horizontal="left" indent="1"/>
      <protection hidden="1"/>
    </xf>
    <xf numFmtId="9" fontId="13" fillId="5" borderId="0" xfId="0" applyNumberFormat="1" applyFont="1" applyFill="1" applyAlignment="1" applyProtection="1">
      <alignment horizontal="center"/>
      <protection hidden="1"/>
    </xf>
    <xf numFmtId="39" fontId="13" fillId="5" borderId="0" xfId="0" applyNumberFormat="1" applyFont="1" applyFill="1" applyProtection="1">
      <protection hidden="1"/>
    </xf>
    <xf numFmtId="39" fontId="13" fillId="5" borderId="6" xfId="0" applyNumberFormat="1" applyFont="1" applyFill="1" applyBorder="1" applyProtection="1">
      <protection hidden="1"/>
    </xf>
    <xf numFmtId="0" fontId="11" fillId="7" borderId="1" xfId="0" applyFont="1" applyFill="1" applyBorder="1" applyAlignment="1" applyProtection="1">
      <alignment horizontal="center" vertical="center"/>
      <protection hidden="1"/>
    </xf>
    <xf numFmtId="0" fontId="13" fillId="7" borderId="1" xfId="0" applyFont="1" applyFill="1" applyBorder="1" applyAlignment="1" applyProtection="1">
      <alignment horizontal="center" vertical="center"/>
      <protection hidden="1"/>
    </xf>
    <xf numFmtId="43" fontId="11" fillId="5" borderId="0" xfId="0" applyNumberFormat="1" applyFont="1" applyFill="1" applyBorder="1" applyAlignment="1" applyProtection="1">
      <alignment vertical="center"/>
      <protection hidden="1"/>
    </xf>
    <xf numFmtId="0" fontId="13" fillId="0" borderId="1" xfId="0" applyFont="1" applyFill="1" applyBorder="1" applyAlignment="1" applyProtection="1">
      <alignment vertical="center"/>
      <protection hidden="1"/>
    </xf>
    <xf numFmtId="0" fontId="13" fillId="0" borderId="1" xfId="0" applyFont="1" applyFill="1" applyBorder="1" applyAlignment="1" applyProtection="1">
      <alignment horizontal="center" vertical="center"/>
      <protection hidden="1"/>
    </xf>
    <xf numFmtId="39" fontId="13" fillId="0" borderId="1" xfId="0" applyNumberFormat="1" applyFont="1" applyFill="1" applyBorder="1" applyAlignment="1" applyProtection="1">
      <alignment horizontal="right" vertical="center"/>
      <protection hidden="1"/>
    </xf>
    <xf numFmtId="0" fontId="11" fillId="5" borderId="1" xfId="0" applyFont="1" applyFill="1" applyBorder="1" applyAlignment="1" applyProtection="1">
      <alignment horizontal="center" vertical="center"/>
      <protection hidden="1"/>
    </xf>
    <xf numFmtId="169" fontId="11" fillId="5" borderId="1" xfId="0" applyNumberFormat="1" applyFont="1" applyFill="1" applyBorder="1" applyAlignment="1" applyProtection="1">
      <alignment horizontal="center" vertical="center"/>
      <protection hidden="1"/>
    </xf>
    <xf numFmtId="43" fontId="11" fillId="5" borderId="1" xfId="1" applyFont="1" applyFill="1" applyBorder="1" applyAlignment="1" applyProtection="1">
      <alignment vertical="center"/>
      <protection hidden="1"/>
    </xf>
    <xf numFmtId="43" fontId="13" fillId="5" borderId="1" xfId="1" applyFont="1" applyFill="1" applyBorder="1" applyAlignment="1" applyProtection="1">
      <alignment vertical="center"/>
      <protection hidden="1"/>
    </xf>
    <xf numFmtId="43" fontId="11" fillId="5" borderId="1" xfId="0" applyNumberFormat="1" applyFont="1" applyFill="1" applyBorder="1" applyAlignment="1" applyProtection="1">
      <alignment vertical="center"/>
      <protection hidden="1"/>
    </xf>
    <xf numFmtId="43" fontId="11" fillId="5" borderId="0" xfId="1" applyFont="1" applyFill="1" applyBorder="1" applyAlignment="1" applyProtection="1">
      <alignment vertical="center"/>
      <protection hidden="1"/>
    </xf>
    <xf numFmtId="9" fontId="11" fillId="5" borderId="1" xfId="0" applyNumberFormat="1" applyFont="1" applyFill="1" applyBorder="1" applyAlignment="1" applyProtection="1">
      <alignment horizontal="center" vertical="center"/>
      <protection hidden="1"/>
    </xf>
    <xf numFmtId="43" fontId="13" fillId="7" borderId="1" xfId="1" applyFont="1" applyFill="1" applyBorder="1" applyAlignment="1" applyProtection="1">
      <alignment vertical="center"/>
      <protection hidden="1"/>
    </xf>
    <xf numFmtId="0" fontId="11" fillId="7" borderId="1" xfId="0" applyFont="1" applyFill="1" applyBorder="1" applyAlignment="1" applyProtection="1">
      <alignment vertical="center"/>
      <protection hidden="1"/>
    </xf>
    <xf numFmtId="0" fontId="11" fillId="5" borderId="0" xfId="0" applyFont="1" applyFill="1" applyBorder="1" applyAlignment="1" applyProtection="1">
      <alignment vertical="center"/>
      <protection hidden="1"/>
    </xf>
    <xf numFmtId="170" fontId="11" fillId="5" borderId="0" xfId="0" applyNumberFormat="1" applyFont="1" applyFill="1" applyAlignment="1" applyProtection="1">
      <alignment horizontal="center"/>
      <protection hidden="1"/>
    </xf>
    <xf numFmtId="0" fontId="13" fillId="5" borderId="0" xfId="0" applyFont="1" applyFill="1" applyAlignment="1" applyProtection="1">
      <alignment horizontal="center"/>
      <protection hidden="1"/>
    </xf>
    <xf numFmtId="43" fontId="13" fillId="5" borderId="0" xfId="1" applyFont="1" applyFill="1" applyProtection="1">
      <protection hidden="1"/>
    </xf>
    <xf numFmtId="0" fontId="11" fillId="5" borderId="2" xfId="0" applyFont="1" applyFill="1" applyBorder="1" applyProtection="1">
      <protection hidden="1"/>
    </xf>
    <xf numFmtId="0" fontId="13" fillId="5" borderId="2" xfId="0" applyFont="1" applyFill="1" applyBorder="1" applyProtection="1">
      <protection hidden="1"/>
    </xf>
    <xf numFmtId="0" fontId="0" fillId="0" borderId="7" xfId="0" applyBorder="1" applyAlignment="1" applyProtection="1">
      <alignment vertical="center"/>
      <protection hidden="1"/>
    </xf>
    <xf numFmtId="0" fontId="0" fillId="0" borderId="8" xfId="0" applyBorder="1" applyAlignment="1" applyProtection="1">
      <alignment vertical="center"/>
      <protection hidden="1"/>
    </xf>
    <xf numFmtId="0" fontId="16" fillId="0" borderId="8" xfId="0" applyFont="1" applyBorder="1" applyAlignment="1" applyProtection="1">
      <alignment vertical="center"/>
      <protection hidden="1"/>
    </xf>
    <xf numFmtId="0" fontId="19" fillId="0" borderId="21" xfId="0" applyFont="1" applyBorder="1" applyAlignment="1" applyProtection="1">
      <alignment vertical="center"/>
      <protection hidden="1"/>
    </xf>
    <xf numFmtId="0" fontId="0" fillId="0" borderId="9" xfId="0" applyBorder="1" applyAlignment="1" applyProtection="1">
      <alignment vertical="center"/>
      <protection hidden="1"/>
    </xf>
    <xf numFmtId="0" fontId="0" fillId="0" borderId="0" xfId="0" applyBorder="1" applyAlignment="1" applyProtection="1">
      <alignment vertical="center"/>
      <protection hidden="1"/>
    </xf>
    <xf numFmtId="0" fontId="19" fillId="0" borderId="22" xfId="0" applyFont="1" applyBorder="1" applyAlignment="1" applyProtection="1">
      <alignment vertical="center"/>
      <protection hidden="1"/>
    </xf>
    <xf numFmtId="0" fontId="17" fillId="0" borderId="0" xfId="0" applyFont="1" applyAlignment="1" applyProtection="1">
      <alignment vertical="center"/>
      <protection hidden="1"/>
    </xf>
    <xf numFmtId="0" fontId="17" fillId="0" borderId="0" xfId="13" applyFont="1" applyAlignment="1" applyProtection="1">
      <alignment horizontal="center" vertical="center"/>
      <protection hidden="1"/>
    </xf>
    <xf numFmtId="0" fontId="16" fillId="0" borderId="0" xfId="13" applyFont="1" applyAlignment="1" applyProtection="1">
      <alignment horizontal="center" vertical="center"/>
      <protection hidden="1"/>
    </xf>
    <xf numFmtId="0" fontId="30" fillId="0" borderId="0" xfId="0" applyFont="1" applyAlignment="1" applyProtection="1">
      <alignment vertical="center"/>
      <protection hidden="1"/>
    </xf>
    <xf numFmtId="0" fontId="0" fillId="0" borderId="0" xfId="0" applyFont="1" applyProtection="1">
      <protection hidden="1"/>
    </xf>
    <xf numFmtId="0" fontId="0" fillId="0" borderId="0" xfId="0" applyFont="1" applyAlignment="1" applyProtection="1">
      <alignment vertical="center"/>
      <protection hidden="1"/>
    </xf>
    <xf numFmtId="39" fontId="11" fillId="5" borderId="0" xfId="0" applyNumberFormat="1" applyFont="1" applyFill="1" applyAlignment="1" applyProtection="1">
      <alignment horizontal="center"/>
      <protection hidden="1"/>
    </xf>
    <xf numFmtId="39" fontId="13" fillId="5" borderId="0" xfId="0" applyNumberFormat="1" applyFont="1" applyFill="1" applyAlignment="1" applyProtection="1">
      <alignment horizontal="center"/>
      <protection hidden="1"/>
    </xf>
    <xf numFmtId="43" fontId="11" fillId="5" borderId="0" xfId="0" applyNumberFormat="1" applyFont="1" applyFill="1" applyProtection="1">
      <protection hidden="1"/>
    </xf>
    <xf numFmtId="39" fontId="13" fillId="5" borderId="29" xfId="0" applyNumberFormat="1" applyFont="1" applyFill="1" applyBorder="1" applyProtection="1">
      <protection hidden="1"/>
    </xf>
    <xf numFmtId="39" fontId="13" fillId="5" borderId="0" xfId="0" applyNumberFormat="1" applyFont="1" applyFill="1" applyBorder="1" applyProtection="1">
      <protection hidden="1"/>
    </xf>
    <xf numFmtId="43" fontId="13" fillId="5" borderId="1" xfId="0" applyNumberFormat="1" applyFont="1" applyFill="1" applyBorder="1" applyAlignment="1" applyProtection="1">
      <alignment vertical="center"/>
      <protection hidden="1"/>
    </xf>
    <xf numFmtId="0" fontId="22" fillId="5" borderId="0" xfId="13" applyFont="1" applyFill="1" applyAlignment="1" applyProtection="1">
      <alignment vertical="center"/>
      <protection locked="0" hidden="1"/>
    </xf>
    <xf numFmtId="0" fontId="13" fillId="7" borderId="12" xfId="0" applyFont="1" applyFill="1" applyBorder="1" applyAlignment="1" applyProtection="1">
      <alignment horizontal="left"/>
      <protection hidden="1"/>
    </xf>
    <xf numFmtId="0" fontId="13" fillId="7" borderId="29" xfId="0" applyFont="1" applyFill="1" applyBorder="1" applyAlignment="1" applyProtection="1">
      <alignment horizontal="center"/>
      <protection hidden="1"/>
    </xf>
    <xf numFmtId="0" fontId="11" fillId="0" borderId="0" xfId="0" applyFont="1" applyBorder="1" applyProtection="1">
      <protection hidden="1"/>
    </xf>
    <xf numFmtId="0" fontId="13" fillId="0" borderId="0" xfId="0" applyFont="1" applyAlignment="1" applyProtection="1">
      <alignment horizontal="center"/>
      <protection hidden="1"/>
    </xf>
    <xf numFmtId="0" fontId="20" fillId="0" borderId="0" xfId="0" applyFont="1" applyAlignment="1" applyProtection="1">
      <alignment horizontal="center"/>
      <protection hidden="1"/>
    </xf>
    <xf numFmtId="0" fontId="11" fillId="5" borderId="0" xfId="0" applyFont="1" applyFill="1" applyAlignment="1" applyProtection="1">
      <alignment horizontal="center" vertical="center"/>
      <protection hidden="1"/>
    </xf>
    <xf numFmtId="39" fontId="13" fillId="0" borderId="29" xfId="0" applyNumberFormat="1" applyFont="1" applyBorder="1" applyProtection="1">
      <protection hidden="1"/>
    </xf>
    <xf numFmtId="39" fontId="13" fillId="5" borderId="2" xfId="0" applyNumberFormat="1" applyFont="1" applyFill="1" applyBorder="1" applyProtection="1">
      <protection hidden="1"/>
    </xf>
    <xf numFmtId="0" fontId="11" fillId="0" borderId="1" xfId="0" applyFont="1" applyBorder="1" applyAlignment="1" applyProtection="1">
      <alignment horizontal="center"/>
      <protection hidden="1"/>
    </xf>
    <xf numFmtId="169" fontId="11" fillId="0" borderId="1" xfId="0" applyNumberFormat="1" applyFont="1" applyBorder="1" applyAlignment="1" applyProtection="1">
      <alignment horizontal="center"/>
      <protection hidden="1"/>
    </xf>
    <xf numFmtId="43" fontId="11" fillId="0" borderId="1" xfId="1" applyFont="1" applyBorder="1" applyProtection="1">
      <protection hidden="1"/>
    </xf>
    <xf numFmtId="43" fontId="13" fillId="0" borderId="1" xfId="1" applyFont="1" applyBorder="1" applyProtection="1">
      <protection hidden="1"/>
    </xf>
    <xf numFmtId="43" fontId="11" fillId="0" borderId="1" xfId="0" applyNumberFormat="1" applyFont="1" applyBorder="1" applyProtection="1">
      <protection hidden="1"/>
    </xf>
    <xf numFmtId="9" fontId="11" fillId="0" borderId="1" xfId="0"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11" fillId="5" borderId="2" xfId="0" applyFont="1" applyFill="1" applyBorder="1" applyAlignment="1" applyProtection="1">
      <alignment horizontal="center"/>
      <protection hidden="1"/>
    </xf>
    <xf numFmtId="39" fontId="11" fillId="5" borderId="2" xfId="0" applyNumberFormat="1" applyFont="1" applyFill="1" applyBorder="1" applyProtection="1">
      <protection locked="0" hidden="1"/>
    </xf>
    <xf numFmtId="39" fontId="11" fillId="0" borderId="0" xfId="0" applyNumberFormat="1" applyFont="1" applyAlignment="1" applyProtection="1">
      <alignment horizontal="center"/>
      <protection hidden="1"/>
    </xf>
    <xf numFmtId="43" fontId="11" fillId="0" borderId="0" xfId="1" applyFont="1" applyProtection="1">
      <protection hidden="1"/>
    </xf>
    <xf numFmtId="0" fontId="11" fillId="0" borderId="0" xfId="0" applyFont="1" applyAlignment="1" applyProtection="1">
      <alignment horizontal="left" indent="1"/>
      <protection hidden="1"/>
    </xf>
    <xf numFmtId="43" fontId="13" fillId="7" borderId="1" xfId="1" applyFont="1" applyFill="1" applyBorder="1" applyProtection="1">
      <protection hidden="1"/>
    </xf>
    <xf numFmtId="0" fontId="11" fillId="7" borderId="1" xfId="0" applyFont="1" applyFill="1" applyBorder="1" applyProtection="1">
      <protection hidden="1"/>
    </xf>
    <xf numFmtId="0" fontId="13" fillId="7" borderId="29" xfId="0" applyFont="1" applyFill="1" applyBorder="1" applyAlignment="1" applyProtection="1">
      <alignment horizontal="center" vertical="center"/>
      <protection hidden="1"/>
    </xf>
    <xf numFmtId="0" fontId="11" fillId="0" borderId="13" xfId="0" applyFont="1" applyBorder="1" applyAlignment="1" applyProtection="1">
      <alignment horizontal="left"/>
      <protection hidden="1"/>
    </xf>
    <xf numFmtId="0" fontId="11" fillId="5" borderId="0" xfId="0" applyFont="1" applyFill="1" applyBorder="1" applyAlignment="1" applyProtection="1">
      <alignment horizontal="center"/>
      <protection hidden="1"/>
    </xf>
    <xf numFmtId="4" fontId="11" fillId="5" borderId="0" xfId="0" applyNumberFormat="1" applyFont="1" applyFill="1" applyBorder="1" applyAlignment="1" applyProtection="1">
      <alignment horizontal="center"/>
      <protection hidden="1"/>
    </xf>
    <xf numFmtId="0" fontId="11" fillId="0" borderId="14" xfId="0" applyFont="1" applyBorder="1" applyAlignment="1" applyProtection="1">
      <alignment horizontal="left"/>
      <protection hidden="1"/>
    </xf>
    <xf numFmtId="39" fontId="11" fillId="0" borderId="2" xfId="0" applyNumberFormat="1" applyFont="1" applyBorder="1" applyAlignment="1" applyProtection="1">
      <alignment horizontal="center"/>
      <protection hidden="1"/>
    </xf>
    <xf numFmtId="0" fontId="13" fillId="7" borderId="29" xfId="0" applyFont="1" applyFill="1" applyBorder="1" applyAlignment="1" applyProtection="1">
      <alignment horizontal="left"/>
      <protection hidden="1"/>
    </xf>
    <xf numFmtId="0" fontId="11" fillId="0" borderId="0" xfId="0" applyFont="1" applyBorder="1" applyAlignment="1" applyProtection="1">
      <alignment horizontal="left"/>
      <protection hidden="1"/>
    </xf>
    <xf numFmtId="0" fontId="11" fillId="0" borderId="2" xfId="0" applyFont="1" applyBorder="1" applyAlignment="1" applyProtection="1">
      <alignment horizontal="left"/>
      <protection hidden="1"/>
    </xf>
    <xf numFmtId="0" fontId="11" fillId="5" borderId="13" xfId="0" applyFont="1" applyFill="1" applyBorder="1" applyAlignment="1" applyProtection="1">
      <alignment horizontal="left"/>
      <protection hidden="1"/>
    </xf>
    <xf numFmtId="0" fontId="11" fillId="5" borderId="0" xfId="0" applyFont="1" applyFill="1" applyBorder="1" applyAlignment="1" applyProtection="1">
      <alignment horizontal="left"/>
      <protection hidden="1"/>
    </xf>
    <xf numFmtId="0" fontId="11" fillId="5" borderId="14" xfId="0" applyFont="1" applyFill="1" applyBorder="1" applyAlignment="1" applyProtection="1">
      <alignment horizontal="left" vertical="center"/>
      <protection hidden="1"/>
    </xf>
    <xf numFmtId="0" fontId="11" fillId="5" borderId="2" xfId="0" applyFont="1" applyFill="1" applyBorder="1" applyAlignment="1" applyProtection="1">
      <alignment horizontal="left" vertical="center"/>
      <protection hidden="1"/>
    </xf>
    <xf numFmtId="43" fontId="11" fillId="5" borderId="0" xfId="1" applyFont="1" applyFill="1" applyProtection="1">
      <protection hidden="1"/>
    </xf>
    <xf numFmtId="43" fontId="13" fillId="5" borderId="6" xfId="1" applyFont="1" applyFill="1" applyBorder="1" applyProtection="1">
      <protection hidden="1"/>
    </xf>
    <xf numFmtId="43" fontId="11" fillId="5" borderId="2" xfId="1" applyFont="1" applyFill="1" applyBorder="1" applyProtection="1">
      <protection locked="0" hidden="1"/>
    </xf>
    <xf numFmtId="0" fontId="11" fillId="5" borderId="14" xfId="0" applyFont="1" applyFill="1" applyBorder="1" applyAlignment="1" applyProtection="1">
      <alignment horizontal="left"/>
      <protection hidden="1"/>
    </xf>
    <xf numFmtId="0" fontId="11" fillId="5" borderId="2" xfId="0" applyFont="1" applyFill="1" applyBorder="1" applyAlignment="1" applyProtection="1">
      <alignment horizontal="left"/>
      <protection hidden="1"/>
    </xf>
    <xf numFmtId="0" fontId="32" fillId="0" borderId="0" xfId="0" applyFont="1" applyAlignment="1" applyProtection="1">
      <alignment horizontal="center"/>
      <protection hidden="1"/>
    </xf>
    <xf numFmtId="0" fontId="0" fillId="0" borderId="0" xfId="0" applyProtection="1">
      <protection hidden="1"/>
    </xf>
    <xf numFmtId="43" fontId="13" fillId="7" borderId="26" xfId="1" applyFont="1" applyFill="1" applyBorder="1" applyProtection="1">
      <protection hidden="1"/>
    </xf>
    <xf numFmtId="39" fontId="11" fillId="0" borderId="0" xfId="0" applyNumberFormat="1" applyFont="1" applyBorder="1" applyProtection="1">
      <protection hidden="1"/>
    </xf>
    <xf numFmtId="174" fontId="11" fillId="0" borderId="0" xfId="0" applyNumberFormat="1" applyFont="1" applyAlignment="1" applyProtection="1">
      <alignment horizontal="center"/>
      <protection hidden="1"/>
    </xf>
    <xf numFmtId="174" fontId="13" fillId="0" borderId="0" xfId="0" applyNumberFormat="1" applyFont="1" applyAlignment="1" applyProtection="1">
      <alignment horizontal="center"/>
      <protection hidden="1"/>
    </xf>
    <xf numFmtId="0" fontId="13" fillId="7" borderId="25" xfId="0" applyFont="1" applyFill="1" applyBorder="1" applyAlignment="1" applyProtection="1">
      <alignment horizontal="left"/>
      <protection hidden="1"/>
    </xf>
    <xf numFmtId="0" fontId="13" fillId="7" borderId="30" xfId="0" applyFont="1" applyFill="1" applyBorder="1" applyAlignment="1" applyProtection="1">
      <alignment horizontal="left"/>
      <protection hidden="1"/>
    </xf>
    <xf numFmtId="0" fontId="8" fillId="5" borderId="0" xfId="13" applyFont="1" applyFill="1" applyAlignment="1" applyProtection="1">
      <alignment horizontal="center" vertical="center"/>
      <protection hidden="1"/>
    </xf>
    <xf numFmtId="0" fontId="11" fillId="0" borderId="13" xfId="0" applyFont="1" applyBorder="1" applyAlignment="1" applyProtection="1">
      <alignment horizontal="left"/>
      <protection hidden="1"/>
    </xf>
    <xf numFmtId="0" fontId="11" fillId="0" borderId="0" xfId="0" applyFont="1" applyBorder="1" applyAlignment="1" applyProtection="1">
      <alignment horizontal="left"/>
      <protection hidden="1"/>
    </xf>
    <xf numFmtId="0" fontId="13" fillId="7" borderId="29" xfId="0" applyFont="1" applyFill="1" applyBorder="1" applyAlignment="1" applyProtection="1">
      <alignment horizontal="left"/>
      <protection hidden="1"/>
    </xf>
    <xf numFmtId="0" fontId="11" fillId="0" borderId="14" xfId="0" applyFont="1" applyBorder="1" applyAlignment="1" applyProtection="1">
      <alignment horizontal="left"/>
      <protection hidden="1"/>
    </xf>
    <xf numFmtId="0" fontId="11" fillId="0" borderId="2" xfId="0" applyFont="1" applyBorder="1" applyAlignment="1" applyProtection="1">
      <alignment horizontal="left"/>
      <protection hidden="1"/>
    </xf>
    <xf numFmtId="0" fontId="13" fillId="7" borderId="12" xfId="0" applyFont="1" applyFill="1" applyBorder="1" applyAlignment="1" applyProtection="1">
      <alignment horizontal="left"/>
      <protection hidden="1"/>
    </xf>
    <xf numFmtId="0" fontId="13" fillId="7" borderId="1" xfId="0" applyFont="1" applyFill="1" applyBorder="1" applyAlignment="1" applyProtection="1">
      <alignment horizontal="right" indent="2"/>
      <protection hidden="1"/>
    </xf>
    <xf numFmtId="171" fontId="11" fillId="5" borderId="0" xfId="0" applyNumberFormat="1" applyFont="1" applyFill="1" applyAlignment="1" applyProtection="1">
      <alignment horizontal="center"/>
      <protection locked="0" hidden="1"/>
    </xf>
    <xf numFmtId="171" fontId="11" fillId="0" borderId="0" xfId="0" applyNumberFormat="1" applyFont="1" applyBorder="1" applyAlignment="1" applyProtection="1">
      <alignment horizontal="center"/>
      <protection locked="0" hidden="1"/>
    </xf>
    <xf numFmtId="0" fontId="11" fillId="0" borderId="13" xfId="0" applyFont="1" applyBorder="1" applyAlignment="1" applyProtection="1">
      <alignment horizontal="left"/>
      <protection hidden="1"/>
    </xf>
    <xf numFmtId="0" fontId="11" fillId="0" borderId="0" xfId="0" applyFont="1" applyBorder="1" applyAlignment="1" applyProtection="1">
      <alignment horizontal="left"/>
      <protection hidden="1"/>
    </xf>
    <xf numFmtId="0" fontId="13" fillId="7" borderId="29" xfId="0" applyFont="1" applyFill="1" applyBorder="1" applyAlignment="1" applyProtection="1">
      <alignment horizontal="left"/>
      <protection hidden="1"/>
    </xf>
    <xf numFmtId="0" fontId="11" fillId="0" borderId="14" xfId="0" applyFont="1" applyBorder="1" applyAlignment="1" applyProtection="1">
      <alignment horizontal="left"/>
      <protection hidden="1"/>
    </xf>
    <xf numFmtId="0" fontId="11" fillId="0" borderId="2" xfId="0" applyFont="1" applyBorder="1" applyAlignment="1" applyProtection="1">
      <alignment horizontal="left"/>
      <protection hidden="1"/>
    </xf>
    <xf numFmtId="0" fontId="13" fillId="7" borderId="12" xfId="0" applyFont="1" applyFill="1" applyBorder="1" applyAlignment="1" applyProtection="1">
      <alignment horizontal="left"/>
      <protection hidden="1"/>
    </xf>
    <xf numFmtId="0" fontId="13" fillId="7" borderId="1" xfId="0" applyFont="1" applyFill="1" applyBorder="1" applyAlignment="1" applyProtection="1">
      <alignment horizontal="right" indent="2"/>
      <protection hidden="1"/>
    </xf>
    <xf numFmtId="0" fontId="13" fillId="7" borderId="30" xfId="0" applyFont="1" applyFill="1" applyBorder="1" applyAlignment="1" applyProtection="1">
      <alignment horizontal="left"/>
      <protection hidden="1"/>
    </xf>
    <xf numFmtId="0" fontId="37" fillId="0" borderId="0" xfId="0" applyFont="1" applyAlignment="1">
      <alignment horizontal="left"/>
    </xf>
    <xf numFmtId="0" fontId="38" fillId="0" borderId="0" xfId="0" applyFont="1" applyAlignment="1">
      <alignment horizontal="center"/>
    </xf>
    <xf numFmtId="9" fontId="38" fillId="0" borderId="0" xfId="20" applyFont="1" applyAlignment="1">
      <alignment horizontal="center" vertical="center"/>
    </xf>
    <xf numFmtId="0" fontId="38" fillId="0" borderId="0" xfId="0" applyFont="1"/>
    <xf numFmtId="0" fontId="8" fillId="0" borderId="0" xfId="0" applyFont="1"/>
    <xf numFmtId="0" fontId="38" fillId="0" borderId="0" xfId="0" applyFont="1" applyAlignment="1">
      <alignment horizontal="left"/>
    </xf>
    <xf numFmtId="0" fontId="39" fillId="0" borderId="0" xfId="0" applyFont="1" applyAlignment="1">
      <alignment horizontal="right"/>
    </xf>
    <xf numFmtId="9" fontId="39" fillId="0" borderId="0" xfId="20" applyFont="1" applyAlignment="1">
      <alignment horizontal="right" vertical="center"/>
    </xf>
    <xf numFmtId="0" fontId="40" fillId="0" borderId="0" xfId="0" applyFont="1" applyAlignment="1">
      <alignment horizontal="center" vertical="center"/>
    </xf>
    <xf numFmtId="0" fontId="40" fillId="0" borderId="0" xfId="0" applyFont="1" applyAlignment="1">
      <alignment horizontal="center" vertical="center" wrapText="1"/>
    </xf>
    <xf numFmtId="9" fontId="40" fillId="0" borderId="0" xfId="20" applyFont="1" applyAlignment="1">
      <alignment horizontal="center" vertical="center" wrapText="1"/>
    </xf>
    <xf numFmtId="0" fontId="41" fillId="0" borderId="0" xfId="0" applyFont="1" applyAlignment="1">
      <alignment horizontal="center" vertical="center"/>
    </xf>
    <xf numFmtId="2" fontId="38" fillId="0" borderId="0" xfId="0" applyNumberFormat="1" applyFont="1" applyAlignment="1">
      <alignment horizontal="center"/>
    </xf>
    <xf numFmtId="165" fontId="38" fillId="0" borderId="0" xfId="0" applyNumberFormat="1" applyFont="1" applyAlignment="1">
      <alignment horizontal="center"/>
    </xf>
    <xf numFmtId="43" fontId="38" fillId="0" borderId="0" xfId="20" applyNumberFormat="1" applyFont="1" applyAlignment="1">
      <alignment horizontal="center" vertical="center"/>
    </xf>
    <xf numFmtId="165" fontId="38" fillId="0" borderId="0" xfId="0" applyNumberFormat="1" applyFont="1"/>
    <xf numFmtId="43" fontId="38" fillId="0" borderId="0" xfId="1" applyFont="1" applyAlignment="1">
      <alignment horizontal="center" vertical="center"/>
    </xf>
    <xf numFmtId="0" fontId="41" fillId="0" borderId="0" xfId="0" applyFont="1" applyAlignment="1">
      <alignment horizontal="center" vertical="top" wrapText="1"/>
    </xf>
    <xf numFmtId="0" fontId="42" fillId="0" borderId="0" xfId="0" applyFont="1" applyAlignment="1">
      <alignment horizontal="left" vertical="center" wrapText="1"/>
    </xf>
    <xf numFmtId="0" fontId="42" fillId="0" borderId="0" xfId="0" applyFont="1" applyAlignment="1">
      <alignment wrapText="1"/>
    </xf>
    <xf numFmtId="9" fontId="8" fillId="0" borderId="0" xfId="20" applyFont="1" applyAlignment="1">
      <alignment vertical="center"/>
    </xf>
    <xf numFmtId="0" fontId="36" fillId="9" borderId="36" xfId="13" applyFont="1" applyFill="1" applyBorder="1" applyAlignment="1" applyProtection="1">
      <alignment horizontal="center" vertical="center" wrapText="1"/>
      <protection locked="0" hidden="1"/>
    </xf>
    <xf numFmtId="0" fontId="36" fillId="9" borderId="37" xfId="13" applyFont="1" applyFill="1" applyBorder="1" applyAlignment="1" applyProtection="1">
      <alignment horizontal="center" vertical="center" wrapText="1"/>
      <protection locked="0" hidden="1"/>
    </xf>
    <xf numFmtId="0" fontId="36" fillId="10" borderId="36" xfId="13" applyFont="1" applyFill="1" applyBorder="1" applyAlignment="1" applyProtection="1">
      <alignment horizontal="center" vertical="center" wrapText="1"/>
      <protection locked="0" hidden="1"/>
    </xf>
    <xf numFmtId="0" fontId="36" fillId="10" borderId="37" xfId="13" applyFont="1" applyFill="1" applyBorder="1" applyAlignment="1" applyProtection="1">
      <alignment horizontal="center" vertical="center" wrapText="1"/>
      <protection locked="0" hidden="1"/>
    </xf>
    <xf numFmtId="0" fontId="9" fillId="9" borderId="34" xfId="13" applyFill="1" applyBorder="1" applyAlignment="1" applyProtection="1">
      <alignment horizontal="center" vertical="center" wrapText="1"/>
      <protection locked="0" hidden="1"/>
    </xf>
    <xf numFmtId="0" fontId="9" fillId="9" borderId="35" xfId="13" applyFill="1" applyBorder="1" applyAlignment="1" applyProtection="1">
      <alignment horizontal="center" vertical="center" wrapText="1"/>
      <protection locked="0" hidden="1"/>
    </xf>
    <xf numFmtId="0" fontId="36" fillId="10" borderId="34" xfId="13" applyFont="1" applyFill="1" applyBorder="1" applyAlignment="1" applyProtection="1">
      <alignment horizontal="center" vertical="center" wrapText="1"/>
      <protection locked="0" hidden="1"/>
    </xf>
    <xf numFmtId="0" fontId="36" fillId="10" borderId="35" xfId="13" applyFont="1" applyFill="1" applyBorder="1" applyAlignment="1" applyProtection="1">
      <alignment horizontal="center" vertical="center" wrapText="1"/>
      <protection locked="0" hidden="1"/>
    </xf>
    <xf numFmtId="0" fontId="31" fillId="5" borderId="0" xfId="0" applyFont="1" applyFill="1" applyAlignment="1" applyProtection="1">
      <alignment vertical="center" wrapText="1"/>
      <protection hidden="1"/>
    </xf>
    <xf numFmtId="0" fontId="34" fillId="10" borderId="32" xfId="0" applyFont="1" applyFill="1" applyBorder="1" applyAlignment="1" applyProtection="1">
      <alignment horizontal="center" vertical="center" wrapText="1"/>
      <protection hidden="1"/>
    </xf>
    <xf numFmtId="0" fontId="34" fillId="10" borderId="33" xfId="0" applyFont="1" applyFill="1" applyBorder="1" applyAlignment="1" applyProtection="1">
      <alignment horizontal="center" vertical="center" wrapText="1"/>
      <protection hidden="1"/>
    </xf>
    <xf numFmtId="0" fontId="36" fillId="10" borderId="9" xfId="13" applyFont="1" applyFill="1" applyBorder="1" applyAlignment="1" applyProtection="1">
      <alignment horizontal="center" vertical="center" wrapText="1"/>
      <protection locked="0" hidden="1"/>
    </xf>
    <xf numFmtId="0" fontId="36" fillId="10" borderId="22" xfId="13" applyFont="1" applyFill="1" applyBorder="1" applyAlignment="1" applyProtection="1">
      <alignment horizontal="center" vertical="center" wrapText="1"/>
      <protection locked="0" hidden="1"/>
    </xf>
    <xf numFmtId="0" fontId="35" fillId="8" borderId="31" xfId="0" applyFont="1" applyFill="1" applyBorder="1" applyAlignment="1" applyProtection="1">
      <alignment horizontal="center" vertical="center" wrapText="1"/>
      <protection hidden="1"/>
    </xf>
    <xf numFmtId="0" fontId="35" fillId="8" borderId="15" xfId="0" applyFont="1" applyFill="1" applyBorder="1" applyAlignment="1" applyProtection="1">
      <alignment horizontal="center" vertical="center"/>
      <protection hidden="1"/>
    </xf>
    <xf numFmtId="0" fontId="34" fillId="9" borderId="32" xfId="0" applyFont="1" applyFill="1" applyBorder="1" applyAlignment="1" applyProtection="1">
      <alignment horizontal="center" vertical="center" wrapText="1"/>
      <protection hidden="1"/>
    </xf>
    <xf numFmtId="0" fontId="34" fillId="9" borderId="33" xfId="0" applyFont="1" applyFill="1" applyBorder="1" applyAlignment="1" applyProtection="1">
      <alignment horizontal="center" vertical="center" wrapText="1"/>
      <protection hidden="1"/>
    </xf>
    <xf numFmtId="0" fontId="36" fillId="9" borderId="9" xfId="13" applyFont="1" applyFill="1" applyBorder="1" applyAlignment="1" applyProtection="1">
      <alignment horizontal="center" vertical="center" wrapText="1"/>
      <protection locked="0" hidden="1"/>
    </xf>
    <xf numFmtId="0" fontId="36" fillId="9" borderId="22" xfId="13" applyFont="1" applyFill="1" applyBorder="1" applyAlignment="1" applyProtection="1">
      <alignment horizontal="center" vertical="center" wrapText="1"/>
      <protection locked="0" hidden="1"/>
    </xf>
    <xf numFmtId="0" fontId="27" fillId="0" borderId="0" xfId="0" applyFont="1" applyAlignment="1">
      <alignment horizontal="center" vertical="top" wrapText="1"/>
    </xf>
    <xf numFmtId="0" fontId="24" fillId="0" borderId="0" xfId="0" applyFont="1" applyAlignment="1">
      <alignment horizontal="center" vertical="center" wrapText="1"/>
    </xf>
    <xf numFmtId="0" fontId="24" fillId="0" borderId="0" xfId="0" applyFont="1" applyAlignment="1">
      <alignment horizontal="center" vertical="top" wrapText="1"/>
    </xf>
    <xf numFmtId="0" fontId="0" fillId="0" borderId="0" xfId="0" applyFont="1" applyAlignment="1">
      <alignment horizontal="center" vertical="center"/>
    </xf>
    <xf numFmtId="0" fontId="38" fillId="0" borderId="0" xfId="0" applyFont="1" applyAlignment="1">
      <alignment horizontal="center" vertical="top" wrapText="1"/>
    </xf>
    <xf numFmtId="39" fontId="11" fillId="0" borderId="2" xfId="0" applyNumberFormat="1" applyFont="1" applyBorder="1" applyAlignment="1" applyProtection="1">
      <alignment horizontal="left"/>
      <protection locked="0" hidden="1"/>
    </xf>
    <xf numFmtId="39" fontId="11" fillId="0" borderId="28" xfId="0" applyNumberFormat="1" applyFont="1" applyBorder="1" applyAlignment="1" applyProtection="1">
      <alignment horizontal="left"/>
      <protection locked="0" hidden="1"/>
    </xf>
    <xf numFmtId="0" fontId="29" fillId="0" borderId="0" xfId="0" applyFont="1" applyAlignment="1" applyProtection="1">
      <alignment horizontal="center" vertical="center"/>
      <protection locked="0" hidden="1"/>
    </xf>
    <xf numFmtId="0" fontId="13" fillId="4" borderId="29" xfId="0" applyFont="1" applyFill="1" applyBorder="1" applyAlignment="1" applyProtection="1">
      <alignment horizontal="left"/>
      <protection locked="0" hidden="1"/>
    </xf>
    <xf numFmtId="0" fontId="13" fillId="4" borderId="27" xfId="0" applyFont="1" applyFill="1" applyBorder="1" applyAlignment="1" applyProtection="1">
      <alignment horizontal="left"/>
      <protection locked="0" hidden="1"/>
    </xf>
    <xf numFmtId="0" fontId="11" fillId="0" borderId="0" xfId="0" applyFont="1" applyAlignment="1" applyProtection="1">
      <alignment horizontal="left"/>
      <protection locked="0" hidden="1"/>
    </xf>
    <xf numFmtId="0" fontId="11" fillId="0" borderId="24" xfId="0" applyFont="1" applyBorder="1" applyAlignment="1" applyProtection="1">
      <alignment horizontal="left"/>
      <protection locked="0" hidden="1"/>
    </xf>
    <xf numFmtId="4" fontId="11" fillId="0" borderId="0" xfId="0" applyNumberFormat="1" applyFont="1" applyAlignment="1" applyProtection="1">
      <alignment horizontal="left"/>
      <protection locked="0" hidden="1"/>
    </xf>
    <xf numFmtId="4" fontId="11" fillId="0" borderId="24" xfId="0" applyNumberFormat="1" applyFont="1" applyBorder="1" applyAlignment="1" applyProtection="1">
      <alignment horizontal="left"/>
      <protection locked="0" hidden="1"/>
    </xf>
    <xf numFmtId="39" fontId="11" fillId="0" borderId="0" xfId="0" applyNumberFormat="1" applyFont="1" applyAlignment="1" applyProtection="1">
      <alignment horizontal="left"/>
      <protection locked="0" hidden="1"/>
    </xf>
    <xf numFmtId="39" fontId="11" fillId="0" borderId="24" xfId="0" applyNumberFormat="1" applyFont="1" applyBorder="1" applyAlignment="1" applyProtection="1">
      <alignment horizontal="left"/>
      <protection locked="0" hidden="1"/>
    </xf>
    <xf numFmtId="0" fontId="13" fillId="7" borderId="29" xfId="0" applyFont="1" applyFill="1" applyBorder="1" applyAlignment="1" applyProtection="1">
      <alignment horizontal="left" vertical="center"/>
      <protection hidden="1"/>
    </xf>
    <xf numFmtId="0" fontId="13" fillId="7" borderId="27" xfId="0" applyFont="1" applyFill="1" applyBorder="1" applyAlignment="1" applyProtection="1">
      <alignment horizontal="left" vertical="center"/>
      <protection hidden="1"/>
    </xf>
    <xf numFmtId="0" fontId="11" fillId="5" borderId="0" xfId="0" applyFont="1" applyFill="1" applyBorder="1" applyAlignment="1" applyProtection="1">
      <alignment horizontal="left" vertical="center"/>
      <protection hidden="1"/>
    </xf>
    <xf numFmtId="0" fontId="11" fillId="5" borderId="24" xfId="0" applyFont="1" applyFill="1" applyBorder="1" applyAlignment="1" applyProtection="1">
      <alignment horizontal="left" vertical="center"/>
      <protection hidden="1"/>
    </xf>
    <xf numFmtId="0" fontId="11" fillId="5" borderId="13" xfId="0" applyFont="1" applyFill="1" applyBorder="1" applyAlignment="1" applyProtection="1">
      <alignment horizontal="left" vertical="center"/>
      <protection hidden="1"/>
    </xf>
    <xf numFmtId="0" fontId="11" fillId="5" borderId="0" xfId="0" applyFont="1" applyFill="1" applyAlignment="1" applyProtection="1">
      <alignment wrapText="1"/>
      <protection hidden="1"/>
    </xf>
    <xf numFmtId="4" fontId="11" fillId="5" borderId="0" xfId="0" applyNumberFormat="1" applyFont="1" applyFill="1" applyBorder="1" applyAlignment="1" applyProtection="1">
      <alignment horizontal="left" vertical="center"/>
      <protection hidden="1"/>
    </xf>
    <xf numFmtId="4" fontId="11" fillId="5" borderId="24" xfId="0" applyNumberFormat="1" applyFont="1" applyFill="1" applyBorder="1" applyAlignment="1" applyProtection="1">
      <alignment horizontal="left" vertical="center"/>
      <protection hidden="1"/>
    </xf>
    <xf numFmtId="39" fontId="11" fillId="5" borderId="0" xfId="0" applyNumberFormat="1" applyFont="1" applyFill="1" applyBorder="1" applyAlignment="1" applyProtection="1">
      <alignment horizontal="left" vertical="center"/>
      <protection hidden="1"/>
    </xf>
    <xf numFmtId="39" fontId="11" fillId="5" borderId="24" xfId="0" applyNumberFormat="1" applyFont="1" applyFill="1" applyBorder="1" applyAlignment="1" applyProtection="1">
      <alignment horizontal="left" vertical="center"/>
      <protection hidden="1"/>
    </xf>
    <xf numFmtId="39" fontId="11" fillId="5" borderId="2" xfId="0" applyNumberFormat="1" applyFont="1" applyFill="1" applyBorder="1" applyAlignment="1" applyProtection="1">
      <alignment horizontal="left" vertical="center" wrapText="1"/>
      <protection hidden="1"/>
    </xf>
    <xf numFmtId="39" fontId="11" fillId="5" borderId="28" xfId="0" applyNumberFormat="1" applyFont="1" applyFill="1" applyBorder="1" applyAlignment="1" applyProtection="1">
      <alignment horizontal="left" vertical="center" wrapText="1"/>
      <protection hidden="1"/>
    </xf>
    <xf numFmtId="0" fontId="13" fillId="7" borderId="25" xfId="0" applyFont="1" applyFill="1" applyBorder="1" applyAlignment="1" applyProtection="1">
      <alignment horizontal="right" vertical="center" indent="2"/>
      <protection hidden="1"/>
    </xf>
    <xf numFmtId="0" fontId="13" fillId="7" borderId="30" xfId="0" applyFont="1" applyFill="1" applyBorder="1" applyAlignment="1" applyProtection="1">
      <alignment horizontal="right" vertical="center" indent="2"/>
      <protection hidden="1"/>
    </xf>
    <xf numFmtId="0" fontId="13" fillId="7" borderId="26" xfId="0" applyFont="1" applyFill="1" applyBorder="1" applyAlignment="1" applyProtection="1">
      <alignment horizontal="right" vertical="center" indent="2"/>
      <protection hidden="1"/>
    </xf>
    <xf numFmtId="0" fontId="11" fillId="5" borderId="0" xfId="0" applyFont="1" applyFill="1" applyAlignment="1" applyProtection="1">
      <alignment horizontal="left" wrapText="1"/>
      <protection hidden="1"/>
    </xf>
    <xf numFmtId="0" fontId="11" fillId="5" borderId="14" xfId="0" applyFont="1" applyFill="1" applyBorder="1" applyAlignment="1" applyProtection="1">
      <alignment horizontal="left" vertical="center"/>
      <protection hidden="1"/>
    </xf>
    <xf numFmtId="0" fontId="11" fillId="5" borderId="2" xfId="0" applyFont="1" applyFill="1" applyBorder="1" applyAlignment="1" applyProtection="1">
      <alignment horizontal="left" vertical="center"/>
      <protection hidden="1"/>
    </xf>
    <xf numFmtId="0" fontId="11" fillId="5" borderId="29" xfId="0" applyFont="1" applyFill="1" applyBorder="1" applyAlignment="1" applyProtection="1">
      <alignment horizontal="center"/>
      <protection hidden="1"/>
    </xf>
    <xf numFmtId="0" fontId="13" fillId="0" borderId="25" xfId="0" applyFont="1" applyFill="1" applyBorder="1" applyAlignment="1" applyProtection="1">
      <alignment vertical="center"/>
      <protection hidden="1"/>
    </xf>
    <xf numFmtId="0" fontId="13" fillId="0" borderId="30" xfId="0" applyFont="1" applyFill="1" applyBorder="1" applyAlignment="1" applyProtection="1">
      <alignment vertical="center"/>
      <protection hidden="1"/>
    </xf>
    <xf numFmtId="0" fontId="13" fillId="0" borderId="26" xfId="0" applyFont="1" applyFill="1" applyBorder="1" applyAlignment="1" applyProtection="1">
      <alignment vertical="center"/>
      <protection hidden="1"/>
    </xf>
    <xf numFmtId="0" fontId="11" fillId="5" borderId="0" xfId="0" applyFont="1" applyFill="1" applyBorder="1" applyAlignment="1" applyProtection="1">
      <alignment horizontal="left"/>
      <protection hidden="1"/>
    </xf>
    <xf numFmtId="0" fontId="11" fillId="5" borderId="24" xfId="0" applyFont="1" applyFill="1" applyBorder="1" applyAlignment="1" applyProtection="1">
      <alignment horizontal="left"/>
      <protection hidden="1"/>
    </xf>
    <xf numFmtId="4" fontId="11" fillId="5" borderId="0" xfId="0" applyNumberFormat="1" applyFont="1" applyFill="1" applyBorder="1" applyAlignment="1" applyProtection="1">
      <alignment horizontal="left"/>
      <protection hidden="1"/>
    </xf>
    <xf numFmtId="4" fontId="11" fillId="5" borderId="24" xfId="0" applyNumberFormat="1" applyFont="1" applyFill="1" applyBorder="1" applyAlignment="1" applyProtection="1">
      <alignment horizontal="left"/>
      <protection hidden="1"/>
    </xf>
    <xf numFmtId="39" fontId="11" fillId="5" borderId="0" xfId="0" applyNumberFormat="1" applyFont="1" applyFill="1" applyBorder="1" applyAlignment="1" applyProtection="1">
      <alignment horizontal="left"/>
      <protection hidden="1"/>
    </xf>
    <xf numFmtId="39" fontId="11" fillId="5" borderId="24" xfId="0" applyNumberFormat="1" applyFont="1" applyFill="1" applyBorder="1" applyAlignment="1" applyProtection="1">
      <alignment horizontal="left"/>
      <protection hidden="1"/>
    </xf>
    <xf numFmtId="39" fontId="11" fillId="5" borderId="2" xfId="0" applyNumberFormat="1" applyFont="1" applyFill="1" applyBorder="1" applyAlignment="1" applyProtection="1">
      <alignment horizontal="left" vertical="center"/>
      <protection hidden="1"/>
    </xf>
    <xf numFmtId="39" fontId="11" fillId="5" borderId="28" xfId="0" applyNumberFormat="1" applyFont="1" applyFill="1" applyBorder="1" applyAlignment="1" applyProtection="1">
      <alignment horizontal="left" vertical="center"/>
      <protection hidden="1"/>
    </xf>
    <xf numFmtId="0" fontId="11" fillId="5" borderId="14" xfId="0" applyFont="1" applyFill="1" applyBorder="1" applyAlignment="1" applyProtection="1">
      <alignment horizontal="left"/>
      <protection hidden="1"/>
    </xf>
    <xf numFmtId="0" fontId="11" fillId="5" borderId="2" xfId="0" applyFont="1" applyFill="1" applyBorder="1" applyAlignment="1" applyProtection="1">
      <alignment horizontal="left"/>
      <protection hidden="1"/>
    </xf>
    <xf numFmtId="0" fontId="29" fillId="5" borderId="0" xfId="0" applyFont="1" applyFill="1" applyAlignment="1" applyProtection="1">
      <alignment horizontal="center" vertical="center"/>
      <protection hidden="1"/>
    </xf>
    <xf numFmtId="0" fontId="11" fillId="5" borderId="13" xfId="0" applyFont="1" applyFill="1" applyBorder="1" applyAlignment="1" applyProtection="1">
      <alignment horizontal="left"/>
      <protection hidden="1"/>
    </xf>
    <xf numFmtId="0" fontId="13" fillId="7" borderId="29" xfId="0" applyFont="1" applyFill="1" applyBorder="1" applyAlignment="1" applyProtection="1">
      <alignment horizontal="left"/>
      <protection hidden="1"/>
    </xf>
    <xf numFmtId="0" fontId="13" fillId="7" borderId="27" xfId="0" applyFont="1" applyFill="1" applyBorder="1" applyAlignment="1" applyProtection="1">
      <alignment horizontal="left"/>
      <protection hidden="1"/>
    </xf>
    <xf numFmtId="4" fontId="11" fillId="0" borderId="0" xfId="0" applyNumberFormat="1" applyFont="1" applyBorder="1" applyAlignment="1" applyProtection="1">
      <alignment horizontal="left"/>
      <protection hidden="1"/>
    </xf>
    <xf numFmtId="4" fontId="11" fillId="0" borderId="24" xfId="0" applyNumberFormat="1" applyFont="1" applyBorder="1" applyAlignment="1" applyProtection="1">
      <alignment horizontal="left"/>
      <protection hidden="1"/>
    </xf>
    <xf numFmtId="39" fontId="11" fillId="0" borderId="0" xfId="0" applyNumberFormat="1" applyFont="1" applyBorder="1" applyAlignment="1" applyProtection="1">
      <alignment horizontal="left"/>
      <protection hidden="1"/>
    </xf>
    <xf numFmtId="39" fontId="11" fillId="0" borderId="24" xfId="0" applyNumberFormat="1" applyFont="1" applyBorder="1" applyAlignment="1" applyProtection="1">
      <alignment horizontal="left"/>
      <protection hidden="1"/>
    </xf>
    <xf numFmtId="39" fontId="11" fillId="0" borderId="2" xfId="0" applyNumberFormat="1" applyFont="1" applyBorder="1" applyAlignment="1" applyProtection="1">
      <alignment horizontal="left"/>
      <protection hidden="1"/>
    </xf>
    <xf numFmtId="39" fontId="11" fillId="0" borderId="28" xfId="0" applyNumberFormat="1" applyFont="1" applyBorder="1" applyAlignment="1" applyProtection="1">
      <alignment horizontal="left"/>
      <protection hidden="1"/>
    </xf>
    <xf numFmtId="0" fontId="11" fillId="0" borderId="14" xfId="0" applyFont="1" applyBorder="1" applyAlignment="1" applyProtection="1">
      <alignment horizontal="left"/>
      <protection hidden="1"/>
    </xf>
    <xf numFmtId="0" fontId="11" fillId="0" borderId="2" xfId="0" applyFont="1" applyBorder="1" applyAlignment="1" applyProtection="1">
      <alignment horizontal="left"/>
      <protection hidden="1"/>
    </xf>
    <xf numFmtId="0" fontId="29" fillId="0" borderId="0" xfId="0" applyFont="1" applyAlignment="1" applyProtection="1">
      <alignment horizontal="center" vertical="center"/>
      <protection hidden="1"/>
    </xf>
    <xf numFmtId="0" fontId="11" fillId="0" borderId="13" xfId="0" applyFont="1" applyBorder="1" applyAlignment="1" applyProtection="1">
      <alignment horizontal="left"/>
      <protection hidden="1"/>
    </xf>
    <xf numFmtId="0" fontId="11" fillId="0" borderId="0" xfId="0" applyFont="1" applyBorder="1" applyAlignment="1" applyProtection="1">
      <alignment horizontal="left"/>
      <protection hidden="1"/>
    </xf>
    <xf numFmtId="0" fontId="13" fillId="7" borderId="25" xfId="0" applyFont="1" applyFill="1" applyBorder="1" applyAlignment="1" applyProtection="1">
      <alignment horizontal="right" indent="2"/>
      <protection hidden="1"/>
    </xf>
    <xf numFmtId="0" fontId="13" fillId="7" borderId="30" xfId="0" applyFont="1" applyFill="1" applyBorder="1" applyAlignment="1" applyProtection="1">
      <alignment horizontal="right" indent="2"/>
      <protection hidden="1"/>
    </xf>
    <xf numFmtId="0" fontId="13" fillId="7" borderId="26" xfId="0" applyFont="1" applyFill="1" applyBorder="1" applyAlignment="1" applyProtection="1">
      <alignment horizontal="right" indent="2"/>
      <protection hidden="1"/>
    </xf>
    <xf numFmtId="0" fontId="13" fillId="7" borderId="29" xfId="0" applyFont="1" applyFill="1" applyBorder="1" applyAlignment="1" applyProtection="1">
      <alignment vertical="center"/>
      <protection hidden="1"/>
    </xf>
    <xf numFmtId="0" fontId="13" fillId="7" borderId="27" xfId="0" applyFont="1" applyFill="1" applyBorder="1" applyAlignment="1" applyProtection="1">
      <alignment vertical="center"/>
      <protection hidden="1"/>
    </xf>
    <xf numFmtId="39" fontId="11" fillId="0" borderId="2" xfId="0" applyNumberFormat="1" applyFont="1" applyBorder="1" applyAlignment="1" applyProtection="1">
      <alignment horizontal="left" vertical="center"/>
      <protection hidden="1"/>
    </xf>
    <xf numFmtId="39" fontId="11" fillId="0" borderId="28" xfId="0" applyNumberFormat="1" applyFont="1" applyBorder="1" applyAlignment="1" applyProtection="1">
      <alignment horizontal="left" vertical="center"/>
      <protection hidden="1"/>
    </xf>
    <xf numFmtId="0" fontId="13" fillId="7" borderId="12" xfId="0" applyFont="1" applyFill="1" applyBorder="1" applyAlignment="1" applyProtection="1">
      <alignment horizontal="left"/>
      <protection hidden="1"/>
    </xf>
    <xf numFmtId="0" fontId="13" fillId="7" borderId="29" xfId="0" applyFont="1" applyFill="1" applyBorder="1" applyAlignment="1" applyProtection="1">
      <protection hidden="1"/>
    </xf>
    <xf numFmtId="0" fontId="13" fillId="7" borderId="27" xfId="0" applyFont="1" applyFill="1" applyBorder="1" applyAlignment="1" applyProtection="1">
      <protection hidden="1"/>
    </xf>
    <xf numFmtId="4" fontId="11" fillId="0" borderId="0" xfId="0" applyNumberFormat="1" applyFont="1" applyBorder="1" applyAlignment="1" applyProtection="1">
      <alignment horizontal="left" vertical="center"/>
      <protection hidden="1"/>
    </xf>
    <xf numFmtId="4" fontId="11" fillId="0" borderId="24" xfId="0" applyNumberFormat="1" applyFont="1" applyBorder="1" applyAlignment="1" applyProtection="1">
      <alignment horizontal="left" vertical="center"/>
      <protection hidden="1"/>
    </xf>
    <xf numFmtId="39" fontId="11" fillId="0" borderId="0" xfId="0" applyNumberFormat="1" applyFont="1" applyBorder="1" applyAlignment="1" applyProtection="1">
      <alignment horizontal="left" vertical="center"/>
      <protection hidden="1"/>
    </xf>
    <xf numFmtId="39" fontId="11" fillId="0" borderId="24" xfId="0" applyNumberFormat="1" applyFont="1" applyBorder="1" applyAlignment="1" applyProtection="1">
      <alignment horizontal="left" vertical="center"/>
      <protection hidden="1"/>
    </xf>
    <xf numFmtId="0" fontId="13" fillId="0" borderId="1" xfId="0" applyFont="1" applyFill="1" applyBorder="1" applyAlignment="1" applyProtection="1">
      <alignment vertical="center"/>
      <protection hidden="1"/>
    </xf>
    <xf numFmtId="39" fontId="11" fillId="0" borderId="2" xfId="0" applyNumberFormat="1" applyFont="1" applyBorder="1" applyProtection="1">
      <protection hidden="1"/>
    </xf>
    <xf numFmtId="39" fontId="11" fillId="0" borderId="28" xfId="0" applyNumberFormat="1" applyFont="1" applyBorder="1" applyProtection="1">
      <protection hidden="1"/>
    </xf>
    <xf numFmtId="0" fontId="13" fillId="4" borderId="30" xfId="0" applyFont="1" applyFill="1" applyBorder="1" applyAlignment="1">
      <alignment horizontal="left"/>
    </xf>
    <xf numFmtId="0" fontId="29" fillId="0" borderId="0" xfId="0" applyFont="1" applyAlignment="1">
      <alignment horizontal="center" vertical="center"/>
    </xf>
    <xf numFmtId="0" fontId="11" fillId="5" borderId="29" xfId="0" applyFont="1" applyFill="1" applyBorder="1" applyAlignment="1">
      <alignment horizontal="left"/>
    </xf>
    <xf numFmtId="4" fontId="11" fillId="0" borderId="0" xfId="0" applyNumberFormat="1" applyFont="1" applyAlignment="1">
      <alignment horizontal="left"/>
    </xf>
    <xf numFmtId="39" fontId="11" fillId="0" borderId="0" xfId="0" applyNumberFormat="1" applyFont="1" applyAlignment="1">
      <alignment horizontal="left"/>
    </xf>
    <xf numFmtId="39" fontId="11" fillId="5" borderId="2" xfId="0" applyNumberFormat="1" applyFont="1" applyFill="1" applyBorder="1" applyAlignment="1" applyProtection="1">
      <alignment vertical="center" wrapText="1"/>
      <protection hidden="1"/>
    </xf>
    <xf numFmtId="39" fontId="11" fillId="5" borderId="28" xfId="0" applyNumberFormat="1" applyFont="1" applyFill="1" applyBorder="1" applyAlignment="1" applyProtection="1">
      <alignment vertical="center" wrapText="1"/>
      <protection hidden="1"/>
    </xf>
    <xf numFmtId="39" fontId="11" fillId="5" borderId="2" xfId="0" applyNumberFormat="1" applyFont="1" applyFill="1" applyBorder="1" applyAlignment="1" applyProtection="1">
      <alignment horizontal="left"/>
      <protection hidden="1"/>
    </xf>
    <xf numFmtId="39" fontId="11" fillId="5" borderId="28" xfId="0" applyNumberFormat="1" applyFont="1" applyFill="1" applyBorder="1" applyAlignment="1" applyProtection="1">
      <alignment horizontal="left"/>
      <protection hidden="1"/>
    </xf>
    <xf numFmtId="0" fontId="13" fillId="7" borderId="1" xfId="0" applyFont="1" applyFill="1" applyBorder="1" applyAlignment="1" applyProtection="1">
      <alignment horizontal="right" indent="2"/>
      <protection hidden="1"/>
    </xf>
    <xf numFmtId="0" fontId="13" fillId="4" borderId="29" xfId="0" applyFont="1" applyFill="1" applyBorder="1" applyAlignment="1">
      <alignment horizontal="left"/>
    </xf>
    <xf numFmtId="0" fontId="13" fillId="4" borderId="27" xfId="0" applyFont="1" applyFill="1" applyBorder="1" applyAlignment="1">
      <alignment horizontal="left"/>
    </xf>
    <xf numFmtId="4" fontId="11" fillId="0" borderId="24" xfId="0" applyNumberFormat="1" applyFont="1" applyBorder="1" applyAlignment="1">
      <alignment horizontal="left"/>
    </xf>
    <xf numFmtId="39" fontId="11" fillId="0" borderId="24" xfId="0" applyNumberFormat="1" applyFont="1" applyBorder="1" applyAlignment="1">
      <alignment horizontal="left"/>
    </xf>
    <xf numFmtId="39" fontId="11" fillId="0" borderId="2" xfId="0" applyNumberFormat="1" applyFont="1" applyBorder="1" applyAlignment="1">
      <alignment horizontal="left"/>
    </xf>
    <xf numFmtId="39" fontId="11" fillId="0" borderId="28" xfId="0" applyNumberFormat="1" applyFont="1" applyBorder="1" applyAlignment="1">
      <alignment horizontal="left"/>
    </xf>
    <xf numFmtId="0" fontId="11" fillId="5" borderId="0" xfId="0" applyFont="1" applyFill="1" applyAlignment="1">
      <alignment horizontal="left"/>
    </xf>
    <xf numFmtId="0" fontId="13" fillId="7" borderId="30" xfId="0" applyFont="1" applyFill="1" applyBorder="1" applyAlignment="1" applyProtection="1">
      <alignment horizontal="left"/>
      <protection hidden="1"/>
    </xf>
    <xf numFmtId="0" fontId="13" fillId="7" borderId="26" xfId="0" applyFont="1" applyFill="1" applyBorder="1" applyAlignment="1" applyProtection="1">
      <alignment horizontal="left"/>
      <protection hidden="1"/>
    </xf>
    <xf numFmtId="0" fontId="11" fillId="5" borderId="29" xfId="0" applyFont="1" applyFill="1" applyBorder="1" applyAlignment="1" applyProtection="1">
      <alignment horizontal="left"/>
      <protection hidden="1"/>
    </xf>
    <xf numFmtId="0" fontId="11" fillId="5" borderId="27" xfId="0" applyFont="1" applyFill="1" applyBorder="1" applyAlignment="1" applyProtection="1">
      <alignment horizontal="left"/>
      <protection hidden="1"/>
    </xf>
  </cellXfs>
  <cellStyles count="26">
    <cellStyle name="Comma" xfId="1" builtinId="3"/>
    <cellStyle name="Comma 2" xfId="2" xr:uid="{00000000-0005-0000-0000-000001000000}"/>
    <cellStyle name="Comma 2 2" xfId="3" xr:uid="{00000000-0005-0000-0000-000002000000}"/>
    <cellStyle name="Comma 3" xfId="4" xr:uid="{00000000-0005-0000-0000-000003000000}"/>
    <cellStyle name="Comma 3 2" xfId="5" xr:uid="{00000000-0005-0000-0000-000004000000}"/>
    <cellStyle name="Comma 4" xfId="6" xr:uid="{00000000-0005-0000-0000-000005000000}"/>
    <cellStyle name="Comma 5" xfId="7" xr:uid="{00000000-0005-0000-0000-000006000000}"/>
    <cellStyle name="Currency" xfId="8" builtinId="4"/>
    <cellStyle name="Excel Built-in Comma" xfId="9" xr:uid="{00000000-0005-0000-0000-000008000000}"/>
    <cellStyle name="Excel Built-in Normal" xfId="10" xr:uid="{00000000-0005-0000-0000-000009000000}"/>
    <cellStyle name="Excel Built-in Percent" xfId="11" xr:uid="{00000000-0005-0000-0000-00000A000000}"/>
    <cellStyle name="Grey" xfId="12" xr:uid="{00000000-0005-0000-0000-00000B000000}"/>
    <cellStyle name="Hyperlink" xfId="13" builtinId="8"/>
    <cellStyle name="Input [yellow]" xfId="14" xr:uid="{00000000-0005-0000-0000-00000D000000}"/>
    <cellStyle name="Normal" xfId="0" builtinId="0"/>
    <cellStyle name="Normal - Style1" xfId="15" xr:uid="{00000000-0005-0000-0000-00000F000000}"/>
    <cellStyle name="Normal 2" xfId="16" xr:uid="{00000000-0005-0000-0000-000010000000}"/>
    <cellStyle name="Normal 2 2" xfId="17" xr:uid="{00000000-0005-0000-0000-000011000000}"/>
    <cellStyle name="Normal 3" xfId="18" xr:uid="{00000000-0005-0000-0000-000012000000}"/>
    <cellStyle name="Normal 4" xfId="19" xr:uid="{00000000-0005-0000-0000-000013000000}"/>
    <cellStyle name="Percent" xfId="20" builtinId="5"/>
    <cellStyle name="Percent [2]" xfId="21" xr:uid="{00000000-0005-0000-0000-000015000000}"/>
    <cellStyle name="Percent 2" xfId="22" xr:uid="{00000000-0005-0000-0000-000016000000}"/>
    <cellStyle name="Percent 2 2" xfId="23" xr:uid="{00000000-0005-0000-0000-000017000000}"/>
    <cellStyle name="Percent 3" xfId="24" xr:uid="{00000000-0005-0000-0000-000018000000}"/>
    <cellStyle name="Percent 4" xfId="25" xr:uid="{00000000-0005-0000-0000-000019000000}"/>
  </cellStyles>
  <dxfs count="0"/>
  <tableStyles count="0" defaultTableStyle="TableStyleMedium2" defaultPivotStyle="PivotStyleLight16"/>
  <colors>
    <mruColors>
      <color rgb="FF0E6EB6"/>
      <color rgb="FFACACAF"/>
      <color rgb="FF389E8F"/>
      <color rgb="FFF794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1" Type="http://schemas.openxmlformats.org/officeDocument/2006/relationships/image" Target="../media/image4.png"/></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619125</xdr:colOff>
      <xdr:row>4</xdr:row>
      <xdr:rowOff>0</xdr:rowOff>
    </xdr:from>
    <xdr:to>
      <xdr:col>1</xdr:col>
      <xdr:colOff>619125</xdr:colOff>
      <xdr:row>6</xdr:row>
      <xdr:rowOff>123825</xdr:rowOff>
    </xdr:to>
    <xdr:pic>
      <xdr:nvPicPr>
        <xdr:cNvPr id="474070" name="Picture 1">
          <a:extLst>
            <a:ext uri="{FF2B5EF4-FFF2-40B4-BE49-F238E27FC236}">
              <a16:creationId xmlns:a16="http://schemas.microsoft.com/office/drawing/2014/main" id="{00000000-0008-0000-0000-0000D6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84772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4</xdr:row>
      <xdr:rowOff>0</xdr:rowOff>
    </xdr:from>
    <xdr:to>
      <xdr:col>1</xdr:col>
      <xdr:colOff>1038225</xdr:colOff>
      <xdr:row>6</xdr:row>
      <xdr:rowOff>171450</xdr:rowOff>
    </xdr:to>
    <xdr:pic>
      <xdr:nvPicPr>
        <xdr:cNvPr id="474071" name="Picture 1">
          <a:extLst>
            <a:ext uri="{FF2B5EF4-FFF2-40B4-BE49-F238E27FC236}">
              <a16:creationId xmlns:a16="http://schemas.microsoft.com/office/drawing/2014/main" id="{00000000-0008-0000-0000-0000D7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847725"/>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4</xdr:row>
      <xdr:rowOff>0</xdr:rowOff>
    </xdr:from>
    <xdr:to>
      <xdr:col>1</xdr:col>
      <xdr:colOff>619125</xdr:colOff>
      <xdr:row>6</xdr:row>
      <xdr:rowOff>123825</xdr:rowOff>
    </xdr:to>
    <xdr:pic>
      <xdr:nvPicPr>
        <xdr:cNvPr id="474072" name="Picture 1">
          <a:extLst>
            <a:ext uri="{FF2B5EF4-FFF2-40B4-BE49-F238E27FC236}">
              <a16:creationId xmlns:a16="http://schemas.microsoft.com/office/drawing/2014/main" id="{00000000-0008-0000-0000-0000D8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84772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4</xdr:row>
      <xdr:rowOff>0</xdr:rowOff>
    </xdr:from>
    <xdr:to>
      <xdr:col>1</xdr:col>
      <xdr:colOff>1038225</xdr:colOff>
      <xdr:row>6</xdr:row>
      <xdr:rowOff>171450</xdr:rowOff>
    </xdr:to>
    <xdr:pic>
      <xdr:nvPicPr>
        <xdr:cNvPr id="474073" name="Picture 1">
          <a:extLst>
            <a:ext uri="{FF2B5EF4-FFF2-40B4-BE49-F238E27FC236}">
              <a16:creationId xmlns:a16="http://schemas.microsoft.com/office/drawing/2014/main" id="{00000000-0008-0000-0000-0000D9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847725"/>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4</xdr:row>
      <xdr:rowOff>142875</xdr:rowOff>
    </xdr:from>
    <xdr:to>
      <xdr:col>1</xdr:col>
      <xdr:colOff>619125</xdr:colOff>
      <xdr:row>6</xdr:row>
      <xdr:rowOff>247650</xdr:rowOff>
    </xdr:to>
    <xdr:pic>
      <xdr:nvPicPr>
        <xdr:cNvPr id="474074" name="Picture 1">
          <a:extLst>
            <a:ext uri="{FF2B5EF4-FFF2-40B4-BE49-F238E27FC236}">
              <a16:creationId xmlns:a16="http://schemas.microsoft.com/office/drawing/2014/main" id="{00000000-0008-0000-0000-0000DA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971550"/>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4</xdr:row>
      <xdr:rowOff>47625</xdr:rowOff>
    </xdr:from>
    <xdr:to>
      <xdr:col>1</xdr:col>
      <xdr:colOff>1038225</xdr:colOff>
      <xdr:row>6</xdr:row>
      <xdr:rowOff>219075</xdr:rowOff>
    </xdr:to>
    <xdr:pic>
      <xdr:nvPicPr>
        <xdr:cNvPr id="474075" name="Picture 1">
          <a:extLst>
            <a:ext uri="{FF2B5EF4-FFF2-40B4-BE49-F238E27FC236}">
              <a16:creationId xmlns:a16="http://schemas.microsoft.com/office/drawing/2014/main" id="{00000000-0008-0000-0000-0000DB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895350"/>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16</xdr:row>
      <xdr:rowOff>0</xdr:rowOff>
    </xdr:from>
    <xdr:to>
      <xdr:col>1</xdr:col>
      <xdr:colOff>619125</xdr:colOff>
      <xdr:row>17</xdr:row>
      <xdr:rowOff>263338</xdr:rowOff>
    </xdr:to>
    <xdr:pic>
      <xdr:nvPicPr>
        <xdr:cNvPr id="474076" name="Picture 1">
          <a:extLst>
            <a:ext uri="{FF2B5EF4-FFF2-40B4-BE49-F238E27FC236}">
              <a16:creationId xmlns:a16="http://schemas.microsoft.com/office/drawing/2014/main" id="{00000000-0008-0000-0000-0000DC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3718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16</xdr:row>
      <xdr:rowOff>0</xdr:rowOff>
    </xdr:from>
    <xdr:to>
      <xdr:col>1</xdr:col>
      <xdr:colOff>1038225</xdr:colOff>
      <xdr:row>17</xdr:row>
      <xdr:rowOff>310963</xdr:rowOff>
    </xdr:to>
    <xdr:pic>
      <xdr:nvPicPr>
        <xdr:cNvPr id="474077" name="Picture 1">
          <a:extLst>
            <a:ext uri="{FF2B5EF4-FFF2-40B4-BE49-F238E27FC236}">
              <a16:creationId xmlns:a16="http://schemas.microsoft.com/office/drawing/2014/main" id="{00000000-0008-0000-0000-0000DD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3718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16</xdr:row>
      <xdr:rowOff>0</xdr:rowOff>
    </xdr:from>
    <xdr:to>
      <xdr:col>1</xdr:col>
      <xdr:colOff>619125</xdr:colOff>
      <xdr:row>17</xdr:row>
      <xdr:rowOff>263338</xdr:rowOff>
    </xdr:to>
    <xdr:pic>
      <xdr:nvPicPr>
        <xdr:cNvPr id="474078" name="Picture 1">
          <a:extLst>
            <a:ext uri="{FF2B5EF4-FFF2-40B4-BE49-F238E27FC236}">
              <a16:creationId xmlns:a16="http://schemas.microsoft.com/office/drawing/2014/main" id="{00000000-0008-0000-0000-0000DE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3718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16</xdr:row>
      <xdr:rowOff>0</xdr:rowOff>
    </xdr:from>
    <xdr:to>
      <xdr:col>1</xdr:col>
      <xdr:colOff>1038225</xdr:colOff>
      <xdr:row>17</xdr:row>
      <xdr:rowOff>310963</xdr:rowOff>
    </xdr:to>
    <xdr:pic>
      <xdr:nvPicPr>
        <xdr:cNvPr id="474079" name="Picture 1">
          <a:extLst>
            <a:ext uri="{FF2B5EF4-FFF2-40B4-BE49-F238E27FC236}">
              <a16:creationId xmlns:a16="http://schemas.microsoft.com/office/drawing/2014/main" id="{00000000-0008-0000-0000-0000DF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3718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16</xdr:row>
      <xdr:rowOff>0</xdr:rowOff>
    </xdr:from>
    <xdr:to>
      <xdr:col>1</xdr:col>
      <xdr:colOff>619125</xdr:colOff>
      <xdr:row>17</xdr:row>
      <xdr:rowOff>263338</xdr:rowOff>
    </xdr:to>
    <xdr:pic>
      <xdr:nvPicPr>
        <xdr:cNvPr id="474080" name="Picture 1">
          <a:extLst>
            <a:ext uri="{FF2B5EF4-FFF2-40B4-BE49-F238E27FC236}">
              <a16:creationId xmlns:a16="http://schemas.microsoft.com/office/drawing/2014/main" id="{00000000-0008-0000-0000-0000E0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3718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16</xdr:row>
      <xdr:rowOff>0</xdr:rowOff>
    </xdr:from>
    <xdr:to>
      <xdr:col>1</xdr:col>
      <xdr:colOff>1038225</xdr:colOff>
      <xdr:row>17</xdr:row>
      <xdr:rowOff>310963</xdr:rowOff>
    </xdr:to>
    <xdr:pic>
      <xdr:nvPicPr>
        <xdr:cNvPr id="474081" name="Picture 1">
          <a:extLst>
            <a:ext uri="{FF2B5EF4-FFF2-40B4-BE49-F238E27FC236}">
              <a16:creationId xmlns:a16="http://schemas.microsoft.com/office/drawing/2014/main" id="{00000000-0008-0000-0000-0000E1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3718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16</xdr:row>
      <xdr:rowOff>0</xdr:rowOff>
    </xdr:from>
    <xdr:to>
      <xdr:col>1</xdr:col>
      <xdr:colOff>619125</xdr:colOff>
      <xdr:row>17</xdr:row>
      <xdr:rowOff>263338</xdr:rowOff>
    </xdr:to>
    <xdr:pic>
      <xdr:nvPicPr>
        <xdr:cNvPr id="474082" name="Picture 1">
          <a:extLst>
            <a:ext uri="{FF2B5EF4-FFF2-40B4-BE49-F238E27FC236}">
              <a16:creationId xmlns:a16="http://schemas.microsoft.com/office/drawing/2014/main" id="{00000000-0008-0000-0000-0000E2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3718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16</xdr:row>
      <xdr:rowOff>0</xdr:rowOff>
    </xdr:from>
    <xdr:to>
      <xdr:col>1</xdr:col>
      <xdr:colOff>1038225</xdr:colOff>
      <xdr:row>17</xdr:row>
      <xdr:rowOff>310963</xdr:rowOff>
    </xdr:to>
    <xdr:pic>
      <xdr:nvPicPr>
        <xdr:cNvPr id="474083" name="Picture 1">
          <a:extLst>
            <a:ext uri="{FF2B5EF4-FFF2-40B4-BE49-F238E27FC236}">
              <a16:creationId xmlns:a16="http://schemas.microsoft.com/office/drawing/2014/main" id="{00000000-0008-0000-0000-0000E3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3718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16</xdr:row>
      <xdr:rowOff>0</xdr:rowOff>
    </xdr:from>
    <xdr:to>
      <xdr:col>1</xdr:col>
      <xdr:colOff>619125</xdr:colOff>
      <xdr:row>17</xdr:row>
      <xdr:rowOff>263338</xdr:rowOff>
    </xdr:to>
    <xdr:pic>
      <xdr:nvPicPr>
        <xdr:cNvPr id="474084" name="Picture 1">
          <a:extLst>
            <a:ext uri="{FF2B5EF4-FFF2-40B4-BE49-F238E27FC236}">
              <a16:creationId xmlns:a16="http://schemas.microsoft.com/office/drawing/2014/main" id="{00000000-0008-0000-0000-0000E4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3718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16</xdr:row>
      <xdr:rowOff>0</xdr:rowOff>
    </xdr:from>
    <xdr:to>
      <xdr:col>1</xdr:col>
      <xdr:colOff>1038225</xdr:colOff>
      <xdr:row>17</xdr:row>
      <xdr:rowOff>310963</xdr:rowOff>
    </xdr:to>
    <xdr:pic>
      <xdr:nvPicPr>
        <xdr:cNvPr id="474085" name="Picture 1">
          <a:extLst>
            <a:ext uri="{FF2B5EF4-FFF2-40B4-BE49-F238E27FC236}">
              <a16:creationId xmlns:a16="http://schemas.microsoft.com/office/drawing/2014/main" id="{00000000-0008-0000-0000-0000E5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3718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16</xdr:row>
      <xdr:rowOff>0</xdr:rowOff>
    </xdr:from>
    <xdr:to>
      <xdr:col>1</xdr:col>
      <xdr:colOff>619125</xdr:colOff>
      <xdr:row>17</xdr:row>
      <xdr:rowOff>263338</xdr:rowOff>
    </xdr:to>
    <xdr:pic>
      <xdr:nvPicPr>
        <xdr:cNvPr id="474086" name="Picture 1">
          <a:extLst>
            <a:ext uri="{FF2B5EF4-FFF2-40B4-BE49-F238E27FC236}">
              <a16:creationId xmlns:a16="http://schemas.microsoft.com/office/drawing/2014/main" id="{00000000-0008-0000-0000-0000E6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3718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16</xdr:row>
      <xdr:rowOff>0</xdr:rowOff>
    </xdr:from>
    <xdr:to>
      <xdr:col>1</xdr:col>
      <xdr:colOff>1038225</xdr:colOff>
      <xdr:row>17</xdr:row>
      <xdr:rowOff>310963</xdr:rowOff>
    </xdr:to>
    <xdr:pic>
      <xdr:nvPicPr>
        <xdr:cNvPr id="474087" name="Picture 1">
          <a:extLst>
            <a:ext uri="{FF2B5EF4-FFF2-40B4-BE49-F238E27FC236}">
              <a16:creationId xmlns:a16="http://schemas.microsoft.com/office/drawing/2014/main" id="{00000000-0008-0000-0000-0000E7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3718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16</xdr:row>
      <xdr:rowOff>0</xdr:rowOff>
    </xdr:from>
    <xdr:to>
      <xdr:col>1</xdr:col>
      <xdr:colOff>619125</xdr:colOff>
      <xdr:row>17</xdr:row>
      <xdr:rowOff>263338</xdr:rowOff>
    </xdr:to>
    <xdr:pic>
      <xdr:nvPicPr>
        <xdr:cNvPr id="474088" name="Picture 1">
          <a:extLst>
            <a:ext uri="{FF2B5EF4-FFF2-40B4-BE49-F238E27FC236}">
              <a16:creationId xmlns:a16="http://schemas.microsoft.com/office/drawing/2014/main" id="{00000000-0008-0000-0000-0000E8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3718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16</xdr:row>
      <xdr:rowOff>0</xdr:rowOff>
    </xdr:from>
    <xdr:to>
      <xdr:col>1</xdr:col>
      <xdr:colOff>1038225</xdr:colOff>
      <xdr:row>17</xdr:row>
      <xdr:rowOff>310963</xdr:rowOff>
    </xdr:to>
    <xdr:pic>
      <xdr:nvPicPr>
        <xdr:cNvPr id="474089" name="Picture 1">
          <a:extLst>
            <a:ext uri="{FF2B5EF4-FFF2-40B4-BE49-F238E27FC236}">
              <a16:creationId xmlns:a16="http://schemas.microsoft.com/office/drawing/2014/main" id="{00000000-0008-0000-0000-0000E9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3718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16</xdr:row>
      <xdr:rowOff>0</xdr:rowOff>
    </xdr:from>
    <xdr:to>
      <xdr:col>1</xdr:col>
      <xdr:colOff>619125</xdr:colOff>
      <xdr:row>17</xdr:row>
      <xdr:rowOff>263338</xdr:rowOff>
    </xdr:to>
    <xdr:pic>
      <xdr:nvPicPr>
        <xdr:cNvPr id="474090" name="Picture 1">
          <a:extLst>
            <a:ext uri="{FF2B5EF4-FFF2-40B4-BE49-F238E27FC236}">
              <a16:creationId xmlns:a16="http://schemas.microsoft.com/office/drawing/2014/main" id="{00000000-0008-0000-0000-0000EA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3718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16</xdr:row>
      <xdr:rowOff>0</xdr:rowOff>
    </xdr:from>
    <xdr:to>
      <xdr:col>1</xdr:col>
      <xdr:colOff>1038225</xdr:colOff>
      <xdr:row>17</xdr:row>
      <xdr:rowOff>310963</xdr:rowOff>
    </xdr:to>
    <xdr:pic>
      <xdr:nvPicPr>
        <xdr:cNvPr id="474091" name="Picture 1">
          <a:extLst>
            <a:ext uri="{FF2B5EF4-FFF2-40B4-BE49-F238E27FC236}">
              <a16:creationId xmlns:a16="http://schemas.microsoft.com/office/drawing/2014/main" id="{00000000-0008-0000-0000-0000EB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3718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16</xdr:row>
      <xdr:rowOff>0</xdr:rowOff>
    </xdr:from>
    <xdr:to>
      <xdr:col>1</xdr:col>
      <xdr:colOff>619125</xdr:colOff>
      <xdr:row>17</xdr:row>
      <xdr:rowOff>263338</xdr:rowOff>
    </xdr:to>
    <xdr:pic>
      <xdr:nvPicPr>
        <xdr:cNvPr id="474092" name="Picture 1">
          <a:extLst>
            <a:ext uri="{FF2B5EF4-FFF2-40B4-BE49-F238E27FC236}">
              <a16:creationId xmlns:a16="http://schemas.microsoft.com/office/drawing/2014/main" id="{00000000-0008-0000-0000-0000EC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3718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16</xdr:row>
      <xdr:rowOff>0</xdr:rowOff>
    </xdr:from>
    <xdr:to>
      <xdr:col>1</xdr:col>
      <xdr:colOff>1038225</xdr:colOff>
      <xdr:row>17</xdr:row>
      <xdr:rowOff>310963</xdr:rowOff>
    </xdr:to>
    <xdr:pic>
      <xdr:nvPicPr>
        <xdr:cNvPr id="474093" name="Picture 1">
          <a:extLst>
            <a:ext uri="{FF2B5EF4-FFF2-40B4-BE49-F238E27FC236}">
              <a16:creationId xmlns:a16="http://schemas.microsoft.com/office/drawing/2014/main" id="{00000000-0008-0000-0000-0000ED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3718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16</xdr:row>
      <xdr:rowOff>0</xdr:rowOff>
    </xdr:from>
    <xdr:to>
      <xdr:col>1</xdr:col>
      <xdr:colOff>619125</xdr:colOff>
      <xdr:row>17</xdr:row>
      <xdr:rowOff>263338</xdr:rowOff>
    </xdr:to>
    <xdr:pic>
      <xdr:nvPicPr>
        <xdr:cNvPr id="474094" name="Picture 1">
          <a:extLst>
            <a:ext uri="{FF2B5EF4-FFF2-40B4-BE49-F238E27FC236}">
              <a16:creationId xmlns:a16="http://schemas.microsoft.com/office/drawing/2014/main" id="{00000000-0008-0000-0000-0000EE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3718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16</xdr:row>
      <xdr:rowOff>0</xdr:rowOff>
    </xdr:from>
    <xdr:to>
      <xdr:col>1</xdr:col>
      <xdr:colOff>1038225</xdr:colOff>
      <xdr:row>17</xdr:row>
      <xdr:rowOff>310963</xdr:rowOff>
    </xdr:to>
    <xdr:pic>
      <xdr:nvPicPr>
        <xdr:cNvPr id="474095" name="Picture 1">
          <a:extLst>
            <a:ext uri="{FF2B5EF4-FFF2-40B4-BE49-F238E27FC236}">
              <a16:creationId xmlns:a16="http://schemas.microsoft.com/office/drawing/2014/main" id="{00000000-0008-0000-0000-0000EF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3718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16</xdr:row>
      <xdr:rowOff>0</xdr:rowOff>
    </xdr:from>
    <xdr:to>
      <xdr:col>1</xdr:col>
      <xdr:colOff>619125</xdr:colOff>
      <xdr:row>17</xdr:row>
      <xdr:rowOff>263338</xdr:rowOff>
    </xdr:to>
    <xdr:pic>
      <xdr:nvPicPr>
        <xdr:cNvPr id="474096" name="Picture 1">
          <a:extLst>
            <a:ext uri="{FF2B5EF4-FFF2-40B4-BE49-F238E27FC236}">
              <a16:creationId xmlns:a16="http://schemas.microsoft.com/office/drawing/2014/main" id="{00000000-0008-0000-0000-0000F0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3718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16</xdr:row>
      <xdr:rowOff>0</xdr:rowOff>
    </xdr:from>
    <xdr:to>
      <xdr:col>1</xdr:col>
      <xdr:colOff>1038225</xdr:colOff>
      <xdr:row>17</xdr:row>
      <xdr:rowOff>310963</xdr:rowOff>
    </xdr:to>
    <xdr:pic>
      <xdr:nvPicPr>
        <xdr:cNvPr id="474097" name="Picture 1">
          <a:extLst>
            <a:ext uri="{FF2B5EF4-FFF2-40B4-BE49-F238E27FC236}">
              <a16:creationId xmlns:a16="http://schemas.microsoft.com/office/drawing/2014/main" id="{00000000-0008-0000-0000-0000F1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3718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16</xdr:row>
      <xdr:rowOff>0</xdr:rowOff>
    </xdr:from>
    <xdr:to>
      <xdr:col>1</xdr:col>
      <xdr:colOff>619125</xdr:colOff>
      <xdr:row>17</xdr:row>
      <xdr:rowOff>263338</xdr:rowOff>
    </xdr:to>
    <xdr:pic>
      <xdr:nvPicPr>
        <xdr:cNvPr id="474098" name="Picture 1">
          <a:extLst>
            <a:ext uri="{FF2B5EF4-FFF2-40B4-BE49-F238E27FC236}">
              <a16:creationId xmlns:a16="http://schemas.microsoft.com/office/drawing/2014/main" id="{00000000-0008-0000-0000-0000F2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809625" y="3371850"/>
          <a:ext cx="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1047750</xdr:colOff>
      <xdr:row>16</xdr:row>
      <xdr:rowOff>0</xdr:rowOff>
    </xdr:from>
    <xdr:to>
      <xdr:col>1</xdr:col>
      <xdr:colOff>1038225</xdr:colOff>
      <xdr:row>17</xdr:row>
      <xdr:rowOff>310963</xdr:rowOff>
    </xdr:to>
    <xdr:pic>
      <xdr:nvPicPr>
        <xdr:cNvPr id="474099" name="Picture 1">
          <a:extLst>
            <a:ext uri="{FF2B5EF4-FFF2-40B4-BE49-F238E27FC236}">
              <a16:creationId xmlns:a16="http://schemas.microsoft.com/office/drawing/2014/main" id="{00000000-0008-0000-0000-0000F33B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3190" t="31470" r="13857" b="31599"/>
        <a:stretch>
          <a:fillRect/>
        </a:stretch>
      </xdr:blipFill>
      <xdr:spPr bwMode="auto">
        <a:xfrm>
          <a:off x="1238250" y="3371850"/>
          <a:ext cx="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545987</xdr:colOff>
      <xdr:row>5</xdr:row>
      <xdr:rowOff>145675</xdr:rowOff>
    </xdr:from>
    <xdr:to>
      <xdr:col>2</xdr:col>
      <xdr:colOff>2241174</xdr:colOff>
      <xdr:row>7</xdr:row>
      <xdr:rowOff>358589</xdr:rowOff>
    </xdr:to>
    <xdr:pic>
      <xdr:nvPicPr>
        <xdr:cNvPr id="474100" name="Picture 32">
          <a:extLst>
            <a:ext uri="{FF2B5EF4-FFF2-40B4-BE49-F238E27FC236}">
              <a16:creationId xmlns:a16="http://schemas.microsoft.com/office/drawing/2014/main" id="{00000000-0008-0000-0000-0000F43B07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10007" t="27290" r="10356" b="26900"/>
        <a:stretch/>
      </xdr:blipFill>
      <xdr:spPr bwMode="auto">
        <a:xfrm>
          <a:off x="758899" y="1411940"/>
          <a:ext cx="2737334" cy="885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96373</xdr:colOff>
      <xdr:row>7</xdr:row>
      <xdr:rowOff>275660</xdr:rowOff>
    </xdr:from>
    <xdr:ext cx="3788858" cy="36298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9285" y="2214278"/>
          <a:ext cx="3788858" cy="3629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solidFill>
                <a:srgbClr val="0E6EB6"/>
              </a:solidFill>
              <a:latin typeface="+mj-lt"/>
            </a:rPr>
            <a:t>ST. ANDREWS (GARDEN SUITES 1)</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298822" name="Picture 2">
          <a:extLst>
            <a:ext uri="{FF2B5EF4-FFF2-40B4-BE49-F238E27FC236}">
              <a16:creationId xmlns:a16="http://schemas.microsoft.com/office/drawing/2014/main" id="{00000000-0008-0000-0B00-0000468F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299844" name="Picture 2">
          <a:extLst>
            <a:ext uri="{FF2B5EF4-FFF2-40B4-BE49-F238E27FC236}">
              <a16:creationId xmlns:a16="http://schemas.microsoft.com/office/drawing/2014/main" id="{00000000-0008-0000-0C00-00004493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312077" name="Picture 2">
          <a:extLst>
            <a:ext uri="{FF2B5EF4-FFF2-40B4-BE49-F238E27FC236}">
              <a16:creationId xmlns:a16="http://schemas.microsoft.com/office/drawing/2014/main" id="{00000000-0008-0000-0D00-00000DC3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314119" name="Picture 2">
          <a:extLst>
            <a:ext uri="{FF2B5EF4-FFF2-40B4-BE49-F238E27FC236}">
              <a16:creationId xmlns:a16="http://schemas.microsoft.com/office/drawing/2014/main" id="{00000000-0008-0000-0E00-000007CB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628650</xdr:colOff>
      <xdr:row>3</xdr:row>
      <xdr:rowOff>5210</xdr:rowOff>
    </xdr:to>
    <xdr:pic>
      <xdr:nvPicPr>
        <xdr:cNvPr id="468045" name="Picture 1">
          <a:extLst>
            <a:ext uri="{FF2B5EF4-FFF2-40B4-BE49-F238E27FC236}">
              <a16:creationId xmlns:a16="http://schemas.microsoft.com/office/drawing/2014/main" id="{00000000-0008-0000-0F00-00004D2407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0" y="19050"/>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647700</xdr:colOff>
      <xdr:row>3</xdr:row>
      <xdr:rowOff>5210</xdr:rowOff>
    </xdr:to>
    <xdr:pic>
      <xdr:nvPicPr>
        <xdr:cNvPr id="3" name="Picture 1">
          <a:extLst>
            <a:ext uri="{FF2B5EF4-FFF2-40B4-BE49-F238E27FC236}">
              <a16:creationId xmlns:a16="http://schemas.microsoft.com/office/drawing/2014/main" id="{00000000-0008-0000-1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0" y="19050"/>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9525</xdr:rowOff>
    </xdr:from>
    <xdr:to>
      <xdr:col>1</xdr:col>
      <xdr:colOff>647700</xdr:colOff>
      <xdr:row>2</xdr:row>
      <xdr:rowOff>157610</xdr:rowOff>
    </xdr:to>
    <xdr:pic>
      <xdr:nvPicPr>
        <xdr:cNvPr id="4" name="Picture 1">
          <a:extLst>
            <a:ext uri="{FF2B5EF4-FFF2-40B4-BE49-F238E27FC236}">
              <a16:creationId xmlns:a16="http://schemas.microsoft.com/office/drawing/2014/main" id="{00000000-0008-0000-1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0" y="9525"/>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104775</xdr:colOff>
      <xdr:row>0</xdr:row>
      <xdr:rowOff>9525</xdr:rowOff>
    </xdr:from>
    <xdr:to>
      <xdr:col>1</xdr:col>
      <xdr:colOff>723900</xdr:colOff>
      <xdr:row>2</xdr:row>
      <xdr:rowOff>157610</xdr:rowOff>
    </xdr:to>
    <xdr:pic>
      <xdr:nvPicPr>
        <xdr:cNvPr id="3" name="Picture 1">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104775" y="9525"/>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153630</xdr:colOff>
      <xdr:row>0</xdr:row>
      <xdr:rowOff>30726</xdr:rowOff>
    </xdr:from>
    <xdr:to>
      <xdr:col>2</xdr:col>
      <xdr:colOff>24889</xdr:colOff>
      <xdr:row>3</xdr:row>
      <xdr:rowOff>11048</xdr:rowOff>
    </xdr:to>
    <xdr:pic>
      <xdr:nvPicPr>
        <xdr:cNvPr id="3" name="Picture 1">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153630" y="30726"/>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112662</xdr:colOff>
      <xdr:row>0</xdr:row>
      <xdr:rowOff>30726</xdr:rowOff>
    </xdr:from>
    <xdr:to>
      <xdr:col>1</xdr:col>
      <xdr:colOff>721340</xdr:colOff>
      <xdr:row>3</xdr:row>
      <xdr:rowOff>11048</xdr:rowOff>
    </xdr:to>
    <xdr:pic>
      <xdr:nvPicPr>
        <xdr:cNvPr id="3" name="Picture 1">
          <a:extLst>
            <a:ext uri="{FF2B5EF4-FFF2-40B4-BE49-F238E27FC236}">
              <a16:creationId xmlns:a16="http://schemas.microsoft.com/office/drawing/2014/main" id="{00000000-0008-0000-13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112662" y="30726"/>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1</xdr:col>
      <xdr:colOff>666750</xdr:colOff>
      <xdr:row>3</xdr:row>
      <xdr:rowOff>5210</xdr:rowOff>
    </xdr:to>
    <xdr:pic>
      <xdr:nvPicPr>
        <xdr:cNvPr id="3" name="Picture 1">
          <a:extLst>
            <a:ext uri="{FF2B5EF4-FFF2-40B4-BE49-F238E27FC236}">
              <a16:creationId xmlns:a16="http://schemas.microsoft.com/office/drawing/2014/main" id="{00000000-0008-0000-14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38100" y="19050"/>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294736" name="Picture 2">
          <a:extLst>
            <a:ext uri="{FF2B5EF4-FFF2-40B4-BE49-F238E27FC236}">
              <a16:creationId xmlns:a16="http://schemas.microsoft.com/office/drawing/2014/main" id="{00000000-0008-0000-0300-0000507F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657225</xdr:colOff>
      <xdr:row>3</xdr:row>
      <xdr:rowOff>14735</xdr:rowOff>
    </xdr:to>
    <xdr:pic>
      <xdr:nvPicPr>
        <xdr:cNvPr id="3" name="Picture 1">
          <a:extLst>
            <a:ext uri="{FF2B5EF4-FFF2-40B4-BE49-F238E27FC236}">
              <a16:creationId xmlns:a16="http://schemas.microsoft.com/office/drawing/2014/main" id="{00000000-0008-0000-15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47625" y="28575"/>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433823" name="Picture 2">
          <a:extLst>
            <a:ext uri="{FF2B5EF4-FFF2-40B4-BE49-F238E27FC236}">
              <a16:creationId xmlns:a16="http://schemas.microsoft.com/office/drawing/2014/main" id="{00000000-0008-0000-1600-00009F9E06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28575</xdr:rowOff>
    </xdr:from>
    <xdr:to>
      <xdr:col>0</xdr:col>
      <xdr:colOff>1562100</xdr:colOff>
      <xdr:row>3</xdr:row>
      <xdr:rowOff>142875</xdr:rowOff>
    </xdr:to>
    <xdr:pic>
      <xdr:nvPicPr>
        <xdr:cNvPr id="433824" name="Picture 1">
          <a:extLst>
            <a:ext uri="{FF2B5EF4-FFF2-40B4-BE49-F238E27FC236}">
              <a16:creationId xmlns:a16="http://schemas.microsoft.com/office/drawing/2014/main" id="{00000000-0008-0000-1600-0000A09E06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8514" t="13245" r="8646" b="14067"/>
        <a:stretch>
          <a:fillRect/>
        </a:stretch>
      </xdr:blipFill>
      <xdr:spPr bwMode="auto">
        <a:xfrm>
          <a:off x="95250" y="28575"/>
          <a:ext cx="14668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657225</xdr:colOff>
      <xdr:row>3</xdr:row>
      <xdr:rowOff>14735</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47625" y="28575"/>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1</xdr:col>
      <xdr:colOff>657225</xdr:colOff>
      <xdr:row>3</xdr:row>
      <xdr:rowOff>5210</xdr:rowOff>
    </xdr:to>
    <xdr:pic>
      <xdr:nvPicPr>
        <xdr:cNvPr id="3" name="Picture 1">
          <a:extLst>
            <a:ext uri="{FF2B5EF4-FFF2-40B4-BE49-F238E27FC236}">
              <a16:creationId xmlns:a16="http://schemas.microsoft.com/office/drawing/2014/main" id="{00000000-0008-0000-18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47625" y="19050"/>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1</xdr:col>
      <xdr:colOff>676275</xdr:colOff>
      <xdr:row>3</xdr:row>
      <xdr:rowOff>5210</xdr:rowOff>
    </xdr:to>
    <xdr:pic>
      <xdr:nvPicPr>
        <xdr:cNvPr id="4" name="Picture 1">
          <a:extLst>
            <a:ext uri="{FF2B5EF4-FFF2-40B4-BE49-F238E27FC236}">
              <a16:creationId xmlns:a16="http://schemas.microsoft.com/office/drawing/2014/main" id="{00000000-0008-0000-19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38100" y="19050"/>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66675</xdr:colOff>
      <xdr:row>0</xdr:row>
      <xdr:rowOff>19050</xdr:rowOff>
    </xdr:from>
    <xdr:to>
      <xdr:col>2</xdr:col>
      <xdr:colOff>19050</xdr:colOff>
      <xdr:row>3</xdr:row>
      <xdr:rowOff>5210</xdr:rowOff>
    </xdr:to>
    <xdr:pic>
      <xdr:nvPicPr>
        <xdr:cNvPr id="3" name="Picture 1">
          <a:extLst>
            <a:ext uri="{FF2B5EF4-FFF2-40B4-BE49-F238E27FC236}">
              <a16:creationId xmlns:a16="http://schemas.microsoft.com/office/drawing/2014/main" id="{00000000-0008-0000-1A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66675" y="19050"/>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2</xdr:col>
      <xdr:colOff>0</xdr:colOff>
      <xdr:row>2</xdr:row>
      <xdr:rowOff>176660</xdr:rowOff>
    </xdr:to>
    <xdr:pic>
      <xdr:nvPicPr>
        <xdr:cNvPr id="4" name="Picture 1">
          <a:extLst>
            <a:ext uri="{FF2B5EF4-FFF2-40B4-BE49-F238E27FC236}">
              <a16:creationId xmlns:a16="http://schemas.microsoft.com/office/drawing/2014/main" id="{00000000-0008-0000-1B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38100" y="85725"/>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1</xdr:col>
      <xdr:colOff>666750</xdr:colOff>
      <xdr:row>2</xdr:row>
      <xdr:rowOff>157610</xdr:rowOff>
    </xdr:to>
    <xdr:pic>
      <xdr:nvPicPr>
        <xdr:cNvPr id="5" name="Picture 1">
          <a:extLst>
            <a:ext uri="{FF2B5EF4-FFF2-40B4-BE49-F238E27FC236}">
              <a16:creationId xmlns:a16="http://schemas.microsoft.com/office/drawing/2014/main" id="{00000000-0008-0000-1C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47625" y="66675"/>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1</xdr:col>
      <xdr:colOff>685800</xdr:colOff>
      <xdr:row>2</xdr:row>
      <xdr:rowOff>157610</xdr:rowOff>
    </xdr:to>
    <xdr:pic>
      <xdr:nvPicPr>
        <xdr:cNvPr id="3" name="Picture 1">
          <a:extLst>
            <a:ext uri="{FF2B5EF4-FFF2-40B4-BE49-F238E27FC236}">
              <a16:creationId xmlns:a16="http://schemas.microsoft.com/office/drawing/2014/main" id="{00000000-0008-0000-1D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47625" y="9525"/>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1219200</xdr:colOff>
      <xdr:row>3</xdr:row>
      <xdr:rowOff>114300</xdr:rowOff>
    </xdr:to>
    <xdr:pic>
      <xdr:nvPicPr>
        <xdr:cNvPr id="439688" name="Picture 2">
          <a:extLst>
            <a:ext uri="{FF2B5EF4-FFF2-40B4-BE49-F238E27FC236}">
              <a16:creationId xmlns:a16="http://schemas.microsoft.com/office/drawing/2014/main" id="{00000000-0008-0000-1E00-000088B506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514" t="13245" r="8646" b="14067"/>
        <a:stretch>
          <a:fillRect/>
        </a:stretch>
      </xdr:blipFill>
      <xdr:spPr bwMode="auto">
        <a:xfrm>
          <a:off x="0" y="0"/>
          <a:ext cx="12192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295758" name="Picture 2">
          <a:extLst>
            <a:ext uri="{FF2B5EF4-FFF2-40B4-BE49-F238E27FC236}">
              <a16:creationId xmlns:a16="http://schemas.microsoft.com/office/drawing/2014/main" id="{00000000-0008-0000-0400-00004E83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1</xdr:col>
      <xdr:colOff>695325</xdr:colOff>
      <xdr:row>2</xdr:row>
      <xdr:rowOff>186185</xdr:rowOff>
    </xdr:to>
    <xdr:pic>
      <xdr:nvPicPr>
        <xdr:cNvPr id="3" name="Picture 1">
          <a:extLst>
            <a:ext uri="{FF2B5EF4-FFF2-40B4-BE49-F238E27FC236}">
              <a16:creationId xmlns:a16="http://schemas.microsoft.com/office/drawing/2014/main" id="{00000000-0008-0000-1F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57150" y="95250"/>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1</xdr:col>
      <xdr:colOff>695325</xdr:colOff>
      <xdr:row>2</xdr:row>
      <xdr:rowOff>186185</xdr:rowOff>
    </xdr:to>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514" t="26874" r="8646" b="25424"/>
        <a:stretch/>
      </xdr:blipFill>
      <xdr:spPr bwMode="auto">
        <a:xfrm>
          <a:off x="57150" y="95250"/>
          <a:ext cx="1438275" cy="471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0</xdr:col>
      <xdr:colOff>1562100</xdr:colOff>
      <xdr:row>3</xdr:row>
      <xdr:rowOff>95250</xdr:rowOff>
    </xdr:to>
    <xdr:pic>
      <xdr:nvPicPr>
        <xdr:cNvPr id="459923" name="Picture 1">
          <a:extLst>
            <a:ext uri="{FF2B5EF4-FFF2-40B4-BE49-F238E27FC236}">
              <a16:creationId xmlns:a16="http://schemas.microsoft.com/office/drawing/2014/main" id="{00000000-0008-0000-2100-0000930407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514" t="13245" r="8646" b="14067"/>
        <a:stretch>
          <a:fillRect/>
        </a:stretch>
      </xdr:blipFill>
      <xdr:spPr bwMode="auto">
        <a:xfrm>
          <a:off x="95250" y="66675"/>
          <a:ext cx="14668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316306" name="Picture 2">
          <a:extLst>
            <a:ext uri="{FF2B5EF4-FFF2-40B4-BE49-F238E27FC236}">
              <a16:creationId xmlns:a16="http://schemas.microsoft.com/office/drawing/2014/main" id="{00000000-0008-0000-2200-000092D3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1466850</xdr:colOff>
      <xdr:row>3</xdr:row>
      <xdr:rowOff>114300</xdr:rowOff>
    </xdr:to>
    <xdr:pic>
      <xdr:nvPicPr>
        <xdr:cNvPr id="316307" name="Picture 1">
          <a:extLst>
            <a:ext uri="{FF2B5EF4-FFF2-40B4-BE49-F238E27FC236}">
              <a16:creationId xmlns:a16="http://schemas.microsoft.com/office/drawing/2014/main" id="{00000000-0008-0000-2200-000093D304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8514" t="13245" r="8646" b="14067"/>
        <a:stretch>
          <a:fillRect/>
        </a:stretch>
      </xdr:blipFill>
      <xdr:spPr bwMode="auto">
        <a:xfrm>
          <a:off x="0" y="0"/>
          <a:ext cx="14668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444778" name="Picture 2">
          <a:extLst>
            <a:ext uri="{FF2B5EF4-FFF2-40B4-BE49-F238E27FC236}">
              <a16:creationId xmlns:a16="http://schemas.microsoft.com/office/drawing/2014/main" id="{00000000-0008-0000-0500-00006AC906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297826" name="Picture 2">
          <a:extLst>
            <a:ext uri="{FF2B5EF4-FFF2-40B4-BE49-F238E27FC236}">
              <a16:creationId xmlns:a16="http://schemas.microsoft.com/office/drawing/2014/main" id="{00000000-0008-0000-0600-0000628B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462977" name="Picture 2">
          <a:extLst>
            <a:ext uri="{FF2B5EF4-FFF2-40B4-BE49-F238E27FC236}">
              <a16:creationId xmlns:a16="http://schemas.microsoft.com/office/drawing/2014/main" id="{00000000-0008-0000-0700-00008110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463996" name="Picture 2">
          <a:extLst>
            <a:ext uri="{FF2B5EF4-FFF2-40B4-BE49-F238E27FC236}">
              <a16:creationId xmlns:a16="http://schemas.microsoft.com/office/drawing/2014/main" id="{00000000-0008-0000-0800-00007C14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465017" name="Picture 2">
          <a:extLst>
            <a:ext uri="{FF2B5EF4-FFF2-40B4-BE49-F238E27FC236}">
              <a16:creationId xmlns:a16="http://schemas.microsoft.com/office/drawing/2014/main" id="{00000000-0008-0000-0900-00007918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962025</xdr:colOff>
      <xdr:row>3</xdr:row>
      <xdr:rowOff>28575</xdr:rowOff>
    </xdr:to>
    <xdr:pic>
      <xdr:nvPicPr>
        <xdr:cNvPr id="466034" name="Picture 2">
          <a:extLst>
            <a:ext uri="{FF2B5EF4-FFF2-40B4-BE49-F238E27FC236}">
              <a16:creationId xmlns:a16="http://schemas.microsoft.com/office/drawing/2014/main" id="{00000000-0008-0000-0A00-0000721C07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28575"/>
          <a:ext cx="800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eranti/2SER090710-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ata/4%20NUVALI%20VESTA/VP/Concept%20Approval%20FS/Vesta%2020090706%20Cons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7.4.32/Shared%20Folder/Users/Elizabeth%20Carascoso/Desktop/KT%20Bartolome/fr%20Project%20Director/fr%20DEM/Woodridge%20Place%20Ph2_Initial%20runs%20(Linden%20&amp;%20Mahogany)%20adjusted%20201009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Data/Serendra/Sales/Invento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ata/Sime%20Darby/Financials/2007.08.08/SZ%20Conso%208.8.07%20JD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heraclene.frio/Documents/HPI%20Tagaytay%20Highlands/Midlands/HORIZON%20Phase%202/Horizon%20Phase%202/PD/Pricing%20Strategy/Copy%20of%20FROM%20IGF_Horizon%20Phase%202%20Pricing%20rev%2018%20May%2020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Heraclene.Frio/AppData/Local/Microsoft/Windows/INetCache/Content.Outlook/UIVFZ5LF/Copy%20of%20Pricelist_Horizon%20Terraces_sales%20roll%20out%20May%2031%202017_for%20Sales%20Admi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Heraclene.Frio/Desktop/Kaye%20HPI%20files/Documents/HPI%20Tagaytay%20Highlands/Midlands/HORIZON%20Phase%202/Horizon%20Phase%202/Sales/Pricelist/HT%20Historical%20Pricelist%20as%20%20of%202020%20F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PR"/>
      <sheetName val="GL"/>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sept10 gpm (3)"/>
      <sheetName val="15sept10 gpm (2)"/>
      <sheetName val="Summary_Woodridge"/>
      <sheetName val="P&amp;L Highlights"/>
      <sheetName val="Assumptions"/>
      <sheetName val="Monthly"/>
      <sheetName val="Annual"/>
      <sheetName val="Landowner"/>
      <sheetName val="Schedules"/>
      <sheetName val="Mar'15 turnover to buyers"/>
      <sheetName val="take-up sched"/>
      <sheetName val="SUMMARY"/>
      <sheetName val="EXCOM"/>
      <sheetName val="15sept10 gpm"/>
      <sheetName val="COMM"/>
    </sheetNames>
    <sheetDataSet>
      <sheetData sheetId="0"/>
      <sheetData sheetId="1"/>
      <sheetData sheetId="2"/>
      <sheetData sheetId="3"/>
      <sheetData sheetId="4">
        <row r="132">
          <cell r="E132">
            <v>0</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ke-Up"/>
      <sheetName val="data"/>
      <sheetName val="GAE8'97"/>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14.2017"/>
      <sheetName val="Pricing-Kaye"/>
      <sheetName val="Summary"/>
      <sheetName val="Parking Price"/>
      <sheetName val="Pricing Detail"/>
      <sheetName val="TH"/>
      <sheetName val="Price Chart"/>
      <sheetName val="Pricing SUMMARY (VAT-Ex)"/>
      <sheetName val="Pricing SUMMARY-VATIn"/>
      <sheetName val="Summary (VAT-IN)"/>
      <sheetName val="Units-Parking"/>
      <sheetName val="GFA"/>
      <sheetName val="cost"/>
      <sheetName val="P&amp;L per phase"/>
      <sheetName val="P&amp;L"/>
      <sheetName val="condo 1"/>
      <sheetName val="P&amp;L presentation"/>
      <sheetName val="sales assumption"/>
      <sheetName val="Financial assumptions"/>
      <sheetName val="Payment terms"/>
      <sheetName val="Pricing SUMMARY (VAT-Ex) (2)"/>
      <sheetName val="garden suites"/>
      <sheetName val="garden villas"/>
      <sheetName val="Sheet3"/>
      <sheetName val="min max ave"/>
      <sheetName val="DATA SHEET"/>
      <sheetName val="INST1_Mem"/>
      <sheetName val="INST1_Non-Mem"/>
      <sheetName val="INST2_Non-mem"/>
      <sheetName val="INST2_Mem"/>
      <sheetName val="No DP_Term1_Non-mem"/>
      <sheetName val="No DP_Term1_M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7">
          <cell r="D7" t="str">
            <v>GA</v>
          </cell>
          <cell r="E7" t="str">
            <v>1-Bedroom Terrace Suite</v>
          </cell>
          <cell r="F7">
            <v>67.900000000000006</v>
          </cell>
          <cell r="G7">
            <v>10061680</v>
          </cell>
          <cell r="L7">
            <v>8313494.0000000009</v>
          </cell>
          <cell r="M7">
            <v>8314000</v>
          </cell>
          <cell r="N7">
            <v>997680</v>
          </cell>
          <cell r="O7">
            <v>9311680</v>
          </cell>
          <cell r="P7">
            <v>750000</v>
          </cell>
          <cell r="R7">
            <v>249420</v>
          </cell>
          <cell r="S7">
            <v>161291.6</v>
          </cell>
          <cell r="T7">
            <v>7903288.4000000004</v>
          </cell>
          <cell r="U7">
            <v>79032.884000000005</v>
          </cell>
        </row>
        <row r="8">
          <cell r="D8" t="str">
            <v>GB</v>
          </cell>
          <cell r="E8" t="str">
            <v>1-Bedroom Terrace Suite</v>
          </cell>
          <cell r="F8">
            <v>67.900000000000006</v>
          </cell>
          <cell r="G8">
            <v>9150000</v>
          </cell>
          <cell r="L8">
            <v>7499646.0000000009</v>
          </cell>
          <cell r="M8">
            <v>7500000</v>
          </cell>
          <cell r="N8">
            <v>900000</v>
          </cell>
          <cell r="O8">
            <v>8400000</v>
          </cell>
          <cell r="P8">
            <v>750000</v>
          </cell>
          <cell r="R8">
            <v>225000</v>
          </cell>
          <cell r="S8">
            <v>145500</v>
          </cell>
          <cell r="T8">
            <v>7129500</v>
          </cell>
          <cell r="U8">
            <v>71295</v>
          </cell>
        </row>
        <row r="9">
          <cell r="D9" t="str">
            <v>GC</v>
          </cell>
          <cell r="E9" t="str">
            <v>1-Bedroom Terrace Suite</v>
          </cell>
          <cell r="F9">
            <v>67.900000000000006</v>
          </cell>
          <cell r="G9">
            <v>9150000</v>
          </cell>
          <cell r="L9">
            <v>7499646.0000000009</v>
          </cell>
          <cell r="M9">
            <v>7500000</v>
          </cell>
          <cell r="N9">
            <v>900000</v>
          </cell>
          <cell r="O9">
            <v>8400000</v>
          </cell>
          <cell r="P9">
            <v>750000</v>
          </cell>
          <cell r="R9">
            <v>225000</v>
          </cell>
          <cell r="S9">
            <v>145500</v>
          </cell>
          <cell r="T9">
            <v>7129500</v>
          </cell>
          <cell r="U9">
            <v>71295</v>
          </cell>
        </row>
        <row r="10">
          <cell r="D10" t="str">
            <v>GD</v>
          </cell>
          <cell r="E10" t="str">
            <v>1-Bedroom Terrace Suite</v>
          </cell>
          <cell r="F10">
            <v>67.900000000000006</v>
          </cell>
          <cell r="G10">
            <v>9150000</v>
          </cell>
          <cell r="L10">
            <v>7499646.0000000009</v>
          </cell>
          <cell r="M10">
            <v>7500000</v>
          </cell>
          <cell r="N10">
            <v>900000</v>
          </cell>
          <cell r="O10">
            <v>8400000</v>
          </cell>
          <cell r="P10">
            <v>750000</v>
          </cell>
          <cell r="R10">
            <v>225000</v>
          </cell>
          <cell r="S10">
            <v>145500</v>
          </cell>
          <cell r="T10">
            <v>7129500</v>
          </cell>
          <cell r="U10">
            <v>71295</v>
          </cell>
        </row>
        <row r="11">
          <cell r="D11" t="str">
            <v>GE</v>
          </cell>
          <cell r="E11" t="str">
            <v>1-Bedroom Terrace Suite</v>
          </cell>
          <cell r="F11">
            <v>67.900000000000006</v>
          </cell>
          <cell r="G11">
            <v>9150000</v>
          </cell>
          <cell r="L11">
            <v>7499646.0000000009</v>
          </cell>
          <cell r="M11">
            <v>7500000</v>
          </cell>
          <cell r="N11">
            <v>900000</v>
          </cell>
          <cell r="O11">
            <v>8400000</v>
          </cell>
          <cell r="P11">
            <v>750000</v>
          </cell>
          <cell r="R11">
            <v>225000</v>
          </cell>
          <cell r="S11">
            <v>145500</v>
          </cell>
          <cell r="T11">
            <v>7129500</v>
          </cell>
          <cell r="U11">
            <v>71295</v>
          </cell>
        </row>
        <row r="12">
          <cell r="D12" t="str">
            <v>GF</v>
          </cell>
          <cell r="E12" t="str">
            <v>1-Bedroom Terrace Suite</v>
          </cell>
          <cell r="F12">
            <v>67.900000000000006</v>
          </cell>
          <cell r="G12">
            <v>10617200</v>
          </cell>
          <cell r="L12">
            <v>8809822</v>
          </cell>
          <cell r="M12">
            <v>8810000</v>
          </cell>
          <cell r="N12">
            <v>1057200</v>
          </cell>
          <cell r="O12">
            <v>9867200</v>
          </cell>
          <cell r="P12">
            <v>750000</v>
          </cell>
          <cell r="R12">
            <v>264300</v>
          </cell>
          <cell r="S12">
            <v>170914</v>
          </cell>
          <cell r="T12">
            <v>8374786</v>
          </cell>
          <cell r="U12">
            <v>83747.86</v>
          </cell>
        </row>
        <row r="13">
          <cell r="D13" t="str">
            <v>GG</v>
          </cell>
          <cell r="E13" t="str">
            <v>2-Bedroom</v>
          </cell>
          <cell r="F13">
            <v>65.599999999999994</v>
          </cell>
          <cell r="G13">
            <v>9934000</v>
          </cell>
          <cell r="L13">
            <v>8199999.9999999991</v>
          </cell>
          <cell r="M13">
            <v>8200000</v>
          </cell>
          <cell r="N13">
            <v>984000</v>
          </cell>
          <cell r="O13">
            <v>9184000</v>
          </cell>
          <cell r="P13">
            <v>750000</v>
          </cell>
          <cell r="R13">
            <v>246000</v>
          </cell>
          <cell r="S13">
            <v>159080</v>
          </cell>
          <cell r="T13">
            <v>7794920</v>
          </cell>
          <cell r="U13">
            <v>77949.2</v>
          </cell>
        </row>
        <row r="14">
          <cell r="D14" t="str">
            <v>GH</v>
          </cell>
          <cell r="E14" t="str">
            <v>1-Bedroom</v>
          </cell>
          <cell r="F14">
            <v>43.12</v>
          </cell>
          <cell r="G14">
            <v>6546000</v>
          </cell>
          <cell r="L14">
            <v>5174400</v>
          </cell>
          <cell r="M14">
            <v>5175000</v>
          </cell>
          <cell r="N14">
            <v>621000</v>
          </cell>
          <cell r="O14">
            <v>5796000</v>
          </cell>
          <cell r="P14">
            <v>750000</v>
          </cell>
          <cell r="R14">
            <v>155250</v>
          </cell>
          <cell r="S14">
            <v>100395</v>
          </cell>
          <cell r="T14">
            <v>4919355</v>
          </cell>
          <cell r="U14">
            <v>49193.55</v>
          </cell>
        </row>
        <row r="15">
          <cell r="D15" t="str">
            <v>GK</v>
          </cell>
          <cell r="E15" t="str">
            <v>1-Bedroom</v>
          </cell>
          <cell r="F15">
            <v>49.85</v>
          </cell>
          <cell r="G15">
            <v>7114960</v>
          </cell>
          <cell r="L15">
            <v>5682900</v>
          </cell>
          <cell r="M15">
            <v>5683000</v>
          </cell>
          <cell r="N15">
            <v>681960</v>
          </cell>
          <cell r="O15">
            <v>6364960</v>
          </cell>
          <cell r="P15">
            <v>750000</v>
          </cell>
          <cell r="R15">
            <v>170490</v>
          </cell>
          <cell r="S15">
            <v>110250.2</v>
          </cell>
          <cell r="T15">
            <v>5402259.7999999998</v>
          </cell>
          <cell r="U15">
            <v>54022.597999999998</v>
          </cell>
        </row>
        <row r="16">
          <cell r="D16" t="str">
            <v>GL</v>
          </cell>
          <cell r="E16" t="str">
            <v>1-Bedroom</v>
          </cell>
          <cell r="F16">
            <v>43.12</v>
          </cell>
          <cell r="G16">
            <v>6546000</v>
          </cell>
          <cell r="L16">
            <v>5174400</v>
          </cell>
          <cell r="M16">
            <v>5175000</v>
          </cell>
          <cell r="N16">
            <v>621000</v>
          </cell>
          <cell r="O16">
            <v>5796000</v>
          </cell>
          <cell r="P16">
            <v>750000</v>
          </cell>
          <cell r="R16">
            <v>155250</v>
          </cell>
          <cell r="S16">
            <v>100395</v>
          </cell>
          <cell r="T16">
            <v>4919355</v>
          </cell>
          <cell r="U16">
            <v>49193.55</v>
          </cell>
        </row>
        <row r="17">
          <cell r="D17" t="str">
            <v>GM</v>
          </cell>
          <cell r="E17" t="str">
            <v>2-Bedroom</v>
          </cell>
          <cell r="F17">
            <v>65.599999999999994</v>
          </cell>
          <cell r="G17">
            <v>9566640</v>
          </cell>
          <cell r="L17">
            <v>7871999.9999999991</v>
          </cell>
          <cell r="M17">
            <v>7872000</v>
          </cell>
          <cell r="N17">
            <v>944640</v>
          </cell>
          <cell r="O17">
            <v>8816640</v>
          </cell>
          <cell r="P17">
            <v>750000</v>
          </cell>
          <cell r="R17">
            <v>236160</v>
          </cell>
          <cell r="S17">
            <v>152716.80000000002</v>
          </cell>
          <cell r="T17">
            <v>7483123.2000000002</v>
          </cell>
          <cell r="U17">
            <v>74831.232000000004</v>
          </cell>
        </row>
        <row r="18">
          <cell r="D18" t="str">
            <v>2A</v>
          </cell>
          <cell r="E18" t="str">
            <v>2-Bedroom</v>
          </cell>
          <cell r="F18">
            <v>68.349999999999994</v>
          </cell>
          <cell r="G18">
            <v>12233360</v>
          </cell>
          <cell r="L18">
            <v>10252500</v>
          </cell>
          <cell r="M18">
            <v>10253000</v>
          </cell>
          <cell r="N18">
            <v>1230360</v>
          </cell>
          <cell r="O18">
            <v>11483360</v>
          </cell>
          <cell r="P18">
            <v>750000</v>
          </cell>
          <cell r="R18">
            <v>307590</v>
          </cell>
          <cell r="S18">
            <v>198908.2</v>
          </cell>
          <cell r="T18">
            <v>9746501.8000000007</v>
          </cell>
          <cell r="U18">
            <v>97465.018000000011</v>
          </cell>
        </row>
        <row r="19">
          <cell r="D19" t="str">
            <v>2B</v>
          </cell>
          <cell r="E19" t="str">
            <v>1-Bedroom</v>
          </cell>
          <cell r="F19">
            <v>43.12</v>
          </cell>
          <cell r="G19">
            <v>7657040</v>
          </cell>
          <cell r="L19">
            <v>6166160</v>
          </cell>
          <cell r="M19">
            <v>6167000</v>
          </cell>
          <cell r="N19">
            <v>740040</v>
          </cell>
          <cell r="O19">
            <v>6907040</v>
          </cell>
          <cell r="P19">
            <v>750000</v>
          </cell>
          <cell r="R19">
            <v>185010</v>
          </cell>
          <cell r="S19">
            <v>119639.8</v>
          </cell>
          <cell r="T19">
            <v>5862350.2000000002</v>
          </cell>
          <cell r="U19">
            <v>58623.502</v>
          </cell>
        </row>
        <row r="20">
          <cell r="D20" t="str">
            <v>2C</v>
          </cell>
          <cell r="E20" t="str">
            <v>1-Bedroom</v>
          </cell>
          <cell r="F20">
            <v>43.12</v>
          </cell>
          <cell r="G20">
            <v>7657040</v>
          </cell>
          <cell r="L20">
            <v>6166160</v>
          </cell>
          <cell r="M20">
            <v>6167000</v>
          </cell>
          <cell r="N20">
            <v>740040</v>
          </cell>
          <cell r="O20">
            <v>6907040</v>
          </cell>
          <cell r="P20">
            <v>750000</v>
          </cell>
          <cell r="R20">
            <v>185010</v>
          </cell>
          <cell r="S20">
            <v>119639.8</v>
          </cell>
          <cell r="T20">
            <v>5862350.2000000002</v>
          </cell>
          <cell r="U20">
            <v>58623.502</v>
          </cell>
        </row>
        <row r="21">
          <cell r="D21" t="str">
            <v>2D</v>
          </cell>
          <cell r="E21" t="str">
            <v>1-Bedroom</v>
          </cell>
          <cell r="F21">
            <v>43.12</v>
          </cell>
          <cell r="G21">
            <v>7657040</v>
          </cell>
          <cell r="L21">
            <v>6166160</v>
          </cell>
          <cell r="M21">
            <v>6167000</v>
          </cell>
          <cell r="N21">
            <v>740040</v>
          </cell>
          <cell r="O21">
            <v>6907040</v>
          </cell>
          <cell r="P21">
            <v>750000</v>
          </cell>
          <cell r="R21">
            <v>185010</v>
          </cell>
          <cell r="S21">
            <v>119639.8</v>
          </cell>
          <cell r="T21">
            <v>5862350.2000000002</v>
          </cell>
          <cell r="U21">
            <v>58623.502</v>
          </cell>
        </row>
        <row r="22">
          <cell r="D22" t="str">
            <v>2E</v>
          </cell>
          <cell r="E22" t="str">
            <v>2-Bedroom</v>
          </cell>
          <cell r="F22">
            <v>68.349999999999994</v>
          </cell>
          <cell r="G22">
            <v>12846000</v>
          </cell>
          <cell r="L22">
            <v>10799300</v>
          </cell>
          <cell r="M22">
            <v>10800000</v>
          </cell>
          <cell r="N22">
            <v>1296000</v>
          </cell>
          <cell r="O22">
            <v>12096000</v>
          </cell>
          <cell r="P22">
            <v>750000</v>
          </cell>
          <cell r="R22">
            <v>324000</v>
          </cell>
          <cell r="S22">
            <v>209520</v>
          </cell>
          <cell r="T22">
            <v>10266480</v>
          </cell>
          <cell r="U22">
            <v>102664.8</v>
          </cell>
        </row>
        <row r="23">
          <cell r="D23" t="str">
            <v>2G</v>
          </cell>
          <cell r="E23" t="str">
            <v>2-Bedroom</v>
          </cell>
          <cell r="F23">
            <v>65.599999999999994</v>
          </cell>
          <cell r="G23">
            <v>11624080</v>
          </cell>
          <cell r="L23">
            <v>9708799.9999999981</v>
          </cell>
          <cell r="M23">
            <v>9709000</v>
          </cell>
          <cell r="N23">
            <v>1165080</v>
          </cell>
          <cell r="O23">
            <v>10874080</v>
          </cell>
          <cell r="P23">
            <v>750000</v>
          </cell>
          <cell r="R23">
            <v>291270</v>
          </cell>
          <cell r="S23">
            <v>188354.6</v>
          </cell>
          <cell r="T23">
            <v>9229375.4000000004</v>
          </cell>
          <cell r="U23">
            <v>92293.754000000001</v>
          </cell>
        </row>
        <row r="24">
          <cell r="D24" t="str">
            <v>2H</v>
          </cell>
          <cell r="E24" t="str">
            <v>1-Bedroom</v>
          </cell>
          <cell r="F24">
            <v>43.12</v>
          </cell>
          <cell r="G24">
            <v>6642320</v>
          </cell>
          <cell r="L24">
            <v>5260640</v>
          </cell>
          <cell r="M24">
            <v>5261000</v>
          </cell>
          <cell r="N24">
            <v>631320</v>
          </cell>
          <cell r="O24">
            <v>5892320</v>
          </cell>
          <cell r="P24">
            <v>750000</v>
          </cell>
          <cell r="R24">
            <v>157830</v>
          </cell>
          <cell r="S24">
            <v>102063.40000000001</v>
          </cell>
          <cell r="T24">
            <v>5001106.5999999996</v>
          </cell>
          <cell r="U24">
            <v>50011.065999999999</v>
          </cell>
        </row>
        <row r="25">
          <cell r="D25" t="str">
            <v>2J</v>
          </cell>
          <cell r="E25" t="str">
            <v>1-Bedroom</v>
          </cell>
          <cell r="F25">
            <v>49.85</v>
          </cell>
          <cell r="G25">
            <v>7226960</v>
          </cell>
          <cell r="L25">
            <v>5782600</v>
          </cell>
          <cell r="M25">
            <v>5783000</v>
          </cell>
          <cell r="N25">
            <v>693960</v>
          </cell>
          <cell r="O25">
            <v>6476960</v>
          </cell>
          <cell r="P25">
            <v>750000</v>
          </cell>
          <cell r="R25">
            <v>173490</v>
          </cell>
          <cell r="S25">
            <v>112190.2</v>
          </cell>
          <cell r="T25">
            <v>5497319.7999999998</v>
          </cell>
          <cell r="U25">
            <v>54973.197999999997</v>
          </cell>
        </row>
        <row r="26">
          <cell r="D26" t="str">
            <v>2K</v>
          </cell>
          <cell r="E26" t="str">
            <v>1-Bedroom</v>
          </cell>
          <cell r="F26">
            <v>49.85</v>
          </cell>
          <cell r="G26">
            <v>7226960</v>
          </cell>
          <cell r="L26">
            <v>5782600</v>
          </cell>
          <cell r="M26">
            <v>5783000</v>
          </cell>
          <cell r="N26">
            <v>693960</v>
          </cell>
          <cell r="O26">
            <v>6476960</v>
          </cell>
          <cell r="P26">
            <v>750000</v>
          </cell>
          <cell r="R26">
            <v>173490</v>
          </cell>
          <cell r="S26">
            <v>112190.2</v>
          </cell>
          <cell r="T26">
            <v>5497319.7999999998</v>
          </cell>
          <cell r="U26">
            <v>54973.197999999997</v>
          </cell>
        </row>
        <row r="27">
          <cell r="D27" t="str">
            <v>2L</v>
          </cell>
          <cell r="E27" t="str">
            <v>1-Bedroom</v>
          </cell>
          <cell r="F27">
            <v>43.12</v>
          </cell>
          <cell r="G27">
            <v>6642320</v>
          </cell>
          <cell r="L27">
            <v>5260640</v>
          </cell>
          <cell r="M27">
            <v>5261000</v>
          </cell>
          <cell r="N27">
            <v>631320</v>
          </cell>
          <cell r="O27">
            <v>5892320</v>
          </cell>
          <cell r="P27">
            <v>750000</v>
          </cell>
          <cell r="R27">
            <v>157830</v>
          </cell>
          <cell r="S27">
            <v>102063.40000000001</v>
          </cell>
          <cell r="T27">
            <v>5001106.5999999996</v>
          </cell>
          <cell r="U27">
            <v>50011.065999999999</v>
          </cell>
        </row>
        <row r="28">
          <cell r="D28" t="str">
            <v>2M</v>
          </cell>
          <cell r="E28" t="str">
            <v>2-Bedroom</v>
          </cell>
          <cell r="F28">
            <v>65.599999999999994</v>
          </cell>
          <cell r="G28">
            <v>11256720</v>
          </cell>
          <cell r="L28">
            <v>9380799.9999999981</v>
          </cell>
          <cell r="M28">
            <v>9381000</v>
          </cell>
          <cell r="N28">
            <v>1125720</v>
          </cell>
          <cell r="O28">
            <v>10506720</v>
          </cell>
          <cell r="P28">
            <v>750000</v>
          </cell>
          <cell r="R28">
            <v>281430</v>
          </cell>
          <cell r="S28">
            <v>181991.4</v>
          </cell>
          <cell r="T28">
            <v>8917578.5999999996</v>
          </cell>
          <cell r="U28">
            <v>89175.785999999993</v>
          </cell>
        </row>
        <row r="29">
          <cell r="D29" t="str">
            <v>3A</v>
          </cell>
          <cell r="E29" t="str">
            <v>2-Bedroom</v>
          </cell>
          <cell r="F29">
            <v>68.349999999999994</v>
          </cell>
          <cell r="G29">
            <v>12462960</v>
          </cell>
          <cell r="L29">
            <v>10457550</v>
          </cell>
          <cell r="M29">
            <v>10458000</v>
          </cell>
          <cell r="N29">
            <v>1254960</v>
          </cell>
          <cell r="O29">
            <v>11712960</v>
          </cell>
          <cell r="P29">
            <v>750000</v>
          </cell>
          <cell r="R29">
            <v>313740</v>
          </cell>
          <cell r="S29">
            <v>202885.2</v>
          </cell>
          <cell r="T29">
            <v>9941374.8000000007</v>
          </cell>
          <cell r="U29">
            <v>99413.748000000007</v>
          </cell>
        </row>
        <row r="30">
          <cell r="D30" t="str">
            <v>3B</v>
          </cell>
          <cell r="E30" t="str">
            <v>1-Bedroom</v>
          </cell>
          <cell r="F30">
            <v>43.12</v>
          </cell>
          <cell r="G30">
            <v>7801520</v>
          </cell>
          <cell r="L30">
            <v>6295520</v>
          </cell>
          <cell r="M30">
            <v>6296000</v>
          </cell>
          <cell r="N30">
            <v>755520</v>
          </cell>
          <cell r="O30">
            <v>7051520</v>
          </cell>
          <cell r="P30">
            <v>750000</v>
          </cell>
          <cell r="R30">
            <v>188880</v>
          </cell>
          <cell r="S30">
            <v>122142.40000000001</v>
          </cell>
          <cell r="T30">
            <v>5984977.5999999996</v>
          </cell>
          <cell r="U30">
            <v>59849.775999999998</v>
          </cell>
        </row>
        <row r="31">
          <cell r="D31" t="str">
            <v>3C</v>
          </cell>
          <cell r="E31" t="str">
            <v>1-Bedroom</v>
          </cell>
          <cell r="F31">
            <v>43.12</v>
          </cell>
          <cell r="G31">
            <v>7801520</v>
          </cell>
          <cell r="L31">
            <v>6295520</v>
          </cell>
          <cell r="M31">
            <v>6296000</v>
          </cell>
          <cell r="N31">
            <v>755520</v>
          </cell>
          <cell r="O31">
            <v>7051520</v>
          </cell>
          <cell r="P31">
            <v>750000</v>
          </cell>
          <cell r="R31">
            <v>188880</v>
          </cell>
          <cell r="S31">
            <v>122142.40000000001</v>
          </cell>
          <cell r="T31">
            <v>5984977.5999999996</v>
          </cell>
          <cell r="U31">
            <v>59849.775999999998</v>
          </cell>
        </row>
        <row r="32">
          <cell r="D32" t="str">
            <v>3D</v>
          </cell>
          <cell r="E32" t="str">
            <v>1-Bedroom</v>
          </cell>
          <cell r="F32">
            <v>43.12</v>
          </cell>
          <cell r="G32">
            <v>7801520</v>
          </cell>
          <cell r="L32">
            <v>6295520</v>
          </cell>
          <cell r="M32">
            <v>6296000</v>
          </cell>
          <cell r="N32">
            <v>755520</v>
          </cell>
          <cell r="O32">
            <v>7051520</v>
          </cell>
          <cell r="P32">
            <v>750000</v>
          </cell>
          <cell r="R32">
            <v>188880</v>
          </cell>
          <cell r="S32">
            <v>122142.40000000001</v>
          </cell>
          <cell r="T32">
            <v>5984977.5999999996</v>
          </cell>
          <cell r="U32">
            <v>59849.775999999998</v>
          </cell>
        </row>
        <row r="33">
          <cell r="D33" t="str">
            <v>3E</v>
          </cell>
          <cell r="E33" t="str">
            <v>2-Bedroom</v>
          </cell>
          <cell r="F33">
            <v>68.349999999999994</v>
          </cell>
          <cell r="G33">
            <v>13075600</v>
          </cell>
          <cell r="L33">
            <v>11004349.999999998</v>
          </cell>
          <cell r="M33">
            <v>11005000</v>
          </cell>
          <cell r="N33">
            <v>1320600</v>
          </cell>
          <cell r="O33">
            <v>12325600</v>
          </cell>
          <cell r="P33">
            <v>750000</v>
          </cell>
          <cell r="R33">
            <v>330150</v>
          </cell>
          <cell r="S33">
            <v>213497</v>
          </cell>
          <cell r="T33">
            <v>10461353</v>
          </cell>
          <cell r="U33">
            <v>104613.53</v>
          </cell>
        </row>
        <row r="34">
          <cell r="D34" t="str">
            <v>3G</v>
          </cell>
          <cell r="E34" t="str">
            <v>2-Bedroom</v>
          </cell>
          <cell r="F34">
            <v>65.599999999999994</v>
          </cell>
          <cell r="G34">
            <v>11770800</v>
          </cell>
          <cell r="L34">
            <v>9840000</v>
          </cell>
          <cell r="M34">
            <v>9840000</v>
          </cell>
          <cell r="N34">
            <v>1180800</v>
          </cell>
          <cell r="O34">
            <v>11020800</v>
          </cell>
          <cell r="P34">
            <v>750000</v>
          </cell>
          <cell r="R34">
            <v>295200</v>
          </cell>
          <cell r="S34">
            <v>190896</v>
          </cell>
          <cell r="T34">
            <v>9353904</v>
          </cell>
          <cell r="U34">
            <v>93539.040000000008</v>
          </cell>
        </row>
        <row r="35">
          <cell r="D35" t="str">
            <v>3H</v>
          </cell>
          <cell r="E35" t="str">
            <v>1-Bedroom</v>
          </cell>
          <cell r="F35">
            <v>43.12</v>
          </cell>
          <cell r="G35">
            <v>6738640</v>
          </cell>
          <cell r="L35">
            <v>5346880</v>
          </cell>
          <cell r="M35">
            <v>5347000</v>
          </cell>
          <cell r="N35">
            <v>641640</v>
          </cell>
          <cell r="O35">
            <v>5988640</v>
          </cell>
          <cell r="P35">
            <v>750000</v>
          </cell>
          <cell r="R35">
            <v>160410</v>
          </cell>
          <cell r="S35">
            <v>103731.8</v>
          </cell>
          <cell r="T35">
            <v>5082858.2</v>
          </cell>
          <cell r="U35">
            <v>50828.582000000002</v>
          </cell>
        </row>
        <row r="36">
          <cell r="D36" t="str">
            <v>3J</v>
          </cell>
          <cell r="E36" t="str">
            <v>1-Bedroom</v>
          </cell>
          <cell r="F36">
            <v>49.85</v>
          </cell>
          <cell r="G36">
            <v>7338960</v>
          </cell>
          <cell r="L36">
            <v>5882300</v>
          </cell>
          <cell r="M36">
            <v>5883000</v>
          </cell>
          <cell r="N36">
            <v>705960</v>
          </cell>
          <cell r="O36">
            <v>6588960</v>
          </cell>
          <cell r="P36">
            <v>750000</v>
          </cell>
          <cell r="R36">
            <v>176490</v>
          </cell>
          <cell r="S36">
            <v>114130.2</v>
          </cell>
          <cell r="T36">
            <v>5592379.7999999998</v>
          </cell>
          <cell r="U36">
            <v>55923.798000000003</v>
          </cell>
        </row>
        <row r="37">
          <cell r="D37" t="str">
            <v>3K</v>
          </cell>
          <cell r="E37" t="str">
            <v>1-Bedroom</v>
          </cell>
          <cell r="F37">
            <v>49.85</v>
          </cell>
          <cell r="G37">
            <v>7338960</v>
          </cell>
          <cell r="L37">
            <v>5882300</v>
          </cell>
          <cell r="M37">
            <v>5883000</v>
          </cell>
          <cell r="N37">
            <v>705960</v>
          </cell>
          <cell r="O37">
            <v>6588960</v>
          </cell>
          <cell r="P37">
            <v>750000</v>
          </cell>
          <cell r="R37">
            <v>176490</v>
          </cell>
          <cell r="S37">
            <v>114130.2</v>
          </cell>
          <cell r="T37">
            <v>5592379.7999999998</v>
          </cell>
          <cell r="U37">
            <v>55923.798000000003</v>
          </cell>
        </row>
        <row r="38">
          <cell r="D38" t="str">
            <v>3L</v>
          </cell>
          <cell r="E38" t="str">
            <v>1-Bedroom</v>
          </cell>
          <cell r="F38">
            <v>43.12</v>
          </cell>
          <cell r="G38">
            <v>6738640</v>
          </cell>
          <cell r="L38">
            <v>5346880</v>
          </cell>
          <cell r="M38">
            <v>5347000</v>
          </cell>
          <cell r="N38">
            <v>641640</v>
          </cell>
          <cell r="O38">
            <v>5988640</v>
          </cell>
          <cell r="P38">
            <v>750000</v>
          </cell>
          <cell r="R38">
            <v>160410</v>
          </cell>
          <cell r="S38">
            <v>103731.8</v>
          </cell>
          <cell r="T38">
            <v>5082858.2</v>
          </cell>
          <cell r="U38">
            <v>50828.582000000002</v>
          </cell>
        </row>
        <row r="39">
          <cell r="D39" t="str">
            <v>3M</v>
          </cell>
          <cell r="E39" t="str">
            <v>2-Bedroom</v>
          </cell>
          <cell r="F39">
            <v>65.599999999999994</v>
          </cell>
          <cell r="G39">
            <v>11403440</v>
          </cell>
          <cell r="L39">
            <v>9511999.9999999981</v>
          </cell>
          <cell r="M39">
            <v>9512000</v>
          </cell>
          <cell r="N39">
            <v>1141440</v>
          </cell>
          <cell r="O39">
            <v>10653440</v>
          </cell>
          <cell r="P39">
            <v>750000</v>
          </cell>
          <cell r="R39">
            <v>285360</v>
          </cell>
          <cell r="S39">
            <v>184532.80000000002</v>
          </cell>
          <cell r="T39">
            <v>9042107.1999999993</v>
          </cell>
          <cell r="U39">
            <v>90421.072</v>
          </cell>
        </row>
        <row r="40">
          <cell r="D40" t="str">
            <v>5A</v>
          </cell>
          <cell r="E40" t="str">
            <v>2-Bedroom</v>
          </cell>
          <cell r="F40">
            <v>68.349999999999994</v>
          </cell>
          <cell r="G40">
            <v>12692560</v>
          </cell>
          <cell r="L40">
            <v>10662600</v>
          </cell>
          <cell r="M40">
            <v>10663000</v>
          </cell>
          <cell r="N40">
            <v>1279560</v>
          </cell>
          <cell r="O40">
            <v>11942560</v>
          </cell>
          <cell r="P40">
            <v>750000</v>
          </cell>
          <cell r="R40">
            <v>319890</v>
          </cell>
          <cell r="S40">
            <v>206862.2</v>
          </cell>
          <cell r="T40">
            <v>10136247.800000001</v>
          </cell>
          <cell r="U40">
            <v>101362.478</v>
          </cell>
        </row>
        <row r="41">
          <cell r="D41" t="str">
            <v>5B</v>
          </cell>
          <cell r="E41" t="str">
            <v>1-Bedroom</v>
          </cell>
          <cell r="F41">
            <v>43.12</v>
          </cell>
          <cell r="G41">
            <v>7946000</v>
          </cell>
          <cell r="L41">
            <v>6424880</v>
          </cell>
          <cell r="M41">
            <v>6425000</v>
          </cell>
          <cell r="N41">
            <v>771000</v>
          </cell>
          <cell r="O41">
            <v>7196000</v>
          </cell>
          <cell r="P41">
            <v>750000</v>
          </cell>
          <cell r="R41">
            <v>192750</v>
          </cell>
          <cell r="S41">
            <v>124645</v>
          </cell>
          <cell r="T41">
            <v>6107605</v>
          </cell>
          <cell r="U41">
            <v>61076.05</v>
          </cell>
        </row>
        <row r="42">
          <cell r="D42" t="str">
            <v>5C</v>
          </cell>
          <cell r="E42" t="str">
            <v>1-Bedroom</v>
          </cell>
          <cell r="F42">
            <v>43.12</v>
          </cell>
          <cell r="G42">
            <v>7946000</v>
          </cell>
          <cell r="L42">
            <v>6424880</v>
          </cell>
          <cell r="M42">
            <v>6425000</v>
          </cell>
          <cell r="N42">
            <v>771000</v>
          </cell>
          <cell r="O42">
            <v>7196000</v>
          </cell>
          <cell r="P42">
            <v>750000</v>
          </cell>
          <cell r="R42">
            <v>192750</v>
          </cell>
          <cell r="S42">
            <v>124645</v>
          </cell>
          <cell r="T42">
            <v>6107605</v>
          </cell>
          <cell r="U42">
            <v>61076.05</v>
          </cell>
        </row>
        <row r="43">
          <cell r="D43" t="str">
            <v>5D</v>
          </cell>
          <cell r="E43" t="str">
            <v>1-Bedroom</v>
          </cell>
          <cell r="F43">
            <v>43.12</v>
          </cell>
          <cell r="G43">
            <v>7946000</v>
          </cell>
          <cell r="L43">
            <v>6424880</v>
          </cell>
          <cell r="M43">
            <v>6425000</v>
          </cell>
          <cell r="N43">
            <v>771000</v>
          </cell>
          <cell r="O43">
            <v>7196000</v>
          </cell>
          <cell r="P43">
            <v>750000</v>
          </cell>
          <cell r="R43">
            <v>192750</v>
          </cell>
          <cell r="S43">
            <v>124645</v>
          </cell>
          <cell r="T43">
            <v>6107605</v>
          </cell>
          <cell r="U43">
            <v>61076.05</v>
          </cell>
        </row>
        <row r="44">
          <cell r="D44" t="str">
            <v>5E</v>
          </cell>
          <cell r="E44" t="str">
            <v>2-Bedroom</v>
          </cell>
          <cell r="F44">
            <v>68.349999999999994</v>
          </cell>
          <cell r="G44">
            <v>13305200</v>
          </cell>
          <cell r="L44">
            <v>11209399.999999998</v>
          </cell>
          <cell r="M44">
            <v>11210000</v>
          </cell>
          <cell r="N44">
            <v>1345200</v>
          </cell>
          <cell r="O44">
            <v>12555200</v>
          </cell>
          <cell r="P44">
            <v>750000</v>
          </cell>
          <cell r="R44">
            <v>336300</v>
          </cell>
          <cell r="S44">
            <v>217474</v>
          </cell>
          <cell r="T44">
            <v>10656226</v>
          </cell>
          <cell r="U44">
            <v>106562.26000000001</v>
          </cell>
        </row>
        <row r="45">
          <cell r="D45" t="str">
            <v>5G</v>
          </cell>
          <cell r="E45" t="str">
            <v>2-Bedroom</v>
          </cell>
          <cell r="F45">
            <v>65.599999999999994</v>
          </cell>
          <cell r="G45">
            <v>11918640</v>
          </cell>
          <cell r="L45">
            <v>9971200</v>
          </cell>
          <cell r="M45">
            <v>9972000</v>
          </cell>
          <cell r="N45">
            <v>1196640</v>
          </cell>
          <cell r="O45">
            <v>11168640</v>
          </cell>
          <cell r="P45">
            <v>750000</v>
          </cell>
          <cell r="R45">
            <v>299160</v>
          </cell>
          <cell r="S45">
            <v>193456.80000000002</v>
          </cell>
          <cell r="T45">
            <v>9479383.1999999993</v>
          </cell>
          <cell r="U45">
            <v>94793.831999999995</v>
          </cell>
        </row>
        <row r="46">
          <cell r="D46" t="str">
            <v>5H</v>
          </cell>
          <cell r="E46" t="str">
            <v>1-Bedroom</v>
          </cell>
          <cell r="F46">
            <v>43.12</v>
          </cell>
          <cell r="G46">
            <v>6836080</v>
          </cell>
          <cell r="L46">
            <v>5433120</v>
          </cell>
          <cell r="M46">
            <v>5434000</v>
          </cell>
          <cell r="N46">
            <v>652080</v>
          </cell>
          <cell r="O46">
            <v>6086080</v>
          </cell>
          <cell r="P46">
            <v>750000</v>
          </cell>
          <cell r="R46">
            <v>163020</v>
          </cell>
          <cell r="S46">
            <v>105419.6</v>
          </cell>
          <cell r="T46">
            <v>5165560.4000000004</v>
          </cell>
          <cell r="U46">
            <v>51655.604000000007</v>
          </cell>
        </row>
        <row r="47">
          <cell r="D47" t="str">
            <v>5J</v>
          </cell>
          <cell r="E47" t="str">
            <v>1-Bedroom</v>
          </cell>
          <cell r="F47">
            <v>49.85</v>
          </cell>
          <cell r="G47">
            <v>7449840</v>
          </cell>
          <cell r="L47">
            <v>5982000</v>
          </cell>
          <cell r="M47">
            <v>5982000</v>
          </cell>
          <cell r="N47">
            <v>717840</v>
          </cell>
          <cell r="O47">
            <v>6699840</v>
          </cell>
          <cell r="P47">
            <v>750000</v>
          </cell>
          <cell r="R47">
            <v>179460</v>
          </cell>
          <cell r="S47">
            <v>116050.8</v>
          </cell>
          <cell r="T47">
            <v>5686489.2000000002</v>
          </cell>
          <cell r="U47">
            <v>56864.892</v>
          </cell>
        </row>
        <row r="48">
          <cell r="D48" t="str">
            <v>5K</v>
          </cell>
          <cell r="E48" t="str">
            <v>1-Bedroom</v>
          </cell>
          <cell r="F48">
            <v>49.85</v>
          </cell>
          <cell r="G48">
            <v>7449840</v>
          </cell>
          <cell r="L48">
            <v>5982000</v>
          </cell>
          <cell r="M48">
            <v>5982000</v>
          </cell>
          <cell r="N48">
            <v>717840</v>
          </cell>
          <cell r="O48">
            <v>6699840</v>
          </cell>
          <cell r="P48">
            <v>750000</v>
          </cell>
          <cell r="R48">
            <v>179460</v>
          </cell>
          <cell r="S48">
            <v>116050.8</v>
          </cell>
          <cell r="T48">
            <v>5686489.2000000002</v>
          </cell>
          <cell r="U48">
            <v>56864.892</v>
          </cell>
        </row>
        <row r="49">
          <cell r="D49" t="str">
            <v>5L</v>
          </cell>
          <cell r="E49" t="str">
            <v>1-Bedroom</v>
          </cell>
          <cell r="F49">
            <v>43.12</v>
          </cell>
          <cell r="G49">
            <v>6836080</v>
          </cell>
          <cell r="L49">
            <v>5433120</v>
          </cell>
          <cell r="M49">
            <v>5434000</v>
          </cell>
          <cell r="N49">
            <v>652080</v>
          </cell>
          <cell r="O49">
            <v>6086080</v>
          </cell>
          <cell r="P49">
            <v>750000</v>
          </cell>
          <cell r="R49">
            <v>163020</v>
          </cell>
          <cell r="S49">
            <v>105419.6</v>
          </cell>
          <cell r="T49">
            <v>5165560.4000000004</v>
          </cell>
          <cell r="U49">
            <v>51655.604000000007</v>
          </cell>
        </row>
        <row r="50">
          <cell r="D50" t="str">
            <v>5M</v>
          </cell>
          <cell r="E50" t="str">
            <v>2-Bedroom</v>
          </cell>
          <cell r="F50">
            <v>65.599999999999994</v>
          </cell>
          <cell r="G50">
            <v>11551280</v>
          </cell>
          <cell r="L50">
            <v>9643199.9999999981</v>
          </cell>
          <cell r="M50">
            <v>9644000</v>
          </cell>
          <cell r="N50">
            <v>1157280</v>
          </cell>
          <cell r="O50">
            <v>10801280</v>
          </cell>
          <cell r="P50">
            <v>750000</v>
          </cell>
          <cell r="R50">
            <v>289320</v>
          </cell>
          <cell r="S50">
            <v>187093.6</v>
          </cell>
          <cell r="T50">
            <v>9167586.4000000004</v>
          </cell>
          <cell r="U50">
            <v>91675.864000000001</v>
          </cell>
        </row>
        <row r="51">
          <cell r="D51">
            <v>91675.8125</v>
          </cell>
          <cell r="E51">
            <v>91675.8125</v>
          </cell>
          <cell r="F51">
            <v>91675.8125</v>
          </cell>
          <cell r="G51" t="str">
            <v>PL1</v>
          </cell>
          <cell r="L51">
            <v>91675.8125</v>
          </cell>
          <cell r="M51">
            <v>91675.8125</v>
          </cell>
          <cell r="N51">
            <v>91675.8125</v>
          </cell>
          <cell r="O51">
            <v>91675.8125</v>
          </cell>
          <cell r="P51">
            <v>91675.8125</v>
          </cell>
        </row>
        <row r="52">
          <cell r="D52" t="str">
            <v>Address</v>
          </cell>
          <cell r="E52" t="str">
            <v>Unit Type</v>
          </cell>
          <cell r="F52" t="str">
            <v>Floor Area
in sqm +/-</v>
          </cell>
          <cell r="G52" t="str">
            <v>TCP*
VAT-In w/ TMGC</v>
          </cell>
          <cell r="L52">
            <v>91675.8125</v>
          </cell>
          <cell r="M52">
            <v>91675.8125</v>
          </cell>
          <cell r="N52">
            <v>91675.8125</v>
          </cell>
          <cell r="O52">
            <v>91675.8125</v>
          </cell>
          <cell r="P52">
            <v>91675.8125</v>
          </cell>
        </row>
        <row r="53">
          <cell r="D53" t="str">
            <v>PA</v>
          </cell>
          <cell r="E53" t="str">
            <v>2-Bedroom</v>
          </cell>
          <cell r="F53">
            <v>68.349999999999994</v>
          </cell>
          <cell r="G53">
            <v>12922160</v>
          </cell>
          <cell r="L53">
            <v>10867649.999999998</v>
          </cell>
          <cell r="M53">
            <v>10868000</v>
          </cell>
          <cell r="N53">
            <v>1304160</v>
          </cell>
          <cell r="O53">
            <v>12172160</v>
          </cell>
          <cell r="P53">
            <v>750000</v>
          </cell>
          <cell r="R53">
            <v>326040</v>
          </cell>
          <cell r="S53">
            <v>210839.2</v>
          </cell>
          <cell r="T53">
            <v>10331120.800000001</v>
          </cell>
          <cell r="U53">
            <v>103311.20800000001</v>
          </cell>
        </row>
        <row r="54">
          <cell r="D54" t="str">
            <v>PB</v>
          </cell>
          <cell r="E54" t="str">
            <v>1-Bedroom</v>
          </cell>
          <cell r="F54">
            <v>43.12</v>
          </cell>
          <cell r="G54">
            <v>8091600</v>
          </cell>
          <cell r="L54">
            <v>6554240</v>
          </cell>
          <cell r="M54">
            <v>6555000</v>
          </cell>
          <cell r="N54">
            <v>786600</v>
          </cell>
          <cell r="O54">
            <v>7341600</v>
          </cell>
          <cell r="P54">
            <v>750000</v>
          </cell>
          <cell r="R54">
            <v>196650</v>
          </cell>
          <cell r="S54">
            <v>127167</v>
          </cell>
          <cell r="T54">
            <v>6231183</v>
          </cell>
          <cell r="U54">
            <v>62311.83</v>
          </cell>
        </row>
        <row r="55">
          <cell r="D55" t="str">
            <v>PC</v>
          </cell>
          <cell r="E55" t="str">
            <v>1-Bedroom</v>
          </cell>
          <cell r="F55">
            <v>43.12</v>
          </cell>
          <cell r="G55">
            <v>8091600</v>
          </cell>
          <cell r="L55">
            <v>6554240</v>
          </cell>
          <cell r="M55">
            <v>6555000</v>
          </cell>
          <cell r="N55">
            <v>786600</v>
          </cell>
          <cell r="O55">
            <v>7341600</v>
          </cell>
          <cell r="P55">
            <v>750000</v>
          </cell>
          <cell r="R55">
            <v>196650</v>
          </cell>
          <cell r="S55">
            <v>127167</v>
          </cell>
          <cell r="T55">
            <v>6231183</v>
          </cell>
          <cell r="U55">
            <v>62311.83</v>
          </cell>
        </row>
        <row r="56">
          <cell r="D56" t="str">
            <v>PD</v>
          </cell>
          <cell r="E56" t="str">
            <v>1-Bedroom</v>
          </cell>
          <cell r="F56">
            <v>43.12</v>
          </cell>
          <cell r="G56">
            <v>8091600</v>
          </cell>
          <cell r="L56">
            <v>6554240</v>
          </cell>
          <cell r="M56">
            <v>6555000</v>
          </cell>
          <cell r="N56">
            <v>786600</v>
          </cell>
          <cell r="O56">
            <v>7341600</v>
          </cell>
          <cell r="P56">
            <v>750000</v>
          </cell>
          <cell r="R56">
            <v>196650</v>
          </cell>
          <cell r="S56">
            <v>127167</v>
          </cell>
          <cell r="T56">
            <v>6231183</v>
          </cell>
          <cell r="U56">
            <v>62311.83</v>
          </cell>
        </row>
        <row r="57">
          <cell r="D57" t="str">
            <v>PE</v>
          </cell>
          <cell r="E57" t="str">
            <v>2-Bedroom</v>
          </cell>
          <cell r="F57">
            <v>68.349999999999994</v>
          </cell>
          <cell r="G57">
            <v>13534800</v>
          </cell>
          <cell r="L57">
            <v>11414449.999999998</v>
          </cell>
          <cell r="M57">
            <v>11415000</v>
          </cell>
          <cell r="N57">
            <v>1369800</v>
          </cell>
          <cell r="O57">
            <v>12784800</v>
          </cell>
          <cell r="P57">
            <v>750000</v>
          </cell>
          <cell r="R57">
            <v>342450</v>
          </cell>
          <cell r="S57">
            <v>221451</v>
          </cell>
          <cell r="T57">
            <v>10851099</v>
          </cell>
          <cell r="U57">
            <v>108510.99</v>
          </cell>
        </row>
        <row r="58">
          <cell r="D58" t="str">
            <v>PG</v>
          </cell>
          <cell r="E58" t="str">
            <v>2-Bedroom</v>
          </cell>
          <cell r="F58">
            <v>65.599999999999994</v>
          </cell>
          <cell r="G58">
            <v>12065360</v>
          </cell>
          <cell r="L58">
            <v>10102400</v>
          </cell>
          <cell r="M58">
            <v>10103000</v>
          </cell>
          <cell r="N58">
            <v>1212360</v>
          </cell>
          <cell r="O58">
            <v>11315360</v>
          </cell>
          <cell r="P58">
            <v>750000</v>
          </cell>
          <cell r="R58">
            <v>303090</v>
          </cell>
          <cell r="S58">
            <v>195998.2</v>
          </cell>
          <cell r="T58">
            <v>9603911.8000000007</v>
          </cell>
          <cell r="U58">
            <v>96039.118000000002</v>
          </cell>
        </row>
        <row r="59">
          <cell r="D59" t="str">
            <v>PH</v>
          </cell>
          <cell r="E59" t="str">
            <v>1-Bedroom</v>
          </cell>
          <cell r="F59">
            <v>43.12</v>
          </cell>
          <cell r="G59">
            <v>6932400</v>
          </cell>
          <cell r="L59">
            <v>5519360</v>
          </cell>
          <cell r="M59">
            <v>5520000</v>
          </cell>
          <cell r="N59">
            <v>662400</v>
          </cell>
          <cell r="O59">
            <v>6182400</v>
          </cell>
          <cell r="P59">
            <v>750000</v>
          </cell>
          <cell r="R59">
            <v>165600</v>
          </cell>
          <cell r="S59">
            <v>107088</v>
          </cell>
          <cell r="T59">
            <v>5247312</v>
          </cell>
          <cell r="U59">
            <v>52473.120000000003</v>
          </cell>
        </row>
        <row r="60">
          <cell r="D60" t="str">
            <v>PJ</v>
          </cell>
          <cell r="E60" t="str">
            <v>1-Bedroom</v>
          </cell>
          <cell r="F60">
            <v>49.85</v>
          </cell>
          <cell r="G60">
            <v>7561840</v>
          </cell>
          <cell r="L60">
            <v>6081700</v>
          </cell>
          <cell r="M60">
            <v>6082000</v>
          </cell>
          <cell r="N60">
            <v>729840</v>
          </cell>
          <cell r="O60">
            <v>6811840</v>
          </cell>
          <cell r="P60">
            <v>750000</v>
          </cell>
          <cell r="R60">
            <v>182460</v>
          </cell>
          <cell r="S60">
            <v>117990.8</v>
          </cell>
          <cell r="T60">
            <v>5781549.2000000002</v>
          </cell>
          <cell r="U60">
            <v>57815.492000000006</v>
          </cell>
        </row>
        <row r="61">
          <cell r="D61" t="str">
            <v>PK</v>
          </cell>
          <cell r="E61" t="str">
            <v>1-Bedroom</v>
          </cell>
          <cell r="F61">
            <v>49.85</v>
          </cell>
          <cell r="G61">
            <v>7561840</v>
          </cell>
          <cell r="L61">
            <v>6081700</v>
          </cell>
          <cell r="M61">
            <v>6082000</v>
          </cell>
          <cell r="N61">
            <v>729840</v>
          </cell>
          <cell r="O61">
            <v>6811840</v>
          </cell>
          <cell r="P61">
            <v>750000</v>
          </cell>
          <cell r="R61">
            <v>182460</v>
          </cell>
          <cell r="S61">
            <v>117990.8</v>
          </cell>
          <cell r="T61">
            <v>5781549.2000000002</v>
          </cell>
          <cell r="U61">
            <v>57815.492000000006</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den suites"/>
      <sheetName val="garden villas"/>
    </sheetNames>
    <sheetDataSet>
      <sheetData sheetId="0" refreshError="1">
        <row r="7">
          <cell r="G7">
            <v>10061680</v>
          </cell>
        </row>
        <row r="8">
          <cell r="G8">
            <v>9150000</v>
          </cell>
        </row>
        <row r="9">
          <cell r="G9">
            <v>9150000</v>
          </cell>
        </row>
        <row r="10">
          <cell r="G10">
            <v>9150000</v>
          </cell>
        </row>
        <row r="11">
          <cell r="G11">
            <v>9150000</v>
          </cell>
        </row>
        <row r="12">
          <cell r="G12">
            <v>10617200</v>
          </cell>
        </row>
        <row r="13">
          <cell r="G13">
            <v>9934000</v>
          </cell>
        </row>
        <row r="14">
          <cell r="G14">
            <v>6546000</v>
          </cell>
        </row>
        <row r="15">
          <cell r="G15">
            <v>7114960</v>
          </cell>
        </row>
        <row r="16">
          <cell r="G16">
            <v>6546000</v>
          </cell>
        </row>
        <row r="17">
          <cell r="G17">
            <v>9566640</v>
          </cell>
        </row>
        <row r="18">
          <cell r="G18">
            <v>12233360</v>
          </cell>
        </row>
        <row r="19">
          <cell r="G19">
            <v>7657040</v>
          </cell>
        </row>
        <row r="20">
          <cell r="G20">
            <v>7657040</v>
          </cell>
        </row>
        <row r="21">
          <cell r="G21">
            <v>7657040</v>
          </cell>
        </row>
        <row r="22">
          <cell r="G22">
            <v>12846000</v>
          </cell>
        </row>
        <row r="23">
          <cell r="G23">
            <v>11624080</v>
          </cell>
        </row>
        <row r="24">
          <cell r="G24">
            <v>6642320</v>
          </cell>
        </row>
        <row r="25">
          <cell r="G25">
            <v>7226960</v>
          </cell>
        </row>
        <row r="26">
          <cell r="G26">
            <v>7226960</v>
          </cell>
        </row>
        <row r="27">
          <cell r="G27">
            <v>6642320</v>
          </cell>
        </row>
        <row r="28">
          <cell r="G28">
            <v>11256720</v>
          </cell>
        </row>
        <row r="29">
          <cell r="G29">
            <v>12462960</v>
          </cell>
        </row>
        <row r="30">
          <cell r="G30">
            <v>7801520</v>
          </cell>
        </row>
        <row r="34">
          <cell r="G34">
            <v>11770800</v>
          </cell>
        </row>
        <row r="35">
          <cell r="G35">
            <v>6738640</v>
          </cell>
        </row>
        <row r="36">
          <cell r="G36">
            <v>7338960</v>
          </cell>
        </row>
        <row r="37">
          <cell r="G37">
            <v>7338960</v>
          </cell>
        </row>
        <row r="38">
          <cell r="G38">
            <v>6738640</v>
          </cell>
        </row>
        <row r="39">
          <cell r="G39">
            <v>11403440</v>
          </cell>
        </row>
        <row r="40">
          <cell r="G40">
            <v>12692560</v>
          </cell>
        </row>
        <row r="41">
          <cell r="G41">
            <v>7946000</v>
          </cell>
        </row>
        <row r="46">
          <cell r="G46">
            <v>6836080</v>
          </cell>
        </row>
        <row r="47">
          <cell r="G47">
            <v>7449840</v>
          </cell>
        </row>
        <row r="48">
          <cell r="G48">
            <v>7449840</v>
          </cell>
        </row>
        <row r="49">
          <cell r="G49">
            <v>6836080</v>
          </cell>
        </row>
        <row r="50">
          <cell r="G50">
            <v>11551280</v>
          </cell>
        </row>
        <row r="51">
          <cell r="G51">
            <v>12922160</v>
          </cell>
        </row>
        <row r="57">
          <cell r="G57">
            <v>6932400</v>
          </cell>
        </row>
        <row r="58">
          <cell r="G58">
            <v>7561840</v>
          </cell>
        </row>
        <row r="59">
          <cell r="G59">
            <v>7561840</v>
          </cell>
        </row>
        <row r="61">
          <cell r="F61">
            <v>65.599999999999994</v>
          </cell>
          <cell r="G61">
            <v>11698000</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ANDREWS (Suites 1)"/>
      <sheetName val="GLENDALE (Villas 2)"/>
      <sheetName val="GLENVIEW Suites 2"/>
      <sheetName val="Glenview availability"/>
      <sheetName val="WESTCHASE (Suites 3)"/>
      <sheetName val="SUNNYVALE (Villas 3)"/>
      <sheetName val="Availability chart"/>
    </sheetNames>
    <sheetDataSet>
      <sheetData sheetId="0">
        <row r="9">
          <cell r="J9">
            <v>9961680</v>
          </cell>
        </row>
        <row r="10">
          <cell r="J10">
            <v>9050000</v>
          </cell>
        </row>
        <row r="11">
          <cell r="J11">
            <v>9050000</v>
          </cell>
        </row>
        <row r="12">
          <cell r="J12">
            <v>9050000</v>
          </cell>
        </row>
        <row r="13">
          <cell r="J13">
            <v>9050000</v>
          </cell>
        </row>
        <row r="14">
          <cell r="E14">
            <v>67.900000000000006</v>
          </cell>
          <cell r="J14">
            <v>10517200</v>
          </cell>
        </row>
        <row r="16">
          <cell r="E16">
            <v>43.12</v>
          </cell>
          <cell r="P16">
            <v>6446000</v>
          </cell>
        </row>
        <row r="17">
          <cell r="E17">
            <v>49.85</v>
          </cell>
          <cell r="J17">
            <v>7014960</v>
          </cell>
        </row>
      </sheetData>
      <sheetData sheetId="1"/>
      <sheetData sheetId="2">
        <row r="10">
          <cell r="G10">
            <v>9291920</v>
          </cell>
        </row>
      </sheetData>
      <sheetData sheetId="3"/>
      <sheetData sheetId="4">
        <row r="10">
          <cell r="G10">
            <v>9868600</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E6EB6"/>
  </sheetPr>
  <dimension ref="A1:L34"/>
  <sheetViews>
    <sheetView showGridLines="0" tabSelected="1" zoomScale="85" zoomScaleNormal="85" workbookViewId="0">
      <selection activeCell="D19" sqref="D19:E19"/>
    </sheetView>
  </sheetViews>
  <sheetFormatPr baseColWidth="10" defaultColWidth="0" defaultRowHeight="19" zeroHeight="1"/>
  <cols>
    <col min="1" max="1" width="3.1640625" style="32" customWidth="1"/>
    <col min="2" max="2" width="15.5" style="32" customWidth="1"/>
    <col min="3" max="3" width="41" style="32" customWidth="1"/>
    <col min="4" max="4" width="50.33203125" style="35" customWidth="1"/>
    <col min="5" max="5" width="4.5" style="148" customWidth="1"/>
    <col min="6" max="6" width="6.5" style="148" customWidth="1"/>
    <col min="7" max="8" width="30.6640625" style="148" hidden="1" customWidth="1"/>
    <col min="9" max="9" width="30.1640625" style="148" hidden="1" customWidth="1"/>
    <col min="10" max="12" width="0" style="148" hidden="1" customWidth="1"/>
    <col min="13" max="16384" width="9.1640625" style="32" hidden="1"/>
  </cols>
  <sheetData>
    <row r="1" spans="2:12" ht="34.5" customHeight="1">
      <c r="B1" s="31" t="s">
        <v>340</v>
      </c>
      <c r="C1" s="31"/>
    </row>
    <row r="2" spans="2:12" s="304" customFormat="1" ht="20.25" customHeight="1">
      <c r="B2" s="222" t="s">
        <v>341</v>
      </c>
      <c r="C2" s="222"/>
      <c r="D2" s="35"/>
      <c r="E2" s="148"/>
      <c r="F2" s="148"/>
      <c r="G2" s="148"/>
      <c r="H2" s="148"/>
      <c r="I2" s="148"/>
      <c r="J2" s="148"/>
      <c r="K2" s="148"/>
      <c r="L2" s="148"/>
    </row>
    <row r="3" spans="2:12" ht="18" customHeight="1">
      <c r="B3" s="407" t="s">
        <v>342</v>
      </c>
      <c r="C3" s="407"/>
      <c r="D3" s="407"/>
      <c r="E3" s="407"/>
      <c r="F3" s="407"/>
    </row>
    <row r="4" spans="2:12" ht="18" customHeight="1">
      <c r="B4" s="223"/>
      <c r="C4" s="223"/>
      <c r="D4" s="223"/>
      <c r="E4" s="223"/>
      <c r="F4" s="223"/>
    </row>
    <row r="5" spans="2:12" ht="9.75" customHeight="1" thickBot="1"/>
    <row r="6" spans="2:12">
      <c r="B6" s="292"/>
      <c r="C6" s="293"/>
      <c r="D6" s="294"/>
      <c r="E6" s="295"/>
    </row>
    <row r="7" spans="2:12" ht="34.5" customHeight="1">
      <c r="B7" s="296"/>
      <c r="C7" s="297"/>
      <c r="D7" s="412" t="s">
        <v>372</v>
      </c>
      <c r="E7" s="298"/>
      <c r="I7" s="299"/>
    </row>
    <row r="8" spans="2:12" ht="48.75" customHeight="1">
      <c r="B8" s="296"/>
      <c r="C8" s="297"/>
      <c r="D8" s="413"/>
      <c r="E8" s="298"/>
    </row>
    <row r="9" spans="2:12">
      <c r="B9" s="296"/>
      <c r="C9" s="235" t="s">
        <v>1</v>
      </c>
      <c r="D9" s="224">
        <f ca="1">+TODAY()</f>
        <v>43973</v>
      </c>
      <c r="E9" s="298"/>
    </row>
    <row r="10" spans="2:12">
      <c r="B10" s="296"/>
      <c r="C10" s="235" t="s">
        <v>0</v>
      </c>
      <c r="D10" s="225" t="s">
        <v>117</v>
      </c>
      <c r="E10" s="298"/>
    </row>
    <row r="11" spans="2:12">
      <c r="B11" s="296"/>
      <c r="C11" s="235" t="s">
        <v>31</v>
      </c>
      <c r="D11" s="226" t="s">
        <v>139</v>
      </c>
      <c r="E11" s="298"/>
    </row>
    <row r="12" spans="2:12">
      <c r="B12" s="296"/>
      <c r="C12" s="235" t="s">
        <v>352</v>
      </c>
      <c r="D12" s="237" t="str">
        <f>+VLOOKUP(D11,' Garden Suites PL'!C:G,2,FALSE)</f>
        <v>1-Bedroom Terrace Suite</v>
      </c>
      <c r="E12" s="298"/>
    </row>
    <row r="13" spans="2:12">
      <c r="B13" s="296"/>
      <c r="C13" s="235" t="s">
        <v>357</v>
      </c>
      <c r="D13" s="238">
        <f>+VLOOKUP(D11,' Garden Suites PL'!C:G,3,FALSE)</f>
        <v>67.900000000000006</v>
      </c>
      <c r="E13" s="298"/>
    </row>
    <row r="14" spans="2:12">
      <c r="B14" s="296"/>
      <c r="C14" s="236" t="s">
        <v>358</v>
      </c>
      <c r="D14" s="239">
        <f>+VLOOKUP(D11,' Garden Suites PL'!C:G,5,FALSE)</f>
        <v>9961680</v>
      </c>
      <c r="E14" s="298"/>
    </row>
    <row r="15" spans="2:12" ht="20" thickBot="1">
      <c r="B15" s="33"/>
      <c r="C15" s="221"/>
      <c r="D15" s="34"/>
      <c r="E15" s="147"/>
    </row>
    <row r="16" spans="2:12"/>
    <row r="17" spans="2:12" ht="17" thickBot="1">
      <c r="D17" s="32"/>
      <c r="I17" s="300"/>
    </row>
    <row r="18" spans="2:12" s="302" customFormat="1" ht="35.25" customHeight="1" thickBot="1">
      <c r="B18" s="414" t="s">
        <v>64</v>
      </c>
      <c r="C18" s="415"/>
      <c r="D18" s="408" t="s">
        <v>65</v>
      </c>
      <c r="E18" s="409"/>
      <c r="F18" s="35"/>
      <c r="G18" s="35"/>
      <c r="H18" s="35"/>
      <c r="I18" s="301"/>
      <c r="J18" s="35"/>
      <c r="K18" s="35"/>
      <c r="L18" s="35"/>
    </row>
    <row r="19" spans="2:12" s="302" customFormat="1" ht="35.25" customHeight="1">
      <c r="B19" s="416" t="s">
        <v>308</v>
      </c>
      <c r="C19" s="417"/>
      <c r="D19" s="410" t="s">
        <v>308</v>
      </c>
      <c r="E19" s="411"/>
    </row>
    <row r="20" spans="2:12" s="302" customFormat="1" ht="35.25" customHeight="1">
      <c r="B20" s="399" t="s">
        <v>333</v>
      </c>
      <c r="C20" s="400"/>
      <c r="D20" s="401" t="s">
        <v>333</v>
      </c>
      <c r="E20" s="402"/>
    </row>
    <row r="21" spans="2:12" s="302" customFormat="1" ht="35.25" customHeight="1">
      <c r="B21" s="399" t="s">
        <v>334</v>
      </c>
      <c r="C21" s="400"/>
      <c r="D21" s="401" t="s">
        <v>334</v>
      </c>
      <c r="E21" s="402"/>
    </row>
    <row r="22" spans="2:12" s="302" customFormat="1" ht="35.25" customHeight="1">
      <c r="B22" s="399" t="s">
        <v>337</v>
      </c>
      <c r="C22" s="400"/>
      <c r="D22" s="401" t="s">
        <v>337</v>
      </c>
      <c r="E22" s="402"/>
    </row>
    <row r="23" spans="2:12" s="302" customFormat="1" ht="35.25" customHeight="1">
      <c r="B23" s="399" t="s">
        <v>338</v>
      </c>
      <c r="C23" s="400"/>
      <c r="D23" s="401" t="s">
        <v>336</v>
      </c>
      <c r="E23" s="402"/>
    </row>
    <row r="24" spans="2:12" s="302" customFormat="1" ht="35.25" customHeight="1">
      <c r="B24" s="399" t="s">
        <v>339</v>
      </c>
      <c r="C24" s="400"/>
      <c r="D24" s="401" t="s">
        <v>339</v>
      </c>
      <c r="E24" s="402"/>
    </row>
    <row r="25" spans="2:12" s="302" customFormat="1" ht="35.25" customHeight="1">
      <c r="B25" s="399" t="s">
        <v>335</v>
      </c>
      <c r="C25" s="400"/>
      <c r="D25" s="401" t="s">
        <v>335</v>
      </c>
      <c r="E25" s="402"/>
    </row>
    <row r="26" spans="2:12" s="302" customFormat="1" ht="35.25" customHeight="1" thickBot="1">
      <c r="B26" s="403" t="s">
        <v>373</v>
      </c>
      <c r="C26" s="404"/>
      <c r="D26" s="405" t="s">
        <v>373</v>
      </c>
      <c r="E26" s="406"/>
    </row>
    <row r="27" spans="2:12" s="304" customFormat="1" ht="16">
      <c r="B27" s="303"/>
      <c r="C27" s="303"/>
      <c r="D27" s="303"/>
      <c r="E27" s="148"/>
      <c r="F27" s="148"/>
      <c r="G27" s="148"/>
      <c r="H27" s="148"/>
      <c r="I27" s="300"/>
      <c r="J27" s="148"/>
      <c r="K27" s="148"/>
      <c r="L27" s="148"/>
    </row>
    <row r="28" spans="2:12" ht="15" hidden="1">
      <c r="D28" s="32"/>
      <c r="E28" s="32"/>
    </row>
    <row r="29" spans="2:12" ht="16" hidden="1">
      <c r="B29" s="360" t="s">
        <v>117</v>
      </c>
      <c r="C29" s="360"/>
      <c r="D29" s="360"/>
      <c r="I29" s="300"/>
    </row>
    <row r="30" spans="2:12" ht="15" hidden="1">
      <c r="B30" s="360"/>
      <c r="C30" s="360"/>
      <c r="D30" s="360"/>
    </row>
    <row r="31" spans="2:12" ht="15" hidden="1">
      <c r="B31" s="360"/>
      <c r="C31" s="360"/>
      <c r="D31" s="360"/>
    </row>
    <row r="32" spans="2:12" ht="15" hidden="1">
      <c r="B32" s="360"/>
      <c r="C32" s="360"/>
      <c r="D32" s="360"/>
    </row>
    <row r="33" spans="2:4" ht="15" hidden="1">
      <c r="B33" s="360"/>
      <c r="C33" s="360"/>
      <c r="D33" s="360"/>
    </row>
    <row r="34" spans="2:4" ht="15" hidden="1">
      <c r="B34" s="148"/>
      <c r="C34" s="148"/>
      <c r="D34" s="148"/>
    </row>
  </sheetData>
  <sheetProtection password="CAF1" sheet="1" selectLockedCells="1"/>
  <mergeCells count="20">
    <mergeCell ref="B3:F3"/>
    <mergeCell ref="B23:C23"/>
    <mergeCell ref="B24:C24"/>
    <mergeCell ref="B25:C25"/>
    <mergeCell ref="D18:E18"/>
    <mergeCell ref="D19:E19"/>
    <mergeCell ref="D20:E20"/>
    <mergeCell ref="D21:E21"/>
    <mergeCell ref="D22:E22"/>
    <mergeCell ref="D23:E23"/>
    <mergeCell ref="D24:E24"/>
    <mergeCell ref="D7:D8"/>
    <mergeCell ref="B18:C18"/>
    <mergeCell ref="B19:C19"/>
    <mergeCell ref="B20:C20"/>
    <mergeCell ref="B21:C21"/>
    <mergeCell ref="B22:C22"/>
    <mergeCell ref="D25:E25"/>
    <mergeCell ref="B26:C26"/>
    <mergeCell ref="D26:E26"/>
  </mergeCells>
  <hyperlinks>
    <hyperlink ref="B19" location="'Cash_Non mem'!Print_Area" display="80% DP, 20% after 60 month or upon turnover whichever comes first" xr:uid="{00000000-0004-0000-0000-000000000000}"/>
    <hyperlink ref="B20" location="'DP term1_Non Mem'!A1" display="DP Term 1" xr:uid="{00000000-0004-0000-0000-000001000000}"/>
    <hyperlink ref="B21" location="'DP term2_Non-member'!A1" display="DP Term 2" xr:uid="{00000000-0004-0000-0000-000002000000}"/>
    <hyperlink ref="B22" location="'DP term3_Non mem'!A1" display="DP Term 3" xr:uid="{00000000-0004-0000-0000-000003000000}"/>
    <hyperlink ref="B24" location="'NO DP term1_Non-member'!Print_Titles" display="No DP term 1" xr:uid="{00000000-0004-0000-0000-000004000000}"/>
    <hyperlink ref="B25" location="'NO DP term2_Non-member'!Print_Titles" display="No DP term 2" xr:uid="{00000000-0004-0000-0000-000005000000}"/>
    <hyperlink ref="D19" location="Cash_Member!A1" display="80% DP, 20% after 60 month or upon turnover whichever comes first" xr:uid="{00000000-0004-0000-0000-000006000000}"/>
    <hyperlink ref="D20" location="'DP term1_Member'!A1" display="DP Term 1" xr:uid="{00000000-0004-0000-0000-000007000000}"/>
    <hyperlink ref="D24" location="'NO DP Term1__Member'!Print_Area" display="No DP term 1" xr:uid="{00000000-0004-0000-0000-000008000000}"/>
    <hyperlink ref="D21:D22" location="'SPOT DP_Member'!A1" display="Spot DP" xr:uid="{00000000-0004-0000-0000-000009000000}"/>
    <hyperlink ref="D25" location="'NO DP Term2_Member'!Print_Titles" display="No DP term 2" xr:uid="{00000000-0004-0000-0000-00000A000000}"/>
    <hyperlink ref="D21" location="'DP term2_Member'!Print_Area" display="DP Term 2" xr:uid="{00000000-0004-0000-0000-00000B000000}"/>
    <hyperlink ref="D22" location="'DP term3_Member'!Print_Area" display="DP Term 3" xr:uid="{00000000-0004-0000-0000-00000C000000}"/>
    <hyperlink ref="B19:C19" location="'Cash_Non mem'!A1" display="80% DP, 20% after 60 month or upon turnover whichever comes first" xr:uid="{00000000-0004-0000-0000-00000D000000}"/>
    <hyperlink ref="B20:C20" location="'DP term1_Non Mem'!A1" display="50% DP, 50% over 45 months" xr:uid="{00000000-0004-0000-0000-00000E000000}"/>
    <hyperlink ref="B21:C21" location="'DP term2_Non-member'!A1" display="20% DP, 80% over 54 months" xr:uid="{00000000-0004-0000-0000-00000F000000}"/>
    <hyperlink ref="B22:C22" location="'DP term3_Non mem'!A1" display="10% DP, 10% over 24 months, 80% Lumpsum" xr:uid="{00000000-0004-0000-0000-000010000000}"/>
    <hyperlink ref="B23:C23" location="'DP term4_Non mem'!A1" display="5% DP, 15% over 24 months, 80% Lumpsum" xr:uid="{00000000-0004-0000-0000-000011000000}"/>
    <hyperlink ref="B24:C24" location="'NO DP term1_Non-member'!A1" display="25% over 24 months, 75% Lumpsum" xr:uid="{00000000-0004-0000-0000-000012000000}"/>
    <hyperlink ref="B25:C25" location="'NO DP term2_Non-member'!A1" display="100% over 54 months" xr:uid="{00000000-0004-0000-0000-000013000000}"/>
    <hyperlink ref="D19:E19" location="Cash_Member!A1" display="80% DP, 20% after 60 month or upon turnover whichever comes first" xr:uid="{00000000-0004-0000-0000-000014000000}"/>
    <hyperlink ref="D20:E20" location="'DP term1_Member'!A1" display="50% DP, 50% over 45 months" xr:uid="{00000000-0004-0000-0000-000015000000}"/>
    <hyperlink ref="D21:E21" location="'DP term2_Member'!A1" display="20% DP, 80% over 54 months" xr:uid="{00000000-0004-0000-0000-000016000000}"/>
    <hyperlink ref="D22:E22" location="'DP term3_Member'!A1" display="10% DP, 10% over 24 months, 80% Lumpsum" xr:uid="{00000000-0004-0000-0000-000017000000}"/>
    <hyperlink ref="D23:E23" location="'DP term4_Member'!A1" display="5% DP, 15% over 24 months, 80% Lump Sum" xr:uid="{00000000-0004-0000-0000-000018000000}"/>
    <hyperlink ref="D24:E24" location="'NO DP Term1__Member'!A1" display="25% over 24 months, 75% Lumpsum" xr:uid="{00000000-0004-0000-0000-000019000000}"/>
    <hyperlink ref="D25:E25" location="'NO DP Term2_Member'!A1" display="100% over 54 months" xr:uid="{00000000-0004-0000-0000-00001A000000}"/>
    <hyperlink ref="B26" location="'NO DP term2_Non-member'!Print_Titles" display="No DP term 2" xr:uid="{00000000-0004-0000-0000-00001B000000}"/>
    <hyperlink ref="D26" location="'NO DP Term2_Member'!Print_Titles" display="No DP term 2" xr:uid="{00000000-0004-0000-0000-00001C000000}"/>
    <hyperlink ref="D26:E26" location="'NO DP Term2_Member'!A1" display="100% over 54 months" xr:uid="{00000000-0004-0000-0000-00001D000000}"/>
    <hyperlink ref="B26:C26" location="'PROMO '!A1" display="7% in 11 months with 5% bullet on the 12th, 8% from 13th to 24th month, Lumpsum on the 25th" xr:uid="{00000000-0004-0000-0000-00001E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C000"/>
  </sheetPr>
  <dimension ref="A1:E59"/>
  <sheetViews>
    <sheetView showGridLines="0" workbookViewId="0">
      <selection activeCell="B15" sqref="B15"/>
    </sheetView>
  </sheetViews>
  <sheetFormatPr baseColWidth="10" defaultColWidth="9.1640625" defaultRowHeight="14"/>
  <cols>
    <col min="1" max="1" width="16.6640625" style="37" customWidth="1"/>
    <col min="2" max="2" width="12.6640625" style="37" customWidth="1"/>
    <col min="3" max="3" width="16.6640625" style="38" customWidth="1"/>
    <col min="4" max="5" width="15.6640625" style="37" customWidth="1"/>
    <col min="6" max="16384" width="9.1640625" style="37"/>
  </cols>
  <sheetData>
    <row r="1" spans="1:5" s="41" customFormat="1" ht="12.75" customHeight="1">
      <c r="B1" s="42" t="s">
        <v>35</v>
      </c>
      <c r="C1" s="43"/>
      <c r="E1" s="425" t="s">
        <v>66</v>
      </c>
    </row>
    <row r="2" spans="1:5" s="41" customFormat="1">
      <c r="B2" s="44" t="s">
        <v>54</v>
      </c>
      <c r="C2" s="43"/>
      <c r="E2" s="425"/>
    </row>
    <row r="3" spans="1:5" s="41" customFormat="1">
      <c r="B3" s="44" t="s">
        <v>36</v>
      </c>
      <c r="C3" s="43"/>
    </row>
    <row r="4" spans="1:5" s="41" customFormat="1">
      <c r="C4" s="43"/>
    </row>
    <row r="5" spans="1:5" s="41" customFormat="1">
      <c r="A5" s="45" t="s">
        <v>0</v>
      </c>
      <c r="B5" s="426" t="str">
        <f>'DATA SHEET'!D10</f>
        <v xml:space="preserve"> </v>
      </c>
      <c r="C5" s="426"/>
      <c r="D5" s="427"/>
    </row>
    <row r="6" spans="1:5" s="41" customFormat="1">
      <c r="A6" s="46" t="s">
        <v>31</v>
      </c>
      <c r="B6" s="428" t="e">
        <f>VLOOKUP('DATA SHEET'!D11,#REF!, 1, FALSE)</f>
        <v>#REF!</v>
      </c>
      <c r="C6" s="428"/>
      <c r="D6" s="429"/>
    </row>
    <row r="7" spans="1:5" s="41" customFormat="1">
      <c r="A7" s="46" t="s">
        <v>37</v>
      </c>
      <c r="B7" s="430" t="e">
        <f>VLOOKUP('DATA SHEET'!D11,#REF!, 3, FALSE)</f>
        <v>#REF!</v>
      </c>
      <c r="C7" s="430"/>
      <c r="D7" s="431"/>
    </row>
    <row r="8" spans="1:5" s="41" customFormat="1">
      <c r="A8" s="46" t="s">
        <v>57</v>
      </c>
      <c r="B8" s="432" t="e">
        <f>VLOOKUP('DATA SHEET'!D11,#REF!, 5, FALSE)</f>
        <v>#REF!</v>
      </c>
      <c r="C8" s="432"/>
      <c r="D8" s="433"/>
    </row>
    <row r="9" spans="1:5" s="41" customFormat="1">
      <c r="A9" s="47" t="s">
        <v>33</v>
      </c>
      <c r="B9" s="423" t="s">
        <v>90</v>
      </c>
      <c r="C9" s="423"/>
      <c r="D9" s="424"/>
    </row>
    <row r="10" spans="1:5" s="41" customFormat="1">
      <c r="C10" s="43"/>
    </row>
    <row r="11" spans="1:5" s="41" customFormat="1">
      <c r="A11" s="44" t="s">
        <v>55</v>
      </c>
      <c r="C11" s="43"/>
    </row>
    <row r="12" spans="1:5" s="41" customFormat="1">
      <c r="A12" s="41" t="s">
        <v>61</v>
      </c>
      <c r="C12" s="48" t="e">
        <f>B8-750000</f>
        <v>#REF!</v>
      </c>
      <c r="D12" s="43"/>
    </row>
    <row r="13" spans="1:5" s="41" customFormat="1" hidden="1">
      <c r="A13" s="41" t="s">
        <v>116</v>
      </c>
      <c r="B13" s="49">
        <v>0</v>
      </c>
      <c r="C13" s="50" t="e">
        <f>C12*B13</f>
        <v>#REF!</v>
      </c>
      <c r="D13" s="43"/>
    </row>
    <row r="14" spans="1:5" s="41" customFormat="1" hidden="1">
      <c r="C14" s="48" t="e">
        <f>C12-C13</f>
        <v>#REF!</v>
      </c>
      <c r="D14" s="43"/>
    </row>
    <row r="15" spans="1:5" s="41" customFormat="1">
      <c r="A15" s="41" t="s">
        <v>71</v>
      </c>
      <c r="B15" s="49">
        <v>5.0000000000000001E-3</v>
      </c>
      <c r="C15" s="50" t="e">
        <f>IF(B15&lt;=0.5%,C14*B15,"BEYOND MAX DISC.")</f>
        <v>#REF!</v>
      </c>
      <c r="D15" s="43"/>
    </row>
    <row r="16" spans="1:5">
      <c r="C16" s="40" t="e">
        <f>C14-C15</f>
        <v>#REF!</v>
      </c>
      <c r="D16" s="38"/>
    </row>
    <row r="17" spans="1:5">
      <c r="A17" s="37" t="s">
        <v>56</v>
      </c>
      <c r="C17" s="51">
        <v>750000</v>
      </c>
      <c r="D17" s="38"/>
    </row>
    <row r="18" spans="1:5" ht="15" thickBot="1">
      <c r="A18" s="39" t="s">
        <v>58</v>
      </c>
      <c r="B18" s="39"/>
      <c r="C18" s="55" t="e">
        <f>C16+C17</f>
        <v>#REF!</v>
      </c>
      <c r="D18" s="38"/>
    </row>
    <row r="19" spans="1:5" ht="15" thickTop="1"/>
    <row r="20" spans="1:5">
      <c r="A20" s="56" t="s">
        <v>34</v>
      </c>
      <c r="B20" s="56" t="s">
        <v>32</v>
      </c>
      <c r="C20" s="56" t="s">
        <v>2</v>
      </c>
      <c r="D20" s="56" t="s">
        <v>3</v>
      </c>
      <c r="E20" s="56" t="s">
        <v>67</v>
      </c>
    </row>
    <row r="21" spans="1:5">
      <c r="A21" s="57">
        <v>0</v>
      </c>
      <c r="B21" s="58">
        <f ca="1">'DATA SHEET'!D9</f>
        <v>43973</v>
      </c>
      <c r="C21" s="57" t="s">
        <v>38</v>
      </c>
      <c r="D21" s="59">
        <v>100000</v>
      </c>
      <c r="E21" s="60" t="e">
        <f>C18-D21</f>
        <v>#REF!</v>
      </c>
    </row>
    <row r="22" spans="1:5">
      <c r="A22" s="57">
        <v>1</v>
      </c>
      <c r="B22" s="58">
        <f ca="1">EDATE(B21,1)</f>
        <v>44004</v>
      </c>
      <c r="C22" s="57" t="s">
        <v>68</v>
      </c>
      <c r="D22" s="59" t="e">
        <f>(C18*0.2)-D21</f>
        <v>#REF!</v>
      </c>
      <c r="E22" s="60" t="e">
        <f>E21-D22</f>
        <v>#REF!</v>
      </c>
    </row>
    <row r="23" spans="1:5">
      <c r="A23" s="57">
        <v>2</v>
      </c>
      <c r="B23" s="58">
        <f t="shared" ref="B23:B47" ca="1" si="0">EDATE(B22,1)</f>
        <v>44034</v>
      </c>
      <c r="C23" s="57" t="s">
        <v>4</v>
      </c>
      <c r="D23" s="59" t="e">
        <f>(C18*0.1)/24</f>
        <v>#REF!</v>
      </c>
      <c r="E23" s="60" t="e">
        <f t="shared" ref="E23:E46" si="1">E22-D23</f>
        <v>#REF!</v>
      </c>
    </row>
    <row r="24" spans="1:5">
      <c r="A24" s="57">
        <v>3</v>
      </c>
      <c r="B24" s="58">
        <f t="shared" ca="1" si="0"/>
        <v>44065</v>
      </c>
      <c r="C24" s="57" t="s">
        <v>5</v>
      </c>
      <c r="D24" s="59" t="e">
        <f>D23</f>
        <v>#REF!</v>
      </c>
      <c r="E24" s="60" t="e">
        <f t="shared" si="1"/>
        <v>#REF!</v>
      </c>
    </row>
    <row r="25" spans="1:5">
      <c r="A25" s="57">
        <v>4</v>
      </c>
      <c r="B25" s="58">
        <f t="shared" ca="1" si="0"/>
        <v>44096</v>
      </c>
      <c r="C25" s="57" t="s">
        <v>6</v>
      </c>
      <c r="D25" s="59" t="e">
        <f t="shared" ref="D25:D46" si="2">D24</f>
        <v>#REF!</v>
      </c>
      <c r="E25" s="60" t="e">
        <f t="shared" si="1"/>
        <v>#REF!</v>
      </c>
    </row>
    <row r="26" spans="1:5">
      <c r="A26" s="57">
        <v>5</v>
      </c>
      <c r="B26" s="58">
        <f t="shared" ca="1" si="0"/>
        <v>44126</v>
      </c>
      <c r="C26" s="57" t="s">
        <v>7</v>
      </c>
      <c r="D26" s="59" t="e">
        <f t="shared" si="2"/>
        <v>#REF!</v>
      </c>
      <c r="E26" s="60" t="e">
        <f t="shared" si="1"/>
        <v>#REF!</v>
      </c>
    </row>
    <row r="27" spans="1:5">
      <c r="A27" s="57">
        <v>6</v>
      </c>
      <c r="B27" s="58">
        <f t="shared" ca="1" si="0"/>
        <v>44157</v>
      </c>
      <c r="C27" s="57" t="s">
        <v>8</v>
      </c>
      <c r="D27" s="59" t="e">
        <f t="shared" si="2"/>
        <v>#REF!</v>
      </c>
      <c r="E27" s="60" t="e">
        <f t="shared" si="1"/>
        <v>#REF!</v>
      </c>
    </row>
    <row r="28" spans="1:5">
      <c r="A28" s="57">
        <v>7</v>
      </c>
      <c r="B28" s="58">
        <f t="shared" ca="1" si="0"/>
        <v>44187</v>
      </c>
      <c r="C28" s="57" t="s">
        <v>9</v>
      </c>
      <c r="D28" s="59" t="e">
        <f t="shared" si="2"/>
        <v>#REF!</v>
      </c>
      <c r="E28" s="60" t="e">
        <f t="shared" si="1"/>
        <v>#REF!</v>
      </c>
    </row>
    <row r="29" spans="1:5">
      <c r="A29" s="57">
        <v>8</v>
      </c>
      <c r="B29" s="58">
        <f t="shared" ca="1" si="0"/>
        <v>44218</v>
      </c>
      <c r="C29" s="57" t="s">
        <v>10</v>
      </c>
      <c r="D29" s="59" t="e">
        <f t="shared" si="2"/>
        <v>#REF!</v>
      </c>
      <c r="E29" s="60" t="e">
        <f t="shared" si="1"/>
        <v>#REF!</v>
      </c>
    </row>
    <row r="30" spans="1:5">
      <c r="A30" s="57">
        <v>9</v>
      </c>
      <c r="B30" s="58">
        <f t="shared" ca="1" si="0"/>
        <v>44249</v>
      </c>
      <c r="C30" s="57" t="s">
        <v>11</v>
      </c>
      <c r="D30" s="59" t="e">
        <f t="shared" si="2"/>
        <v>#REF!</v>
      </c>
      <c r="E30" s="60" t="e">
        <f t="shared" si="1"/>
        <v>#REF!</v>
      </c>
    </row>
    <row r="31" spans="1:5">
      <c r="A31" s="57">
        <v>10</v>
      </c>
      <c r="B31" s="58">
        <f t="shared" ca="1" si="0"/>
        <v>44277</v>
      </c>
      <c r="C31" s="57" t="s">
        <v>12</v>
      </c>
      <c r="D31" s="59" t="e">
        <f t="shared" si="2"/>
        <v>#REF!</v>
      </c>
      <c r="E31" s="60" t="e">
        <f t="shared" si="1"/>
        <v>#REF!</v>
      </c>
    </row>
    <row r="32" spans="1:5">
      <c r="A32" s="57">
        <v>11</v>
      </c>
      <c r="B32" s="58">
        <f t="shared" ca="1" si="0"/>
        <v>44308</v>
      </c>
      <c r="C32" s="57" t="s">
        <v>13</v>
      </c>
      <c r="D32" s="59" t="e">
        <f t="shared" si="2"/>
        <v>#REF!</v>
      </c>
      <c r="E32" s="60" t="e">
        <f t="shared" si="1"/>
        <v>#REF!</v>
      </c>
    </row>
    <row r="33" spans="1:5">
      <c r="A33" s="57">
        <v>12</v>
      </c>
      <c r="B33" s="58">
        <f t="shared" ca="1" si="0"/>
        <v>44338</v>
      </c>
      <c r="C33" s="57" t="s">
        <v>14</v>
      </c>
      <c r="D33" s="59" t="e">
        <f t="shared" si="2"/>
        <v>#REF!</v>
      </c>
      <c r="E33" s="60" t="e">
        <f t="shared" si="1"/>
        <v>#REF!</v>
      </c>
    </row>
    <row r="34" spans="1:5">
      <c r="A34" s="57">
        <v>13</v>
      </c>
      <c r="B34" s="58">
        <f t="shared" ca="1" si="0"/>
        <v>44369</v>
      </c>
      <c r="C34" s="57" t="s">
        <v>15</v>
      </c>
      <c r="D34" s="59" t="e">
        <f t="shared" si="2"/>
        <v>#REF!</v>
      </c>
      <c r="E34" s="60" t="e">
        <f t="shared" si="1"/>
        <v>#REF!</v>
      </c>
    </row>
    <row r="35" spans="1:5">
      <c r="A35" s="57">
        <v>14</v>
      </c>
      <c r="B35" s="58">
        <f t="shared" ca="1" si="0"/>
        <v>44399</v>
      </c>
      <c r="C35" s="57" t="s">
        <v>19</v>
      </c>
      <c r="D35" s="59" t="e">
        <f t="shared" si="2"/>
        <v>#REF!</v>
      </c>
      <c r="E35" s="60" t="e">
        <f t="shared" si="1"/>
        <v>#REF!</v>
      </c>
    </row>
    <row r="36" spans="1:5">
      <c r="A36" s="57">
        <v>15</v>
      </c>
      <c r="B36" s="58">
        <f t="shared" ca="1" si="0"/>
        <v>44430</v>
      </c>
      <c r="C36" s="57" t="s">
        <v>20</v>
      </c>
      <c r="D36" s="59" t="e">
        <f t="shared" si="2"/>
        <v>#REF!</v>
      </c>
      <c r="E36" s="60" t="e">
        <f t="shared" si="1"/>
        <v>#REF!</v>
      </c>
    </row>
    <row r="37" spans="1:5">
      <c r="A37" s="57">
        <v>16</v>
      </c>
      <c r="B37" s="58">
        <f t="shared" ca="1" si="0"/>
        <v>44461</v>
      </c>
      <c r="C37" s="57" t="s">
        <v>21</v>
      </c>
      <c r="D37" s="59" t="e">
        <f t="shared" si="2"/>
        <v>#REF!</v>
      </c>
      <c r="E37" s="60" t="e">
        <f t="shared" si="1"/>
        <v>#REF!</v>
      </c>
    </row>
    <row r="38" spans="1:5">
      <c r="A38" s="57">
        <v>17</v>
      </c>
      <c r="B38" s="58">
        <f t="shared" ca="1" si="0"/>
        <v>44491</v>
      </c>
      <c r="C38" s="57" t="s">
        <v>22</v>
      </c>
      <c r="D38" s="59" t="e">
        <f t="shared" si="2"/>
        <v>#REF!</v>
      </c>
      <c r="E38" s="60" t="e">
        <f t="shared" si="1"/>
        <v>#REF!</v>
      </c>
    </row>
    <row r="39" spans="1:5">
      <c r="A39" s="57">
        <v>18</v>
      </c>
      <c r="B39" s="58">
        <f t="shared" ca="1" si="0"/>
        <v>44522</v>
      </c>
      <c r="C39" s="57" t="s">
        <v>23</v>
      </c>
      <c r="D39" s="59" t="e">
        <f t="shared" si="2"/>
        <v>#REF!</v>
      </c>
      <c r="E39" s="60" t="e">
        <f t="shared" si="1"/>
        <v>#REF!</v>
      </c>
    </row>
    <row r="40" spans="1:5">
      <c r="A40" s="57">
        <v>19</v>
      </c>
      <c r="B40" s="58">
        <f t="shared" ca="1" si="0"/>
        <v>44552</v>
      </c>
      <c r="C40" s="57" t="s">
        <v>24</v>
      </c>
      <c r="D40" s="59" t="e">
        <f t="shared" si="2"/>
        <v>#REF!</v>
      </c>
      <c r="E40" s="60" t="e">
        <f t="shared" si="1"/>
        <v>#REF!</v>
      </c>
    </row>
    <row r="41" spans="1:5">
      <c r="A41" s="57">
        <v>20</v>
      </c>
      <c r="B41" s="58">
        <f t="shared" ca="1" si="0"/>
        <v>44583</v>
      </c>
      <c r="C41" s="57" t="s">
        <v>25</v>
      </c>
      <c r="D41" s="59" t="e">
        <f t="shared" si="2"/>
        <v>#REF!</v>
      </c>
      <c r="E41" s="60" t="e">
        <f t="shared" si="1"/>
        <v>#REF!</v>
      </c>
    </row>
    <row r="42" spans="1:5">
      <c r="A42" s="57">
        <v>21</v>
      </c>
      <c r="B42" s="58">
        <f t="shared" ca="1" si="0"/>
        <v>44614</v>
      </c>
      <c r="C42" s="57" t="s">
        <v>26</v>
      </c>
      <c r="D42" s="59" t="e">
        <f t="shared" si="2"/>
        <v>#REF!</v>
      </c>
      <c r="E42" s="60" t="e">
        <f t="shared" si="1"/>
        <v>#REF!</v>
      </c>
    </row>
    <row r="43" spans="1:5">
      <c r="A43" s="57">
        <v>22</v>
      </c>
      <c r="B43" s="58">
        <f t="shared" ca="1" si="0"/>
        <v>44642</v>
      </c>
      <c r="C43" s="57" t="s">
        <v>27</v>
      </c>
      <c r="D43" s="59" t="e">
        <f t="shared" si="2"/>
        <v>#REF!</v>
      </c>
      <c r="E43" s="60" t="e">
        <f t="shared" si="1"/>
        <v>#REF!</v>
      </c>
    </row>
    <row r="44" spans="1:5">
      <c r="A44" s="57">
        <v>23</v>
      </c>
      <c r="B44" s="58">
        <f t="shared" ca="1" si="0"/>
        <v>44673</v>
      </c>
      <c r="C44" s="57" t="s">
        <v>28</v>
      </c>
      <c r="D44" s="59" t="e">
        <f t="shared" si="2"/>
        <v>#REF!</v>
      </c>
      <c r="E44" s="60" t="e">
        <f t="shared" si="1"/>
        <v>#REF!</v>
      </c>
    </row>
    <row r="45" spans="1:5">
      <c r="A45" s="57">
        <v>24</v>
      </c>
      <c r="B45" s="58">
        <f t="shared" ca="1" si="0"/>
        <v>44703</v>
      </c>
      <c r="C45" s="57" t="s">
        <v>29</v>
      </c>
      <c r="D45" s="59" t="e">
        <f t="shared" si="2"/>
        <v>#REF!</v>
      </c>
      <c r="E45" s="60" t="e">
        <f t="shared" si="1"/>
        <v>#REF!</v>
      </c>
    </row>
    <row r="46" spans="1:5">
      <c r="A46" s="57">
        <v>25</v>
      </c>
      <c r="B46" s="58">
        <f t="shared" ca="1" si="0"/>
        <v>44734</v>
      </c>
      <c r="C46" s="57" t="s">
        <v>30</v>
      </c>
      <c r="D46" s="59" t="e">
        <f t="shared" si="2"/>
        <v>#REF!</v>
      </c>
      <c r="E46" s="60" t="e">
        <f t="shared" si="1"/>
        <v>#REF!</v>
      </c>
    </row>
    <row r="47" spans="1:5">
      <c r="A47" s="61">
        <v>26</v>
      </c>
      <c r="B47" s="62">
        <f t="shared" ca="1" si="0"/>
        <v>44764</v>
      </c>
      <c r="C47" s="61" t="s">
        <v>39</v>
      </c>
      <c r="D47" s="63" t="e">
        <f>(C18*0.7)</f>
        <v>#REF!</v>
      </c>
      <c r="E47" s="64" t="e">
        <f>E46-D47</f>
        <v>#REF!</v>
      </c>
    </row>
    <row r="48" spans="1:5">
      <c r="A48" s="65"/>
      <c r="B48" s="66"/>
      <c r="C48" s="67" t="s">
        <v>16</v>
      </c>
      <c r="D48" s="68" t="e">
        <f>SUM(D21:D47)</f>
        <v>#REF!</v>
      </c>
      <c r="E48" s="65"/>
    </row>
    <row r="49" spans="1:5">
      <c r="A49" s="69" t="s">
        <v>62</v>
      </c>
      <c r="B49" s="70"/>
      <c r="C49" s="71"/>
      <c r="D49" s="72"/>
      <c r="E49" s="73"/>
    </row>
    <row r="50" spans="1:5">
      <c r="A50" s="74" t="s">
        <v>69</v>
      </c>
      <c r="B50" s="73"/>
      <c r="C50" s="71"/>
      <c r="D50" s="72"/>
      <c r="E50" s="73"/>
    </row>
    <row r="51" spans="1:5">
      <c r="A51" s="74" t="s">
        <v>70</v>
      </c>
      <c r="B51" s="73"/>
      <c r="C51" s="71"/>
      <c r="D51" s="72"/>
      <c r="E51" s="73"/>
    </row>
    <row r="52" spans="1:5">
      <c r="A52" s="74" t="s">
        <v>88</v>
      </c>
      <c r="B52" s="73"/>
      <c r="C52" s="71"/>
      <c r="D52" s="73"/>
      <c r="E52" s="73"/>
    </row>
    <row r="53" spans="1:5">
      <c r="A53" s="74" t="s">
        <v>74</v>
      </c>
      <c r="B53" s="73"/>
      <c r="C53" s="71"/>
      <c r="D53" s="73"/>
      <c r="E53" s="73"/>
    </row>
    <row r="54" spans="1:5">
      <c r="A54" s="74" t="s">
        <v>63</v>
      </c>
      <c r="B54" s="73"/>
      <c r="C54" s="71"/>
      <c r="D54" s="73"/>
      <c r="E54" s="73"/>
    </row>
    <row r="56" spans="1:5">
      <c r="A56" s="37" t="s">
        <v>17</v>
      </c>
    </row>
    <row r="58" spans="1:5">
      <c r="A58" s="75"/>
      <c r="D58" s="75"/>
    </row>
    <row r="59" spans="1:5">
      <c r="A59" s="38" t="s">
        <v>18</v>
      </c>
      <c r="D59" s="38" t="s">
        <v>18</v>
      </c>
    </row>
  </sheetData>
  <sheetProtection algorithmName="SHA-512" hashValue="UWxOBJF8r1FeVZcI1DbcjGGvrn6cTRIgqazNmcKfEAhSjmPzNWRYUVbqiK5DsCom1PZh0YXmuMmAsKx+v6UXgg==" saltValue="iHJvRtSgumjxVdG2GBHiqg==" spinCount="100000" sheet="1" selectLockedCells="1"/>
  <mergeCells count="6">
    <mergeCell ref="B9:D9"/>
    <mergeCell ref="E1:E2"/>
    <mergeCell ref="B5:D5"/>
    <mergeCell ref="B6:D6"/>
    <mergeCell ref="B7:D7"/>
    <mergeCell ref="B8:D8"/>
  </mergeCells>
  <hyperlinks>
    <hyperlink ref="B1" location="'DATA SHEET'!A1" display="HIGHLANDS PRIME, INC." xr:uid="{00000000-0004-0000-0900-000000000000}"/>
  </hyperlinks>
  <printOptions horizontalCentered="1"/>
  <pageMargins left="0.7" right="0.7" top="0.75" bottom="0.5" header="0.3" footer="0.3"/>
  <pageSetup scale="95"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6" tint="-0.249977111117893"/>
  </sheetPr>
  <dimension ref="A1:E59"/>
  <sheetViews>
    <sheetView showGridLines="0" workbookViewId="0">
      <selection activeCell="B17" sqref="B17"/>
    </sheetView>
  </sheetViews>
  <sheetFormatPr baseColWidth="10" defaultColWidth="9.1640625" defaultRowHeight="14"/>
  <cols>
    <col min="1" max="1" width="16.6640625" style="37" customWidth="1"/>
    <col min="2" max="2" width="12.6640625" style="37" customWidth="1"/>
    <col min="3" max="3" width="16.6640625" style="38" customWidth="1"/>
    <col min="4" max="5" width="15.6640625" style="37" customWidth="1"/>
    <col min="6" max="16384" width="9.1640625" style="37"/>
  </cols>
  <sheetData>
    <row r="1" spans="1:5" s="41" customFormat="1" ht="12.75" customHeight="1">
      <c r="B1" s="42" t="s">
        <v>35</v>
      </c>
      <c r="C1" s="43"/>
      <c r="E1" s="425" t="s">
        <v>66</v>
      </c>
    </row>
    <row r="2" spans="1:5" s="41" customFormat="1">
      <c r="B2" s="44" t="s">
        <v>54</v>
      </c>
      <c r="C2" s="43"/>
      <c r="E2" s="425"/>
    </row>
    <row r="3" spans="1:5" s="41" customFormat="1">
      <c r="B3" s="44" t="s">
        <v>36</v>
      </c>
      <c r="C3" s="43"/>
    </row>
    <row r="4" spans="1:5" s="41" customFormat="1">
      <c r="C4" s="43"/>
    </row>
    <row r="5" spans="1:5" s="41" customFormat="1">
      <c r="A5" s="45" t="s">
        <v>0</v>
      </c>
      <c r="B5" s="426" t="str">
        <f>'DATA SHEET'!D10</f>
        <v xml:space="preserve"> </v>
      </c>
      <c r="C5" s="426"/>
      <c r="D5" s="427"/>
    </row>
    <row r="6" spans="1:5" s="41" customFormat="1">
      <c r="A6" s="46" t="s">
        <v>31</v>
      </c>
      <c r="B6" s="428" t="e">
        <f>VLOOKUP('DATA SHEET'!D11,#REF!, 1, FALSE)</f>
        <v>#REF!</v>
      </c>
      <c r="C6" s="428"/>
      <c r="D6" s="429"/>
    </row>
    <row r="7" spans="1:5" s="41" customFormat="1">
      <c r="A7" s="46" t="s">
        <v>37</v>
      </c>
      <c r="B7" s="430" t="e">
        <f>VLOOKUP('DATA SHEET'!D11,#REF!, 3, FALSE)</f>
        <v>#REF!</v>
      </c>
      <c r="C7" s="430"/>
      <c r="D7" s="431"/>
    </row>
    <row r="8" spans="1:5" s="41" customFormat="1">
      <c r="A8" s="46" t="s">
        <v>57</v>
      </c>
      <c r="B8" s="432" t="e">
        <f>VLOOKUP('DATA SHEET'!D11,#REF!, 5, FALSE)</f>
        <v>#REF!</v>
      </c>
      <c r="C8" s="432"/>
      <c r="D8" s="433"/>
    </row>
    <row r="9" spans="1:5" s="41" customFormat="1">
      <c r="A9" s="47" t="s">
        <v>33</v>
      </c>
      <c r="B9" s="423" t="s">
        <v>90</v>
      </c>
      <c r="C9" s="423"/>
      <c r="D9" s="424"/>
    </row>
    <row r="10" spans="1:5" s="41" customFormat="1">
      <c r="C10" s="43"/>
    </row>
    <row r="11" spans="1:5" s="41" customFormat="1">
      <c r="A11" s="44" t="s">
        <v>55</v>
      </c>
      <c r="C11" s="43"/>
    </row>
    <row r="12" spans="1:5" s="41" customFormat="1">
      <c r="A12" s="41" t="s">
        <v>57</v>
      </c>
      <c r="C12" s="48" t="e">
        <f>B8</f>
        <v>#REF!</v>
      </c>
      <c r="D12" s="43"/>
    </row>
    <row r="13" spans="1:5" s="41" customFormat="1">
      <c r="A13" s="41" t="s">
        <v>59</v>
      </c>
      <c r="C13" s="50">
        <v>750000</v>
      </c>
      <c r="D13" s="43"/>
    </row>
    <row r="14" spans="1:5" s="41" customFormat="1">
      <c r="C14" s="48" t="e">
        <f>C12-C13</f>
        <v>#REF!</v>
      </c>
      <c r="D14" s="43"/>
    </row>
    <row r="15" spans="1:5" s="41" customFormat="1" hidden="1">
      <c r="A15" s="41" t="s">
        <v>116</v>
      </c>
      <c r="B15" s="49">
        <v>0</v>
      </c>
      <c r="C15" s="50" t="e">
        <f>C14*B15</f>
        <v>#REF!</v>
      </c>
      <c r="D15" s="43"/>
    </row>
    <row r="16" spans="1:5" s="41" customFormat="1" hidden="1">
      <c r="C16" s="48" t="e">
        <f>C14-C15</f>
        <v>#REF!</v>
      </c>
      <c r="D16" s="43"/>
    </row>
    <row r="17" spans="1:5" s="41" customFormat="1">
      <c r="A17" s="41" t="s">
        <v>71</v>
      </c>
      <c r="B17" s="49">
        <v>5.0000000000000001E-3</v>
      </c>
      <c r="C17" s="50" t="e">
        <f>IF(B17&lt;=0.5%,C16*B17,"BEYOND MAX DISC.")</f>
        <v>#REF!</v>
      </c>
      <c r="D17" s="43"/>
    </row>
    <row r="18" spans="1:5" ht="15" thickBot="1">
      <c r="A18" s="39" t="s">
        <v>58</v>
      </c>
      <c r="B18" s="39"/>
      <c r="C18" s="55" t="e">
        <f>C16-C17</f>
        <v>#REF!</v>
      </c>
      <c r="D18" s="38"/>
    </row>
    <row r="19" spans="1:5" ht="15" thickTop="1"/>
    <row r="20" spans="1:5">
      <c r="A20" s="56" t="s">
        <v>34</v>
      </c>
      <c r="B20" s="56" t="s">
        <v>32</v>
      </c>
      <c r="C20" s="56" t="s">
        <v>2</v>
      </c>
      <c r="D20" s="56" t="s">
        <v>3</v>
      </c>
      <c r="E20" s="56" t="s">
        <v>67</v>
      </c>
    </row>
    <row r="21" spans="1:5">
      <c r="A21" s="57">
        <v>0</v>
      </c>
      <c r="B21" s="58">
        <f ca="1">'DATA SHEET'!D9</f>
        <v>43973</v>
      </c>
      <c r="C21" s="57" t="s">
        <v>38</v>
      </c>
      <c r="D21" s="59">
        <v>100000</v>
      </c>
      <c r="E21" s="60" t="e">
        <f>C18-D21</f>
        <v>#REF!</v>
      </c>
    </row>
    <row r="22" spans="1:5">
      <c r="A22" s="57">
        <v>1</v>
      </c>
      <c r="B22" s="58">
        <f ca="1">EDATE(B21,1)</f>
        <v>44004</v>
      </c>
      <c r="C22" s="57" t="s">
        <v>68</v>
      </c>
      <c r="D22" s="59" t="e">
        <f>(C18*0.2)-D21</f>
        <v>#REF!</v>
      </c>
      <c r="E22" s="60" t="e">
        <f>E21-D22</f>
        <v>#REF!</v>
      </c>
    </row>
    <row r="23" spans="1:5">
      <c r="A23" s="57">
        <v>2</v>
      </c>
      <c r="B23" s="58">
        <f t="shared" ref="B23:B47" ca="1" si="0">EDATE(B22,1)</f>
        <v>44034</v>
      </c>
      <c r="C23" s="57" t="s">
        <v>4</v>
      </c>
      <c r="D23" s="59" t="e">
        <f>(C18*0.1)/24</f>
        <v>#REF!</v>
      </c>
      <c r="E23" s="60" t="e">
        <f t="shared" ref="E23:E46" si="1">E22-D23</f>
        <v>#REF!</v>
      </c>
    </row>
    <row r="24" spans="1:5">
      <c r="A24" s="57">
        <v>3</v>
      </c>
      <c r="B24" s="58">
        <f t="shared" ca="1" si="0"/>
        <v>44065</v>
      </c>
      <c r="C24" s="57" t="s">
        <v>5</v>
      </c>
      <c r="D24" s="59" t="e">
        <f>D23</f>
        <v>#REF!</v>
      </c>
      <c r="E24" s="60" t="e">
        <f t="shared" si="1"/>
        <v>#REF!</v>
      </c>
    </row>
    <row r="25" spans="1:5">
      <c r="A25" s="57">
        <v>4</v>
      </c>
      <c r="B25" s="58">
        <f t="shared" ca="1" si="0"/>
        <v>44096</v>
      </c>
      <c r="C25" s="57" t="s">
        <v>6</v>
      </c>
      <c r="D25" s="59" t="e">
        <f t="shared" ref="D25:D46" si="2">D24</f>
        <v>#REF!</v>
      </c>
      <c r="E25" s="60" t="e">
        <f t="shared" si="1"/>
        <v>#REF!</v>
      </c>
    </row>
    <row r="26" spans="1:5">
      <c r="A26" s="57">
        <v>5</v>
      </c>
      <c r="B26" s="58">
        <f t="shared" ca="1" si="0"/>
        <v>44126</v>
      </c>
      <c r="C26" s="57" t="s">
        <v>7</v>
      </c>
      <c r="D26" s="59" t="e">
        <f t="shared" si="2"/>
        <v>#REF!</v>
      </c>
      <c r="E26" s="60" t="e">
        <f t="shared" si="1"/>
        <v>#REF!</v>
      </c>
    </row>
    <row r="27" spans="1:5">
      <c r="A27" s="57">
        <v>6</v>
      </c>
      <c r="B27" s="58">
        <f t="shared" ca="1" si="0"/>
        <v>44157</v>
      </c>
      <c r="C27" s="57" t="s">
        <v>8</v>
      </c>
      <c r="D27" s="59" t="e">
        <f t="shared" si="2"/>
        <v>#REF!</v>
      </c>
      <c r="E27" s="60" t="e">
        <f t="shared" si="1"/>
        <v>#REF!</v>
      </c>
    </row>
    <row r="28" spans="1:5">
      <c r="A28" s="57">
        <v>7</v>
      </c>
      <c r="B28" s="58">
        <f t="shared" ca="1" si="0"/>
        <v>44187</v>
      </c>
      <c r="C28" s="57" t="s">
        <v>9</v>
      </c>
      <c r="D28" s="59" t="e">
        <f t="shared" si="2"/>
        <v>#REF!</v>
      </c>
      <c r="E28" s="60" t="e">
        <f t="shared" si="1"/>
        <v>#REF!</v>
      </c>
    </row>
    <row r="29" spans="1:5">
      <c r="A29" s="57">
        <v>8</v>
      </c>
      <c r="B29" s="58">
        <f t="shared" ca="1" si="0"/>
        <v>44218</v>
      </c>
      <c r="C29" s="57" t="s">
        <v>10</v>
      </c>
      <c r="D29" s="59" t="e">
        <f t="shared" si="2"/>
        <v>#REF!</v>
      </c>
      <c r="E29" s="60" t="e">
        <f t="shared" si="1"/>
        <v>#REF!</v>
      </c>
    </row>
    <row r="30" spans="1:5">
      <c r="A30" s="57">
        <v>9</v>
      </c>
      <c r="B30" s="58">
        <f t="shared" ca="1" si="0"/>
        <v>44249</v>
      </c>
      <c r="C30" s="57" t="s">
        <v>11</v>
      </c>
      <c r="D30" s="59" t="e">
        <f t="shared" si="2"/>
        <v>#REF!</v>
      </c>
      <c r="E30" s="60" t="e">
        <f t="shared" si="1"/>
        <v>#REF!</v>
      </c>
    </row>
    <row r="31" spans="1:5">
      <c r="A31" s="57">
        <v>10</v>
      </c>
      <c r="B31" s="58">
        <f t="shared" ca="1" si="0"/>
        <v>44277</v>
      </c>
      <c r="C31" s="57" t="s">
        <v>12</v>
      </c>
      <c r="D31" s="59" t="e">
        <f t="shared" si="2"/>
        <v>#REF!</v>
      </c>
      <c r="E31" s="60" t="e">
        <f t="shared" si="1"/>
        <v>#REF!</v>
      </c>
    </row>
    <row r="32" spans="1:5">
      <c r="A32" s="57">
        <v>11</v>
      </c>
      <c r="B32" s="58">
        <f t="shared" ca="1" si="0"/>
        <v>44308</v>
      </c>
      <c r="C32" s="57" t="s">
        <v>13</v>
      </c>
      <c r="D32" s="59" t="e">
        <f t="shared" si="2"/>
        <v>#REF!</v>
      </c>
      <c r="E32" s="60" t="e">
        <f t="shared" si="1"/>
        <v>#REF!</v>
      </c>
    </row>
    <row r="33" spans="1:5">
      <c r="A33" s="57">
        <v>12</v>
      </c>
      <c r="B33" s="58">
        <f t="shared" ca="1" si="0"/>
        <v>44338</v>
      </c>
      <c r="C33" s="57" t="s">
        <v>14</v>
      </c>
      <c r="D33" s="59" t="e">
        <f t="shared" si="2"/>
        <v>#REF!</v>
      </c>
      <c r="E33" s="60" t="e">
        <f t="shared" si="1"/>
        <v>#REF!</v>
      </c>
    </row>
    <row r="34" spans="1:5">
      <c r="A34" s="57">
        <v>13</v>
      </c>
      <c r="B34" s="58">
        <f t="shared" ca="1" si="0"/>
        <v>44369</v>
      </c>
      <c r="C34" s="57" t="s">
        <v>15</v>
      </c>
      <c r="D34" s="59" t="e">
        <f t="shared" si="2"/>
        <v>#REF!</v>
      </c>
      <c r="E34" s="60" t="e">
        <f t="shared" si="1"/>
        <v>#REF!</v>
      </c>
    </row>
    <row r="35" spans="1:5">
      <c r="A35" s="57">
        <v>14</v>
      </c>
      <c r="B35" s="58">
        <f t="shared" ca="1" si="0"/>
        <v>44399</v>
      </c>
      <c r="C35" s="57" t="s">
        <v>19</v>
      </c>
      <c r="D35" s="59" t="e">
        <f t="shared" si="2"/>
        <v>#REF!</v>
      </c>
      <c r="E35" s="60" t="e">
        <f t="shared" si="1"/>
        <v>#REF!</v>
      </c>
    </row>
    <row r="36" spans="1:5">
      <c r="A36" s="57">
        <v>15</v>
      </c>
      <c r="B36" s="58">
        <f t="shared" ca="1" si="0"/>
        <v>44430</v>
      </c>
      <c r="C36" s="57" t="s">
        <v>20</v>
      </c>
      <c r="D36" s="59" t="e">
        <f t="shared" si="2"/>
        <v>#REF!</v>
      </c>
      <c r="E36" s="60" t="e">
        <f t="shared" si="1"/>
        <v>#REF!</v>
      </c>
    </row>
    <row r="37" spans="1:5">
      <c r="A37" s="57">
        <v>16</v>
      </c>
      <c r="B37" s="58">
        <f t="shared" ca="1" si="0"/>
        <v>44461</v>
      </c>
      <c r="C37" s="57" t="s">
        <v>21</v>
      </c>
      <c r="D37" s="59" t="e">
        <f t="shared" si="2"/>
        <v>#REF!</v>
      </c>
      <c r="E37" s="60" t="e">
        <f t="shared" si="1"/>
        <v>#REF!</v>
      </c>
    </row>
    <row r="38" spans="1:5">
      <c r="A38" s="57">
        <v>17</v>
      </c>
      <c r="B38" s="58">
        <f t="shared" ca="1" si="0"/>
        <v>44491</v>
      </c>
      <c r="C38" s="57" t="s">
        <v>22</v>
      </c>
      <c r="D38" s="59" t="e">
        <f t="shared" si="2"/>
        <v>#REF!</v>
      </c>
      <c r="E38" s="60" t="e">
        <f t="shared" si="1"/>
        <v>#REF!</v>
      </c>
    </row>
    <row r="39" spans="1:5">
      <c r="A39" s="57">
        <v>18</v>
      </c>
      <c r="B39" s="58">
        <f t="shared" ca="1" si="0"/>
        <v>44522</v>
      </c>
      <c r="C39" s="57" t="s">
        <v>23</v>
      </c>
      <c r="D39" s="59" t="e">
        <f t="shared" si="2"/>
        <v>#REF!</v>
      </c>
      <c r="E39" s="60" t="e">
        <f t="shared" si="1"/>
        <v>#REF!</v>
      </c>
    </row>
    <row r="40" spans="1:5">
      <c r="A40" s="57">
        <v>19</v>
      </c>
      <c r="B40" s="58">
        <f t="shared" ca="1" si="0"/>
        <v>44552</v>
      </c>
      <c r="C40" s="57" t="s">
        <v>24</v>
      </c>
      <c r="D40" s="59" t="e">
        <f t="shared" si="2"/>
        <v>#REF!</v>
      </c>
      <c r="E40" s="60" t="e">
        <f t="shared" si="1"/>
        <v>#REF!</v>
      </c>
    </row>
    <row r="41" spans="1:5">
      <c r="A41" s="57">
        <v>20</v>
      </c>
      <c r="B41" s="58">
        <f t="shared" ca="1" si="0"/>
        <v>44583</v>
      </c>
      <c r="C41" s="57" t="s">
        <v>25</v>
      </c>
      <c r="D41" s="59" t="e">
        <f t="shared" si="2"/>
        <v>#REF!</v>
      </c>
      <c r="E41" s="60" t="e">
        <f t="shared" si="1"/>
        <v>#REF!</v>
      </c>
    </row>
    <row r="42" spans="1:5">
      <c r="A42" s="57">
        <v>21</v>
      </c>
      <c r="B42" s="58">
        <f t="shared" ca="1" si="0"/>
        <v>44614</v>
      </c>
      <c r="C42" s="57" t="s">
        <v>26</v>
      </c>
      <c r="D42" s="59" t="e">
        <f t="shared" si="2"/>
        <v>#REF!</v>
      </c>
      <c r="E42" s="60" t="e">
        <f t="shared" si="1"/>
        <v>#REF!</v>
      </c>
    </row>
    <row r="43" spans="1:5">
      <c r="A43" s="57">
        <v>22</v>
      </c>
      <c r="B43" s="58">
        <f t="shared" ca="1" si="0"/>
        <v>44642</v>
      </c>
      <c r="C43" s="57" t="s">
        <v>27</v>
      </c>
      <c r="D43" s="59" t="e">
        <f t="shared" si="2"/>
        <v>#REF!</v>
      </c>
      <c r="E43" s="60" t="e">
        <f t="shared" si="1"/>
        <v>#REF!</v>
      </c>
    </row>
    <row r="44" spans="1:5">
      <c r="A44" s="57">
        <v>23</v>
      </c>
      <c r="B44" s="58">
        <f t="shared" ca="1" si="0"/>
        <v>44673</v>
      </c>
      <c r="C44" s="57" t="s">
        <v>28</v>
      </c>
      <c r="D44" s="59" t="e">
        <f t="shared" si="2"/>
        <v>#REF!</v>
      </c>
      <c r="E44" s="60" t="e">
        <f t="shared" si="1"/>
        <v>#REF!</v>
      </c>
    </row>
    <row r="45" spans="1:5">
      <c r="A45" s="57">
        <v>24</v>
      </c>
      <c r="B45" s="58">
        <f t="shared" ca="1" si="0"/>
        <v>44703</v>
      </c>
      <c r="C45" s="57" t="s">
        <v>29</v>
      </c>
      <c r="D45" s="59" t="e">
        <f t="shared" si="2"/>
        <v>#REF!</v>
      </c>
      <c r="E45" s="60" t="e">
        <f t="shared" si="1"/>
        <v>#REF!</v>
      </c>
    </row>
    <row r="46" spans="1:5">
      <c r="A46" s="57">
        <v>25</v>
      </c>
      <c r="B46" s="58">
        <f t="shared" ca="1" si="0"/>
        <v>44734</v>
      </c>
      <c r="C46" s="57" t="s">
        <v>30</v>
      </c>
      <c r="D46" s="59" t="e">
        <f t="shared" si="2"/>
        <v>#REF!</v>
      </c>
      <c r="E46" s="60" t="e">
        <f t="shared" si="1"/>
        <v>#REF!</v>
      </c>
    </row>
    <row r="47" spans="1:5">
      <c r="A47" s="61">
        <v>26</v>
      </c>
      <c r="B47" s="62">
        <f t="shared" ca="1" si="0"/>
        <v>44764</v>
      </c>
      <c r="C47" s="61" t="s">
        <v>39</v>
      </c>
      <c r="D47" s="63" t="e">
        <f>(C18*0.7)</f>
        <v>#REF!</v>
      </c>
      <c r="E47" s="64" t="e">
        <f>E46-D47</f>
        <v>#REF!</v>
      </c>
    </row>
    <row r="48" spans="1:5">
      <c r="A48" s="65"/>
      <c r="B48" s="66"/>
      <c r="C48" s="67" t="s">
        <v>16</v>
      </c>
      <c r="D48" s="68" t="e">
        <f>SUM(D21:D47)</f>
        <v>#REF!</v>
      </c>
      <c r="E48" s="65"/>
    </row>
    <row r="49" spans="1:5">
      <c r="A49" s="69" t="s">
        <v>62</v>
      </c>
      <c r="B49" s="70"/>
      <c r="C49" s="71"/>
      <c r="D49" s="72"/>
      <c r="E49" s="73"/>
    </row>
    <row r="50" spans="1:5">
      <c r="A50" s="74" t="s">
        <v>69</v>
      </c>
      <c r="B50" s="73"/>
      <c r="C50" s="71"/>
      <c r="D50" s="72"/>
      <c r="E50" s="73"/>
    </row>
    <row r="51" spans="1:5">
      <c r="A51" s="74" t="s">
        <v>70</v>
      </c>
      <c r="B51" s="73"/>
      <c r="C51" s="71"/>
      <c r="D51" s="72"/>
      <c r="E51" s="73"/>
    </row>
    <row r="52" spans="1:5">
      <c r="A52" s="74" t="s">
        <v>88</v>
      </c>
      <c r="B52" s="73"/>
      <c r="C52" s="71"/>
      <c r="D52" s="73"/>
      <c r="E52" s="73"/>
    </row>
    <row r="53" spans="1:5">
      <c r="A53" s="74" t="s">
        <v>74</v>
      </c>
      <c r="B53" s="73"/>
      <c r="C53" s="71"/>
      <c r="D53" s="73"/>
      <c r="E53" s="73"/>
    </row>
    <row r="54" spans="1:5">
      <c r="A54" s="74" t="s">
        <v>63</v>
      </c>
      <c r="B54" s="73"/>
      <c r="C54" s="71"/>
      <c r="D54" s="73"/>
      <c r="E54" s="73"/>
    </row>
    <row r="56" spans="1:5">
      <c r="A56" s="37" t="s">
        <v>17</v>
      </c>
    </row>
    <row r="58" spans="1:5">
      <c r="A58" s="75"/>
      <c r="D58" s="75"/>
    </row>
    <row r="59" spans="1:5">
      <c r="A59" s="38" t="s">
        <v>18</v>
      </c>
      <c r="D59" s="38" t="s">
        <v>18</v>
      </c>
    </row>
  </sheetData>
  <sheetProtection algorithmName="SHA-512" hashValue="gVPUVMkMl8fkex/5lAMIJ3D4oSA34ifTexMJu587fl5/MdrSSCM9+gfIpmM4CupNOEvVGc7BdWRrROMlxLCUag==" saltValue="LCGc0kjne6gzN5x+4/dTsQ==" spinCount="100000" sheet="1" selectLockedCells="1"/>
  <mergeCells count="6">
    <mergeCell ref="B9:D9"/>
    <mergeCell ref="E1:E2"/>
    <mergeCell ref="B5:D5"/>
    <mergeCell ref="B6:D6"/>
    <mergeCell ref="B7:D7"/>
    <mergeCell ref="B8:D8"/>
  </mergeCells>
  <hyperlinks>
    <hyperlink ref="B1" location="'DATA SHEET'!A1" display="HIGHLANDS PRIME, INC." xr:uid="{00000000-0004-0000-0A00-000000000000}"/>
  </hyperlinks>
  <printOptions horizontalCentered="1"/>
  <pageMargins left="0.7" right="0.7" top="0.75" bottom="0.5" header="0.3" footer="0.3"/>
  <pageSetup scale="90"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C000"/>
  </sheetPr>
  <dimension ref="A1:E56"/>
  <sheetViews>
    <sheetView showGridLines="0" workbookViewId="0">
      <selection activeCell="B13" sqref="B13"/>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1" customFormat="1" ht="12.75" customHeight="1">
      <c r="B1" s="42" t="s">
        <v>35</v>
      </c>
      <c r="C1" s="43"/>
      <c r="E1" s="425" t="s">
        <v>66</v>
      </c>
    </row>
    <row r="2" spans="1:5" s="41" customFormat="1">
      <c r="B2" s="44" t="s">
        <v>54</v>
      </c>
      <c r="C2" s="43"/>
      <c r="E2" s="425"/>
    </row>
    <row r="3" spans="1:5" s="41" customFormat="1">
      <c r="B3" s="44" t="s">
        <v>36</v>
      </c>
      <c r="C3" s="43"/>
    </row>
    <row r="4" spans="1:5" s="41" customFormat="1">
      <c r="C4" s="43"/>
    </row>
    <row r="5" spans="1:5" s="41" customFormat="1">
      <c r="A5" s="45" t="s">
        <v>0</v>
      </c>
      <c r="B5" s="426" t="str">
        <f>'DATA SHEET'!D10</f>
        <v xml:space="preserve"> </v>
      </c>
      <c r="C5" s="426"/>
      <c r="D5" s="427"/>
    </row>
    <row r="6" spans="1:5" s="41" customFormat="1">
      <c r="A6" s="46" t="s">
        <v>31</v>
      </c>
      <c r="B6" s="428" t="e">
        <f>VLOOKUP('DATA SHEET'!D11,#REF!, 1, FALSE)</f>
        <v>#REF!</v>
      </c>
      <c r="C6" s="428"/>
      <c r="D6" s="429"/>
    </row>
    <row r="7" spans="1:5" s="41" customFormat="1">
      <c r="A7" s="46" t="s">
        <v>37</v>
      </c>
      <c r="B7" s="430" t="e">
        <f>VLOOKUP('DATA SHEET'!D11,#REF!, 3, FALSE)</f>
        <v>#REF!</v>
      </c>
      <c r="C7" s="430"/>
      <c r="D7" s="431"/>
    </row>
    <row r="8" spans="1:5" s="41" customFormat="1">
      <c r="A8" s="46" t="s">
        <v>57</v>
      </c>
      <c r="B8" s="432" t="e">
        <f>VLOOKUP('DATA SHEET'!D11,#REF!, 5, FALSE)</f>
        <v>#REF!</v>
      </c>
      <c r="C8" s="432"/>
      <c r="D8" s="433"/>
    </row>
    <row r="9" spans="1:5" s="41" customFormat="1">
      <c r="A9" s="47" t="s">
        <v>33</v>
      </c>
      <c r="B9" s="423" t="s">
        <v>78</v>
      </c>
      <c r="C9" s="423"/>
      <c r="D9" s="424"/>
    </row>
    <row r="10" spans="1:5" s="41" customFormat="1">
      <c r="C10" s="43"/>
    </row>
    <row r="11" spans="1:5" s="41" customFormat="1">
      <c r="A11" s="44" t="s">
        <v>85</v>
      </c>
      <c r="C11" s="43"/>
    </row>
    <row r="12" spans="1:5" s="41" customFormat="1">
      <c r="A12" s="41" t="s">
        <v>87</v>
      </c>
      <c r="C12" s="87" t="e">
        <f>B8-750000</f>
        <v>#REF!</v>
      </c>
    </row>
    <row r="13" spans="1:5" s="41" customFormat="1">
      <c r="A13" s="41" t="s">
        <v>116</v>
      </c>
      <c r="B13" s="49">
        <v>0.01</v>
      </c>
      <c r="C13" s="88" t="e">
        <f>C12*B13</f>
        <v>#REF!</v>
      </c>
    </row>
    <row r="14" spans="1:5" s="41" customFormat="1">
      <c r="C14" s="87" t="e">
        <f>C12-C13</f>
        <v>#REF!</v>
      </c>
    </row>
    <row r="15" spans="1:5" s="41" customFormat="1">
      <c r="A15" s="41" t="s">
        <v>56</v>
      </c>
      <c r="C15" s="88">
        <v>750000</v>
      </c>
    </row>
    <row r="16" spans="1:5" s="41" customFormat="1" ht="15" thickBot="1">
      <c r="A16" s="44" t="s">
        <v>58</v>
      </c>
      <c r="C16" s="89" t="e">
        <f>C14+C15</f>
        <v>#REF!</v>
      </c>
    </row>
    <row r="17" spans="1:5" s="41" customFormat="1" ht="15" thickTop="1">
      <c r="C17" s="43"/>
    </row>
    <row r="18" spans="1:5">
      <c r="A18" s="9" t="s">
        <v>34</v>
      </c>
      <c r="B18" s="9" t="s">
        <v>32</v>
      </c>
      <c r="C18" s="9" t="s">
        <v>2</v>
      </c>
      <c r="D18" s="9" t="s">
        <v>3</v>
      </c>
      <c r="E18" s="9" t="s">
        <v>67</v>
      </c>
    </row>
    <row r="19" spans="1:5">
      <c r="A19" s="8">
        <v>0</v>
      </c>
      <c r="B19" s="10">
        <f ca="1">'DATA SHEET'!D9</f>
        <v>43973</v>
      </c>
      <c r="C19" s="8" t="s">
        <v>38</v>
      </c>
      <c r="D19" s="11">
        <v>100000</v>
      </c>
      <c r="E19" s="12" t="e">
        <f>B8-D19</f>
        <v>#REF!</v>
      </c>
    </row>
    <row r="20" spans="1:5">
      <c r="A20" s="8">
        <v>1</v>
      </c>
      <c r="B20" s="10">
        <f ca="1">EDATE(B19,1)</f>
        <v>44004</v>
      </c>
      <c r="C20" s="8" t="s">
        <v>79</v>
      </c>
      <c r="D20" s="11" t="e">
        <f>((C16*0.1)-D19)/6</f>
        <v>#REF!</v>
      </c>
      <c r="E20" s="12" t="e">
        <f>E19-D20</f>
        <v>#REF!</v>
      </c>
    </row>
    <row r="21" spans="1:5">
      <c r="A21" s="8">
        <v>2</v>
      </c>
      <c r="B21" s="10">
        <f t="shared" ref="B21:B44" ca="1" si="0">EDATE(B20,1)</f>
        <v>44034</v>
      </c>
      <c r="C21" s="8" t="s">
        <v>80</v>
      </c>
      <c r="D21" s="11" t="e">
        <f>D20</f>
        <v>#REF!</v>
      </c>
      <c r="E21" s="12" t="e">
        <f t="shared" ref="E21:E44" si="1">E20-D21</f>
        <v>#REF!</v>
      </c>
    </row>
    <row r="22" spans="1:5">
      <c r="A22" s="8">
        <v>3</v>
      </c>
      <c r="B22" s="10">
        <f t="shared" ca="1" si="0"/>
        <v>44065</v>
      </c>
      <c r="C22" s="8" t="s">
        <v>81</v>
      </c>
      <c r="D22" s="11" t="e">
        <f>D21</f>
        <v>#REF!</v>
      </c>
      <c r="E22" s="12" t="e">
        <f t="shared" si="1"/>
        <v>#REF!</v>
      </c>
    </row>
    <row r="23" spans="1:5">
      <c r="A23" s="8">
        <v>4</v>
      </c>
      <c r="B23" s="10">
        <f t="shared" ca="1" si="0"/>
        <v>44096</v>
      </c>
      <c r="C23" s="8" t="s">
        <v>82</v>
      </c>
      <c r="D23" s="11" t="e">
        <f t="shared" ref="D23:D43" si="2">D22</f>
        <v>#REF!</v>
      </c>
      <c r="E23" s="12" t="e">
        <f t="shared" si="1"/>
        <v>#REF!</v>
      </c>
    </row>
    <row r="24" spans="1:5">
      <c r="A24" s="8">
        <v>5</v>
      </c>
      <c r="B24" s="10">
        <f t="shared" ca="1" si="0"/>
        <v>44126</v>
      </c>
      <c r="C24" s="8" t="s">
        <v>83</v>
      </c>
      <c r="D24" s="11" t="e">
        <f t="shared" si="2"/>
        <v>#REF!</v>
      </c>
      <c r="E24" s="12" t="e">
        <f t="shared" si="1"/>
        <v>#REF!</v>
      </c>
    </row>
    <row r="25" spans="1:5">
      <c r="A25" s="8">
        <v>6</v>
      </c>
      <c r="B25" s="10">
        <f t="shared" ca="1" si="0"/>
        <v>44157</v>
      </c>
      <c r="C25" s="8" t="s">
        <v>84</v>
      </c>
      <c r="D25" s="11" t="e">
        <f t="shared" si="2"/>
        <v>#REF!</v>
      </c>
      <c r="E25" s="12" t="e">
        <f t="shared" si="1"/>
        <v>#REF!</v>
      </c>
    </row>
    <row r="26" spans="1:5">
      <c r="A26" s="8">
        <v>7</v>
      </c>
      <c r="B26" s="10">
        <f t="shared" ca="1" si="0"/>
        <v>44187</v>
      </c>
      <c r="C26" s="8" t="s">
        <v>4</v>
      </c>
      <c r="D26" s="11" t="e">
        <f>(C16*0.1)/18</f>
        <v>#REF!</v>
      </c>
      <c r="E26" s="12" t="e">
        <f t="shared" si="1"/>
        <v>#REF!</v>
      </c>
    </row>
    <row r="27" spans="1:5">
      <c r="A27" s="8">
        <v>8</v>
      </c>
      <c r="B27" s="10">
        <f t="shared" ca="1" si="0"/>
        <v>44218</v>
      </c>
      <c r="C27" s="8" t="s">
        <v>5</v>
      </c>
      <c r="D27" s="11" t="e">
        <f t="shared" si="2"/>
        <v>#REF!</v>
      </c>
      <c r="E27" s="12" t="e">
        <f t="shared" si="1"/>
        <v>#REF!</v>
      </c>
    </row>
    <row r="28" spans="1:5">
      <c r="A28" s="8">
        <v>9</v>
      </c>
      <c r="B28" s="10">
        <f t="shared" ca="1" si="0"/>
        <v>44249</v>
      </c>
      <c r="C28" s="8" t="s">
        <v>6</v>
      </c>
      <c r="D28" s="11" t="e">
        <f t="shared" si="2"/>
        <v>#REF!</v>
      </c>
      <c r="E28" s="12" t="e">
        <f t="shared" si="1"/>
        <v>#REF!</v>
      </c>
    </row>
    <row r="29" spans="1:5">
      <c r="A29" s="8">
        <v>10</v>
      </c>
      <c r="B29" s="10">
        <f t="shared" ca="1" si="0"/>
        <v>44277</v>
      </c>
      <c r="C29" s="8" t="s">
        <v>7</v>
      </c>
      <c r="D29" s="11" t="e">
        <f t="shared" si="2"/>
        <v>#REF!</v>
      </c>
      <c r="E29" s="12" t="e">
        <f t="shared" si="1"/>
        <v>#REF!</v>
      </c>
    </row>
    <row r="30" spans="1:5">
      <c r="A30" s="8">
        <v>11</v>
      </c>
      <c r="B30" s="10">
        <f t="shared" ca="1" si="0"/>
        <v>44308</v>
      </c>
      <c r="C30" s="8" t="s">
        <v>8</v>
      </c>
      <c r="D30" s="11" t="e">
        <f t="shared" si="2"/>
        <v>#REF!</v>
      </c>
      <c r="E30" s="12" t="e">
        <f t="shared" si="1"/>
        <v>#REF!</v>
      </c>
    </row>
    <row r="31" spans="1:5">
      <c r="A31" s="8">
        <v>12</v>
      </c>
      <c r="B31" s="10">
        <f t="shared" ca="1" si="0"/>
        <v>44338</v>
      </c>
      <c r="C31" s="8" t="s">
        <v>9</v>
      </c>
      <c r="D31" s="11" t="e">
        <f t="shared" si="2"/>
        <v>#REF!</v>
      </c>
      <c r="E31" s="12" t="e">
        <f t="shared" si="1"/>
        <v>#REF!</v>
      </c>
    </row>
    <row r="32" spans="1:5">
      <c r="A32" s="8">
        <v>13</v>
      </c>
      <c r="B32" s="10">
        <f t="shared" ca="1" si="0"/>
        <v>44369</v>
      </c>
      <c r="C32" s="8" t="s">
        <v>10</v>
      </c>
      <c r="D32" s="11" t="e">
        <f t="shared" si="2"/>
        <v>#REF!</v>
      </c>
      <c r="E32" s="12" t="e">
        <f t="shared" si="1"/>
        <v>#REF!</v>
      </c>
    </row>
    <row r="33" spans="1:5">
      <c r="A33" s="8">
        <v>14</v>
      </c>
      <c r="B33" s="10">
        <f t="shared" ca="1" si="0"/>
        <v>44399</v>
      </c>
      <c r="C33" s="8" t="s">
        <v>11</v>
      </c>
      <c r="D33" s="11" t="e">
        <f t="shared" si="2"/>
        <v>#REF!</v>
      </c>
      <c r="E33" s="12" t="e">
        <f t="shared" si="1"/>
        <v>#REF!</v>
      </c>
    </row>
    <row r="34" spans="1:5">
      <c r="A34" s="8">
        <v>15</v>
      </c>
      <c r="B34" s="10">
        <f t="shared" ca="1" si="0"/>
        <v>44430</v>
      </c>
      <c r="C34" s="8" t="s">
        <v>12</v>
      </c>
      <c r="D34" s="11" t="e">
        <f t="shared" si="2"/>
        <v>#REF!</v>
      </c>
      <c r="E34" s="12" t="e">
        <f t="shared" si="1"/>
        <v>#REF!</v>
      </c>
    </row>
    <row r="35" spans="1:5">
      <c r="A35" s="8">
        <v>16</v>
      </c>
      <c r="B35" s="10">
        <f t="shared" ca="1" si="0"/>
        <v>44461</v>
      </c>
      <c r="C35" s="8" t="s">
        <v>13</v>
      </c>
      <c r="D35" s="11" t="e">
        <f t="shared" si="2"/>
        <v>#REF!</v>
      </c>
      <c r="E35" s="12" t="e">
        <f t="shared" si="1"/>
        <v>#REF!</v>
      </c>
    </row>
    <row r="36" spans="1:5">
      <c r="A36" s="8">
        <v>17</v>
      </c>
      <c r="B36" s="10">
        <f t="shared" ca="1" si="0"/>
        <v>44491</v>
      </c>
      <c r="C36" s="8" t="s">
        <v>14</v>
      </c>
      <c r="D36" s="11" t="e">
        <f t="shared" si="2"/>
        <v>#REF!</v>
      </c>
      <c r="E36" s="12" t="e">
        <f t="shared" si="1"/>
        <v>#REF!</v>
      </c>
    </row>
    <row r="37" spans="1:5">
      <c r="A37" s="8">
        <v>18</v>
      </c>
      <c r="B37" s="10">
        <f t="shared" ca="1" si="0"/>
        <v>44522</v>
      </c>
      <c r="C37" s="8" t="s">
        <v>15</v>
      </c>
      <c r="D37" s="11" t="e">
        <f t="shared" si="2"/>
        <v>#REF!</v>
      </c>
      <c r="E37" s="12" t="e">
        <f t="shared" si="1"/>
        <v>#REF!</v>
      </c>
    </row>
    <row r="38" spans="1:5">
      <c r="A38" s="8">
        <v>19</v>
      </c>
      <c r="B38" s="10">
        <f t="shared" ca="1" si="0"/>
        <v>44552</v>
      </c>
      <c r="C38" s="8" t="s">
        <v>19</v>
      </c>
      <c r="D38" s="11" t="e">
        <f t="shared" si="2"/>
        <v>#REF!</v>
      </c>
      <c r="E38" s="12" t="e">
        <f t="shared" si="1"/>
        <v>#REF!</v>
      </c>
    </row>
    <row r="39" spans="1:5">
      <c r="A39" s="8">
        <v>20</v>
      </c>
      <c r="B39" s="10">
        <f t="shared" ca="1" si="0"/>
        <v>44583</v>
      </c>
      <c r="C39" s="8" t="s">
        <v>20</v>
      </c>
      <c r="D39" s="11" t="e">
        <f t="shared" si="2"/>
        <v>#REF!</v>
      </c>
      <c r="E39" s="12" t="e">
        <f t="shared" si="1"/>
        <v>#REF!</v>
      </c>
    </row>
    <row r="40" spans="1:5">
      <c r="A40" s="8">
        <v>21</v>
      </c>
      <c r="B40" s="10">
        <f t="shared" ca="1" si="0"/>
        <v>44614</v>
      </c>
      <c r="C40" s="8" t="s">
        <v>21</v>
      </c>
      <c r="D40" s="11" t="e">
        <f t="shared" si="2"/>
        <v>#REF!</v>
      </c>
      <c r="E40" s="12" t="e">
        <f t="shared" si="1"/>
        <v>#REF!</v>
      </c>
    </row>
    <row r="41" spans="1:5">
      <c r="A41" s="8">
        <v>22</v>
      </c>
      <c r="B41" s="10">
        <f t="shared" ca="1" si="0"/>
        <v>44642</v>
      </c>
      <c r="C41" s="8" t="s">
        <v>22</v>
      </c>
      <c r="D41" s="11" t="e">
        <f t="shared" si="2"/>
        <v>#REF!</v>
      </c>
      <c r="E41" s="12" t="e">
        <f t="shared" si="1"/>
        <v>#REF!</v>
      </c>
    </row>
    <row r="42" spans="1:5">
      <c r="A42" s="8">
        <v>23</v>
      </c>
      <c r="B42" s="10">
        <f t="shared" ca="1" si="0"/>
        <v>44673</v>
      </c>
      <c r="C42" s="8" t="s">
        <v>23</v>
      </c>
      <c r="D42" s="11" t="e">
        <f t="shared" si="2"/>
        <v>#REF!</v>
      </c>
      <c r="E42" s="12" t="e">
        <f t="shared" si="1"/>
        <v>#REF!</v>
      </c>
    </row>
    <row r="43" spans="1:5">
      <c r="A43" s="8">
        <v>24</v>
      </c>
      <c r="B43" s="10">
        <f t="shared" ca="1" si="0"/>
        <v>44703</v>
      </c>
      <c r="C43" s="8" t="s">
        <v>24</v>
      </c>
      <c r="D43" s="11" t="e">
        <f t="shared" si="2"/>
        <v>#REF!</v>
      </c>
      <c r="E43" s="12" t="e">
        <f t="shared" si="1"/>
        <v>#REF!</v>
      </c>
    </row>
    <row r="44" spans="1:5">
      <c r="A44" s="78">
        <v>25</v>
      </c>
      <c r="B44" s="79">
        <f t="shared" ca="1" si="0"/>
        <v>44734</v>
      </c>
      <c r="C44" s="78" t="s">
        <v>39</v>
      </c>
      <c r="D44" s="80" t="e">
        <f>C16*0.8</f>
        <v>#REF!</v>
      </c>
      <c r="E44" s="81" t="e">
        <f t="shared" si="1"/>
        <v>#REF!</v>
      </c>
    </row>
    <row r="45" spans="1:5">
      <c r="A45" s="17"/>
      <c r="B45" s="18"/>
      <c r="C45" s="19" t="s">
        <v>16</v>
      </c>
      <c r="D45" s="20" t="e">
        <f>SUM(D19:D44)</f>
        <v>#REF!</v>
      </c>
      <c r="E45" s="17"/>
    </row>
    <row r="46" spans="1:5">
      <c r="A46" s="3" t="s">
        <v>62</v>
      </c>
      <c r="B46" s="27"/>
      <c r="C46" s="28"/>
      <c r="D46" s="29"/>
      <c r="E46" s="30"/>
    </row>
    <row r="47" spans="1:5">
      <c r="A47" s="4" t="s">
        <v>69</v>
      </c>
      <c r="B47" s="30"/>
      <c r="C47" s="28"/>
      <c r="D47" s="29"/>
      <c r="E47" s="30"/>
    </row>
    <row r="48" spans="1:5">
      <c r="A48" s="4" t="s">
        <v>70</v>
      </c>
      <c r="B48" s="30"/>
      <c r="C48" s="28"/>
      <c r="D48" s="29"/>
      <c r="E48" s="30"/>
    </row>
    <row r="49" spans="1:5">
      <c r="A49" s="4" t="s">
        <v>88</v>
      </c>
      <c r="B49" s="30"/>
      <c r="C49" s="28"/>
      <c r="D49" s="30"/>
      <c r="E49" s="30"/>
    </row>
    <row r="50" spans="1:5">
      <c r="A50" s="4" t="s">
        <v>74</v>
      </c>
      <c r="B50" s="30"/>
      <c r="C50" s="28"/>
      <c r="D50" s="30"/>
      <c r="E50" s="30"/>
    </row>
    <row r="51" spans="1:5">
      <c r="A51" s="4" t="s">
        <v>63</v>
      </c>
      <c r="B51" s="30"/>
      <c r="C51" s="28"/>
      <c r="D51" s="30"/>
      <c r="E51" s="30"/>
    </row>
    <row r="53" spans="1:5">
      <c r="A53" s="1" t="s">
        <v>17</v>
      </c>
    </row>
    <row r="55" spans="1:5">
      <c r="A55" s="5"/>
      <c r="D55" s="5"/>
    </row>
    <row r="56" spans="1:5">
      <c r="A56" s="2" t="s">
        <v>18</v>
      </c>
      <c r="D56" s="2" t="s">
        <v>18</v>
      </c>
    </row>
  </sheetData>
  <sheetProtection algorithmName="SHA-512" hashValue="Ha2oxuEIfCKnHPNK+ZvsTdasq8LhzroPdaby8wvUdzsTWhGnd+K3MyX5Mwco48ZwuswsU17m9gf+6OWow7IN6Q==" saltValue="lfKP5rSgTwZ3mMNEQmREbw==" spinCount="100000" sheet="1" selectLockedCells="1"/>
  <mergeCells count="6">
    <mergeCell ref="B9:D9"/>
    <mergeCell ref="E1:E2"/>
    <mergeCell ref="B5:D5"/>
    <mergeCell ref="B6:D6"/>
    <mergeCell ref="B7:D7"/>
    <mergeCell ref="B8:D8"/>
  </mergeCells>
  <hyperlinks>
    <hyperlink ref="B1" location="'DATA SHEET'!A1" display="HIGHLANDS PRIME, INC." xr:uid="{00000000-0004-0000-0B00-000000000000}"/>
  </hyperlinks>
  <printOptions horizontalCentered="1"/>
  <pageMargins left="0.7" right="0.7" top="0.75" bottom="0.5" header="0.3" footer="0.3"/>
  <pageSetup scale="95"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6" tint="-0.499984740745262"/>
  </sheetPr>
  <dimension ref="A1:E56"/>
  <sheetViews>
    <sheetView showGridLines="0" workbookViewId="0">
      <selection activeCell="B1" sqref="B1"/>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1" customFormat="1" ht="12.75" customHeight="1">
      <c r="B1" s="42" t="s">
        <v>35</v>
      </c>
      <c r="C1" s="43"/>
      <c r="E1" s="425" t="s">
        <v>66</v>
      </c>
    </row>
    <row r="2" spans="1:5" s="41" customFormat="1">
      <c r="B2" s="44" t="s">
        <v>54</v>
      </c>
      <c r="C2" s="43"/>
      <c r="E2" s="425"/>
    </row>
    <row r="3" spans="1:5" s="41" customFormat="1">
      <c r="B3" s="44" t="s">
        <v>36</v>
      </c>
      <c r="C3" s="43"/>
    </row>
    <row r="4" spans="1:5" s="41" customFormat="1">
      <c r="C4" s="43"/>
    </row>
    <row r="5" spans="1:5" s="41" customFormat="1">
      <c r="A5" s="45" t="s">
        <v>0</v>
      </c>
      <c r="B5" s="426" t="str">
        <f>'DATA SHEET'!D10</f>
        <v xml:space="preserve"> </v>
      </c>
      <c r="C5" s="426"/>
      <c r="D5" s="427"/>
    </row>
    <row r="6" spans="1:5" s="41" customFormat="1">
      <c r="A6" s="46" t="s">
        <v>31</v>
      </c>
      <c r="B6" s="428" t="e">
        <f>VLOOKUP('DATA SHEET'!D11,#REF!, 1, FALSE)</f>
        <v>#REF!</v>
      </c>
      <c r="C6" s="428"/>
      <c r="D6" s="429"/>
    </row>
    <row r="7" spans="1:5" s="41" customFormat="1">
      <c r="A7" s="46" t="s">
        <v>37</v>
      </c>
      <c r="B7" s="430" t="e">
        <f>VLOOKUP('DATA SHEET'!D11,#REF!, 3, FALSE)</f>
        <v>#REF!</v>
      </c>
      <c r="C7" s="430"/>
      <c r="D7" s="431"/>
    </row>
    <row r="8" spans="1:5" s="41" customFormat="1">
      <c r="A8" s="46" t="s">
        <v>57</v>
      </c>
      <c r="B8" s="432" t="e">
        <f>VLOOKUP('DATA SHEET'!D11,#REF!, 5, FALSE)</f>
        <v>#REF!</v>
      </c>
      <c r="C8" s="432"/>
      <c r="D8" s="433"/>
    </row>
    <row r="9" spans="1:5" s="41" customFormat="1">
      <c r="A9" s="47" t="s">
        <v>33</v>
      </c>
      <c r="B9" s="423" t="s">
        <v>78</v>
      </c>
      <c r="C9" s="423"/>
      <c r="D9" s="424"/>
    </row>
    <row r="10" spans="1:5" s="41" customFormat="1">
      <c r="C10" s="43"/>
    </row>
    <row r="11" spans="1:5" s="41" customFormat="1">
      <c r="A11" s="44" t="s">
        <v>85</v>
      </c>
      <c r="C11" s="43"/>
    </row>
    <row r="12" spans="1:5" s="41" customFormat="1">
      <c r="A12" s="41" t="s">
        <v>86</v>
      </c>
      <c r="C12" s="82" t="e">
        <f>B8</f>
        <v>#REF!</v>
      </c>
    </row>
    <row r="13" spans="1:5" s="41" customFormat="1">
      <c r="A13" s="41" t="s">
        <v>59</v>
      </c>
      <c r="C13" s="83">
        <v>750000</v>
      </c>
    </row>
    <row r="14" spans="1:5" s="41" customFormat="1" hidden="1">
      <c r="C14" s="86" t="e">
        <f>C12-C13</f>
        <v>#REF!</v>
      </c>
    </row>
    <row r="15" spans="1:5" s="41" customFormat="1" hidden="1">
      <c r="A15" s="41" t="s">
        <v>120</v>
      </c>
      <c r="B15" s="49">
        <v>0</v>
      </c>
      <c r="C15" s="86" t="e">
        <f>C14*B15</f>
        <v>#REF!</v>
      </c>
    </row>
    <row r="16" spans="1:5" s="41" customFormat="1" ht="15" thickBot="1">
      <c r="A16" s="44" t="s">
        <v>58</v>
      </c>
      <c r="C16" s="84" t="e">
        <f>C14-C15</f>
        <v>#REF!</v>
      </c>
    </row>
    <row r="17" spans="1:5" s="41" customFormat="1" ht="15" thickTop="1">
      <c r="C17" s="43"/>
    </row>
    <row r="18" spans="1:5">
      <c r="A18" s="9" t="s">
        <v>34</v>
      </c>
      <c r="B18" s="9" t="s">
        <v>32</v>
      </c>
      <c r="C18" s="9" t="s">
        <v>2</v>
      </c>
      <c r="D18" s="9" t="s">
        <v>3</v>
      </c>
      <c r="E18" s="9" t="s">
        <v>67</v>
      </c>
    </row>
    <row r="19" spans="1:5">
      <c r="A19" s="8">
        <v>0</v>
      </c>
      <c r="B19" s="10">
        <f ca="1">'DATA SHEET'!D9</f>
        <v>43973</v>
      </c>
      <c r="C19" s="8" t="s">
        <v>38</v>
      </c>
      <c r="D19" s="11">
        <v>100000</v>
      </c>
      <c r="E19" s="12" t="e">
        <f>C16-D19</f>
        <v>#REF!</v>
      </c>
    </row>
    <row r="20" spans="1:5">
      <c r="A20" s="8">
        <v>1</v>
      </c>
      <c r="B20" s="10">
        <f ca="1">EDATE(B19,1)</f>
        <v>44004</v>
      </c>
      <c r="C20" s="8" t="s">
        <v>79</v>
      </c>
      <c r="D20" s="11" t="e">
        <f>((C16*0.1)-D19)/6</f>
        <v>#REF!</v>
      </c>
      <c r="E20" s="12" t="e">
        <f>E19-D20</f>
        <v>#REF!</v>
      </c>
    </row>
    <row r="21" spans="1:5">
      <c r="A21" s="8">
        <v>2</v>
      </c>
      <c r="B21" s="10">
        <f t="shared" ref="B21:B44" ca="1" si="0">EDATE(B20,1)</f>
        <v>44034</v>
      </c>
      <c r="C21" s="8" t="s">
        <v>80</v>
      </c>
      <c r="D21" s="11" t="e">
        <f>D20</f>
        <v>#REF!</v>
      </c>
      <c r="E21" s="12" t="e">
        <f t="shared" ref="E21:E44" si="1">E20-D21</f>
        <v>#REF!</v>
      </c>
    </row>
    <row r="22" spans="1:5">
      <c r="A22" s="8">
        <v>3</v>
      </c>
      <c r="B22" s="10">
        <f t="shared" ca="1" si="0"/>
        <v>44065</v>
      </c>
      <c r="C22" s="8" t="s">
        <v>81</v>
      </c>
      <c r="D22" s="11" t="e">
        <f>D21</f>
        <v>#REF!</v>
      </c>
      <c r="E22" s="12" t="e">
        <f t="shared" si="1"/>
        <v>#REF!</v>
      </c>
    </row>
    <row r="23" spans="1:5">
      <c r="A23" s="8">
        <v>4</v>
      </c>
      <c r="B23" s="10">
        <f t="shared" ca="1" si="0"/>
        <v>44096</v>
      </c>
      <c r="C23" s="8" t="s">
        <v>82</v>
      </c>
      <c r="D23" s="11" t="e">
        <f t="shared" ref="D23:D43" si="2">D22</f>
        <v>#REF!</v>
      </c>
      <c r="E23" s="12" t="e">
        <f t="shared" si="1"/>
        <v>#REF!</v>
      </c>
    </row>
    <row r="24" spans="1:5">
      <c r="A24" s="8">
        <v>5</v>
      </c>
      <c r="B24" s="10">
        <f t="shared" ca="1" si="0"/>
        <v>44126</v>
      </c>
      <c r="C24" s="8" t="s">
        <v>83</v>
      </c>
      <c r="D24" s="11" t="e">
        <f t="shared" si="2"/>
        <v>#REF!</v>
      </c>
      <c r="E24" s="12" t="e">
        <f t="shared" si="1"/>
        <v>#REF!</v>
      </c>
    </row>
    <row r="25" spans="1:5">
      <c r="A25" s="8">
        <v>6</v>
      </c>
      <c r="B25" s="10">
        <f t="shared" ca="1" si="0"/>
        <v>44157</v>
      </c>
      <c r="C25" s="8" t="s">
        <v>84</v>
      </c>
      <c r="D25" s="11" t="e">
        <f t="shared" si="2"/>
        <v>#REF!</v>
      </c>
      <c r="E25" s="12" t="e">
        <f t="shared" si="1"/>
        <v>#REF!</v>
      </c>
    </row>
    <row r="26" spans="1:5">
      <c r="A26" s="8">
        <v>7</v>
      </c>
      <c r="B26" s="10">
        <f t="shared" ca="1" si="0"/>
        <v>44187</v>
      </c>
      <c r="C26" s="8" t="s">
        <v>4</v>
      </c>
      <c r="D26" s="11" t="e">
        <f>(C16*0.1)/18</f>
        <v>#REF!</v>
      </c>
      <c r="E26" s="12" t="e">
        <f t="shared" si="1"/>
        <v>#REF!</v>
      </c>
    </row>
    <row r="27" spans="1:5">
      <c r="A27" s="8">
        <v>8</v>
      </c>
      <c r="B27" s="10">
        <f t="shared" ca="1" si="0"/>
        <v>44218</v>
      </c>
      <c r="C27" s="8" t="s">
        <v>5</v>
      </c>
      <c r="D27" s="11" t="e">
        <f t="shared" si="2"/>
        <v>#REF!</v>
      </c>
      <c r="E27" s="12" t="e">
        <f t="shared" si="1"/>
        <v>#REF!</v>
      </c>
    </row>
    <row r="28" spans="1:5">
      <c r="A28" s="8">
        <v>9</v>
      </c>
      <c r="B28" s="10">
        <f t="shared" ca="1" si="0"/>
        <v>44249</v>
      </c>
      <c r="C28" s="8" t="s">
        <v>6</v>
      </c>
      <c r="D28" s="11" t="e">
        <f t="shared" si="2"/>
        <v>#REF!</v>
      </c>
      <c r="E28" s="12" t="e">
        <f t="shared" si="1"/>
        <v>#REF!</v>
      </c>
    </row>
    <row r="29" spans="1:5">
      <c r="A29" s="8">
        <v>10</v>
      </c>
      <c r="B29" s="10">
        <f t="shared" ca="1" si="0"/>
        <v>44277</v>
      </c>
      <c r="C29" s="8" t="s">
        <v>7</v>
      </c>
      <c r="D29" s="11" t="e">
        <f t="shared" si="2"/>
        <v>#REF!</v>
      </c>
      <c r="E29" s="12" t="e">
        <f t="shared" si="1"/>
        <v>#REF!</v>
      </c>
    </row>
    <row r="30" spans="1:5">
      <c r="A30" s="8">
        <v>11</v>
      </c>
      <c r="B30" s="10">
        <f t="shared" ca="1" si="0"/>
        <v>44308</v>
      </c>
      <c r="C30" s="8" t="s">
        <v>8</v>
      </c>
      <c r="D30" s="11" t="e">
        <f t="shared" si="2"/>
        <v>#REF!</v>
      </c>
      <c r="E30" s="12" t="e">
        <f t="shared" si="1"/>
        <v>#REF!</v>
      </c>
    </row>
    <row r="31" spans="1:5">
      <c r="A31" s="8">
        <v>12</v>
      </c>
      <c r="B31" s="10">
        <f t="shared" ca="1" si="0"/>
        <v>44338</v>
      </c>
      <c r="C31" s="8" t="s">
        <v>9</v>
      </c>
      <c r="D31" s="11" t="e">
        <f t="shared" si="2"/>
        <v>#REF!</v>
      </c>
      <c r="E31" s="12" t="e">
        <f t="shared" si="1"/>
        <v>#REF!</v>
      </c>
    </row>
    <row r="32" spans="1:5">
      <c r="A32" s="8">
        <v>13</v>
      </c>
      <c r="B32" s="10">
        <f t="shared" ca="1" si="0"/>
        <v>44369</v>
      </c>
      <c r="C32" s="8" t="s">
        <v>10</v>
      </c>
      <c r="D32" s="11" t="e">
        <f t="shared" si="2"/>
        <v>#REF!</v>
      </c>
      <c r="E32" s="12" t="e">
        <f t="shared" si="1"/>
        <v>#REF!</v>
      </c>
    </row>
    <row r="33" spans="1:5">
      <c r="A33" s="8">
        <v>14</v>
      </c>
      <c r="B33" s="10">
        <f t="shared" ca="1" si="0"/>
        <v>44399</v>
      </c>
      <c r="C33" s="8" t="s">
        <v>11</v>
      </c>
      <c r="D33" s="11" t="e">
        <f t="shared" si="2"/>
        <v>#REF!</v>
      </c>
      <c r="E33" s="12" t="e">
        <f t="shared" si="1"/>
        <v>#REF!</v>
      </c>
    </row>
    <row r="34" spans="1:5">
      <c r="A34" s="8">
        <v>15</v>
      </c>
      <c r="B34" s="10">
        <f t="shared" ca="1" si="0"/>
        <v>44430</v>
      </c>
      <c r="C34" s="8" t="s">
        <v>12</v>
      </c>
      <c r="D34" s="11" t="e">
        <f t="shared" si="2"/>
        <v>#REF!</v>
      </c>
      <c r="E34" s="12" t="e">
        <f t="shared" si="1"/>
        <v>#REF!</v>
      </c>
    </row>
    <row r="35" spans="1:5">
      <c r="A35" s="8">
        <v>16</v>
      </c>
      <c r="B35" s="10">
        <f t="shared" ca="1" si="0"/>
        <v>44461</v>
      </c>
      <c r="C35" s="8" t="s">
        <v>13</v>
      </c>
      <c r="D35" s="11" t="e">
        <f t="shared" si="2"/>
        <v>#REF!</v>
      </c>
      <c r="E35" s="12" t="e">
        <f t="shared" si="1"/>
        <v>#REF!</v>
      </c>
    </row>
    <row r="36" spans="1:5">
      <c r="A36" s="8">
        <v>17</v>
      </c>
      <c r="B36" s="10">
        <f t="shared" ca="1" si="0"/>
        <v>44491</v>
      </c>
      <c r="C36" s="8" t="s">
        <v>14</v>
      </c>
      <c r="D36" s="11" t="e">
        <f t="shared" si="2"/>
        <v>#REF!</v>
      </c>
      <c r="E36" s="12" t="e">
        <f t="shared" si="1"/>
        <v>#REF!</v>
      </c>
    </row>
    <row r="37" spans="1:5">
      <c r="A37" s="8">
        <v>18</v>
      </c>
      <c r="B37" s="10">
        <f t="shared" ca="1" si="0"/>
        <v>44522</v>
      </c>
      <c r="C37" s="8" t="s">
        <v>15</v>
      </c>
      <c r="D37" s="11" t="e">
        <f t="shared" si="2"/>
        <v>#REF!</v>
      </c>
      <c r="E37" s="12" t="e">
        <f t="shared" si="1"/>
        <v>#REF!</v>
      </c>
    </row>
    <row r="38" spans="1:5">
      <c r="A38" s="8">
        <v>19</v>
      </c>
      <c r="B38" s="10">
        <f t="shared" ca="1" si="0"/>
        <v>44552</v>
      </c>
      <c r="C38" s="8" t="s">
        <v>19</v>
      </c>
      <c r="D38" s="11" t="e">
        <f t="shared" si="2"/>
        <v>#REF!</v>
      </c>
      <c r="E38" s="12" t="e">
        <f t="shared" si="1"/>
        <v>#REF!</v>
      </c>
    </row>
    <row r="39" spans="1:5">
      <c r="A39" s="8">
        <v>20</v>
      </c>
      <c r="B39" s="10">
        <f t="shared" ca="1" si="0"/>
        <v>44583</v>
      </c>
      <c r="C39" s="8" t="s">
        <v>20</v>
      </c>
      <c r="D39" s="11" t="e">
        <f t="shared" si="2"/>
        <v>#REF!</v>
      </c>
      <c r="E39" s="12" t="e">
        <f t="shared" si="1"/>
        <v>#REF!</v>
      </c>
    </row>
    <row r="40" spans="1:5">
      <c r="A40" s="8">
        <v>21</v>
      </c>
      <c r="B40" s="10">
        <f t="shared" ca="1" si="0"/>
        <v>44614</v>
      </c>
      <c r="C40" s="8" t="s">
        <v>21</v>
      </c>
      <c r="D40" s="11" t="e">
        <f t="shared" si="2"/>
        <v>#REF!</v>
      </c>
      <c r="E40" s="12" t="e">
        <f t="shared" si="1"/>
        <v>#REF!</v>
      </c>
    </row>
    <row r="41" spans="1:5">
      <c r="A41" s="8">
        <v>22</v>
      </c>
      <c r="B41" s="10">
        <f t="shared" ca="1" si="0"/>
        <v>44642</v>
      </c>
      <c r="C41" s="8" t="s">
        <v>22</v>
      </c>
      <c r="D41" s="11" t="e">
        <f t="shared" si="2"/>
        <v>#REF!</v>
      </c>
      <c r="E41" s="12" t="e">
        <f t="shared" si="1"/>
        <v>#REF!</v>
      </c>
    </row>
    <row r="42" spans="1:5">
      <c r="A42" s="8">
        <v>23</v>
      </c>
      <c r="B42" s="10">
        <f t="shared" ca="1" si="0"/>
        <v>44673</v>
      </c>
      <c r="C42" s="8" t="s">
        <v>23</v>
      </c>
      <c r="D42" s="11" t="e">
        <f t="shared" si="2"/>
        <v>#REF!</v>
      </c>
      <c r="E42" s="12" t="e">
        <f t="shared" si="1"/>
        <v>#REF!</v>
      </c>
    </row>
    <row r="43" spans="1:5">
      <c r="A43" s="8">
        <v>24</v>
      </c>
      <c r="B43" s="10">
        <f t="shared" ca="1" si="0"/>
        <v>44703</v>
      </c>
      <c r="C43" s="8" t="s">
        <v>24</v>
      </c>
      <c r="D43" s="11" t="e">
        <f t="shared" si="2"/>
        <v>#REF!</v>
      </c>
      <c r="E43" s="12" t="e">
        <f t="shared" si="1"/>
        <v>#REF!</v>
      </c>
    </row>
    <row r="44" spans="1:5">
      <c r="A44" s="78">
        <v>25</v>
      </c>
      <c r="B44" s="79">
        <f t="shared" ca="1" si="0"/>
        <v>44734</v>
      </c>
      <c r="C44" s="78" t="s">
        <v>39</v>
      </c>
      <c r="D44" s="80" t="e">
        <f>C16*0.8</f>
        <v>#REF!</v>
      </c>
      <c r="E44" s="81" t="e">
        <f t="shared" si="1"/>
        <v>#REF!</v>
      </c>
    </row>
    <row r="45" spans="1:5">
      <c r="A45" s="17"/>
      <c r="B45" s="18"/>
      <c r="C45" s="19" t="s">
        <v>16</v>
      </c>
      <c r="D45" s="20" t="e">
        <f>SUM(D19:D44)</f>
        <v>#REF!</v>
      </c>
      <c r="E45" s="17"/>
    </row>
    <row r="46" spans="1:5">
      <c r="A46" s="3" t="s">
        <v>62</v>
      </c>
      <c r="B46" s="27"/>
      <c r="C46" s="28"/>
      <c r="D46" s="29"/>
      <c r="E46" s="30"/>
    </row>
    <row r="47" spans="1:5">
      <c r="A47" s="4" t="s">
        <v>69</v>
      </c>
      <c r="B47" s="30"/>
      <c r="C47" s="28"/>
      <c r="D47" s="29"/>
      <c r="E47" s="30"/>
    </row>
    <row r="48" spans="1:5">
      <c r="A48" s="4" t="s">
        <v>70</v>
      </c>
      <c r="B48" s="30"/>
      <c r="C48" s="28"/>
      <c r="D48" s="29"/>
      <c r="E48" s="30"/>
    </row>
    <row r="49" spans="1:5">
      <c r="A49" s="4" t="s">
        <v>88</v>
      </c>
      <c r="B49" s="30"/>
      <c r="C49" s="28"/>
      <c r="D49" s="30"/>
      <c r="E49" s="30"/>
    </row>
    <row r="50" spans="1:5">
      <c r="A50" s="4" t="s">
        <v>74</v>
      </c>
      <c r="B50" s="30"/>
      <c r="C50" s="28"/>
      <c r="D50" s="30"/>
      <c r="E50" s="30"/>
    </row>
    <row r="51" spans="1:5">
      <c r="A51" s="4" t="s">
        <v>63</v>
      </c>
      <c r="B51" s="30"/>
      <c r="C51" s="28"/>
      <c r="D51" s="30"/>
      <c r="E51" s="30"/>
    </row>
    <row r="53" spans="1:5">
      <c r="A53" s="1" t="s">
        <v>17</v>
      </c>
    </row>
    <row r="55" spans="1:5">
      <c r="A55" s="5"/>
      <c r="D55" s="5"/>
    </row>
    <row r="56" spans="1:5">
      <c r="A56" s="2" t="s">
        <v>18</v>
      </c>
      <c r="D56" s="2" t="s">
        <v>18</v>
      </c>
    </row>
  </sheetData>
  <sheetProtection algorithmName="SHA-512" hashValue="ewjq9ZU8Gpw+yTroWfbecYWPq85owshqm84Zfn5Bm7nEdfZFEMUbeXkkcYHTPhrm1rjfQ5zat7ZLijlJE69pbg==" saltValue="CJLlCYSdXkbkFIxQHlqOGw==" spinCount="100000" sheet="1" selectLockedCells="1"/>
  <mergeCells count="6">
    <mergeCell ref="B9:D9"/>
    <mergeCell ref="E1:E2"/>
    <mergeCell ref="B5:D5"/>
    <mergeCell ref="B6:D6"/>
    <mergeCell ref="B7:D7"/>
    <mergeCell ref="B8:D8"/>
  </mergeCells>
  <hyperlinks>
    <hyperlink ref="B1" location="'DATA SHEET'!A1" display="HIGHLANDS PRIME, INC." xr:uid="{00000000-0004-0000-0C00-000000000000}"/>
  </hyperlinks>
  <printOptions horizontalCentered="1"/>
  <pageMargins left="0.7" right="0.7" top="0.75" bottom="0.5" header="0.3" footer="0.3"/>
  <pageSetup scale="95"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C000"/>
  </sheetPr>
  <dimension ref="A1:E87"/>
  <sheetViews>
    <sheetView showGridLines="0" zoomScaleNormal="100" workbookViewId="0">
      <selection activeCell="B1" sqref="B1"/>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1" customFormat="1" ht="12.75" customHeight="1">
      <c r="B1" s="42" t="s">
        <v>35</v>
      </c>
      <c r="C1" s="43"/>
      <c r="E1" s="425" t="s">
        <v>66</v>
      </c>
    </row>
    <row r="2" spans="1:5" s="41" customFormat="1">
      <c r="B2" s="44" t="s">
        <v>54</v>
      </c>
      <c r="C2" s="43"/>
      <c r="E2" s="425"/>
    </row>
    <row r="3" spans="1:5" s="41" customFormat="1">
      <c r="B3" s="44" t="s">
        <v>36</v>
      </c>
      <c r="C3" s="43"/>
    </row>
    <row r="4" spans="1:5" s="41" customFormat="1">
      <c r="C4" s="43"/>
    </row>
    <row r="5" spans="1:5" s="41" customFormat="1">
      <c r="A5" s="45" t="s">
        <v>0</v>
      </c>
      <c r="B5" s="426" t="str">
        <f>'DATA SHEET'!D10</f>
        <v xml:space="preserve"> </v>
      </c>
      <c r="C5" s="426"/>
      <c r="D5" s="426"/>
      <c r="E5" s="427"/>
    </row>
    <row r="6" spans="1:5" s="41" customFormat="1">
      <c r="A6" s="46" t="s">
        <v>31</v>
      </c>
      <c r="B6" s="428" t="e">
        <f>VLOOKUP('DATA SHEET'!D11,#REF!, 1, FALSE)</f>
        <v>#REF!</v>
      </c>
      <c r="C6" s="428"/>
      <c r="D6" s="428"/>
      <c r="E6" s="429"/>
    </row>
    <row r="7" spans="1:5" s="41" customFormat="1">
      <c r="A7" s="46" t="s">
        <v>37</v>
      </c>
      <c r="B7" s="430" t="e">
        <f>VLOOKUP('DATA SHEET'!D11,#REF!, 3, FALSE)</f>
        <v>#REF!</v>
      </c>
      <c r="C7" s="430"/>
      <c r="D7" s="430"/>
      <c r="E7" s="431"/>
    </row>
    <row r="8" spans="1:5" s="41" customFormat="1">
      <c r="A8" s="46" t="s">
        <v>57</v>
      </c>
      <c r="B8" s="432" t="e">
        <f>VLOOKUP('DATA SHEET'!D11,#REF!, 5, FALSE)</f>
        <v>#REF!</v>
      </c>
      <c r="C8" s="432"/>
      <c r="D8" s="432"/>
      <c r="E8" s="433"/>
    </row>
    <row r="9" spans="1:5" s="41" customFormat="1">
      <c r="A9" s="47" t="s">
        <v>33</v>
      </c>
      <c r="B9" s="423" t="s">
        <v>91</v>
      </c>
      <c r="C9" s="423"/>
      <c r="D9" s="423"/>
      <c r="E9" s="424"/>
    </row>
    <row r="10" spans="1:5" s="41" customFormat="1">
      <c r="C10" s="43"/>
    </row>
    <row r="11" spans="1:5" s="41" customFormat="1">
      <c r="A11" s="44" t="s">
        <v>55</v>
      </c>
      <c r="C11" s="43"/>
    </row>
    <row r="12" spans="1:5" s="41" customFormat="1">
      <c r="A12" s="41" t="s">
        <v>87</v>
      </c>
      <c r="C12" s="87" t="e">
        <f>B8-750000</f>
        <v>#REF!</v>
      </c>
    </row>
    <row r="13" spans="1:5" s="41" customFormat="1">
      <c r="A13" s="41" t="s">
        <v>116</v>
      </c>
      <c r="B13" s="49">
        <v>0.01</v>
      </c>
      <c r="C13" s="88" t="e">
        <f>C12*B13</f>
        <v>#REF!</v>
      </c>
    </row>
    <row r="14" spans="1:5" s="41" customFormat="1">
      <c r="B14" s="49"/>
      <c r="C14" s="102" t="e">
        <f>C12-C13</f>
        <v>#REF!</v>
      </c>
    </row>
    <row r="15" spans="1:5" s="41" customFormat="1">
      <c r="A15" s="41" t="s">
        <v>56</v>
      </c>
      <c r="B15" s="49"/>
      <c r="C15" s="88">
        <v>750000</v>
      </c>
    </row>
    <row r="16" spans="1:5" s="41" customFormat="1" ht="15" thickBot="1">
      <c r="A16" s="44" t="s">
        <v>58</v>
      </c>
      <c r="C16" s="89" t="e">
        <f>C14+C15</f>
        <v>#REF!</v>
      </c>
    </row>
    <row r="17" spans="1:5" s="41" customFormat="1" ht="15" thickTop="1">
      <c r="C17" s="43"/>
    </row>
    <row r="18" spans="1:5">
      <c r="A18" s="9" t="s">
        <v>34</v>
      </c>
      <c r="B18" s="9" t="s">
        <v>32</v>
      </c>
      <c r="C18" s="9" t="s">
        <v>2</v>
      </c>
      <c r="D18" s="9" t="s">
        <v>3</v>
      </c>
      <c r="E18" s="9" t="s">
        <v>67</v>
      </c>
    </row>
    <row r="19" spans="1:5">
      <c r="A19" s="8">
        <v>0</v>
      </c>
      <c r="B19" s="10">
        <f ca="1">'DATA SHEET'!D9</f>
        <v>43973</v>
      </c>
      <c r="C19" s="8" t="s">
        <v>38</v>
      </c>
      <c r="D19" s="11">
        <v>100000</v>
      </c>
      <c r="E19" s="12" t="e">
        <f>C16-D19</f>
        <v>#REF!</v>
      </c>
    </row>
    <row r="20" spans="1:5">
      <c r="A20" s="8">
        <v>1</v>
      </c>
      <c r="B20" s="10">
        <f ca="1">EDATE(B19,1)</f>
        <v>44004</v>
      </c>
      <c r="C20" s="8" t="s">
        <v>68</v>
      </c>
      <c r="D20" s="11" t="e">
        <f>(C16*0.1)-D19</f>
        <v>#REF!</v>
      </c>
      <c r="E20" s="12" t="e">
        <f>E19-D20</f>
        <v>#REF!</v>
      </c>
    </row>
    <row r="21" spans="1:5">
      <c r="A21" s="8">
        <v>2</v>
      </c>
      <c r="B21" s="10">
        <f t="shared" ref="B21:B75" ca="1" si="0">EDATE(B20,1)</f>
        <v>44034</v>
      </c>
      <c r="C21" s="8" t="s">
        <v>79</v>
      </c>
      <c r="D21" s="11" t="e">
        <f>(C16*0.1)/6</f>
        <v>#REF!</v>
      </c>
      <c r="E21" s="12" t="e">
        <f t="shared" ref="E21:E44" si="1">E20-D21</f>
        <v>#REF!</v>
      </c>
    </row>
    <row r="22" spans="1:5">
      <c r="A22" s="8">
        <v>3</v>
      </c>
      <c r="B22" s="10">
        <f t="shared" ca="1" si="0"/>
        <v>44065</v>
      </c>
      <c r="C22" s="8" t="s">
        <v>80</v>
      </c>
      <c r="D22" s="11" t="e">
        <f>D21</f>
        <v>#REF!</v>
      </c>
      <c r="E22" s="12" t="e">
        <f t="shared" si="1"/>
        <v>#REF!</v>
      </c>
    </row>
    <row r="23" spans="1:5">
      <c r="A23" s="8">
        <v>4</v>
      </c>
      <c r="B23" s="10">
        <f t="shared" ca="1" si="0"/>
        <v>44096</v>
      </c>
      <c r="C23" s="8" t="s">
        <v>81</v>
      </c>
      <c r="D23" s="11" t="e">
        <f t="shared" ref="D23:D74" si="2">D22</f>
        <v>#REF!</v>
      </c>
      <c r="E23" s="12" t="e">
        <f t="shared" si="1"/>
        <v>#REF!</v>
      </c>
    </row>
    <row r="24" spans="1:5">
      <c r="A24" s="8">
        <v>5</v>
      </c>
      <c r="B24" s="10">
        <f t="shared" ca="1" si="0"/>
        <v>44126</v>
      </c>
      <c r="C24" s="8" t="s">
        <v>82</v>
      </c>
      <c r="D24" s="11" t="e">
        <f t="shared" si="2"/>
        <v>#REF!</v>
      </c>
      <c r="E24" s="12" t="e">
        <f t="shared" si="1"/>
        <v>#REF!</v>
      </c>
    </row>
    <row r="25" spans="1:5">
      <c r="A25" s="8">
        <v>6</v>
      </c>
      <c r="B25" s="10">
        <f t="shared" ca="1" si="0"/>
        <v>44157</v>
      </c>
      <c r="C25" s="8" t="s">
        <v>83</v>
      </c>
      <c r="D25" s="11" t="e">
        <f t="shared" si="2"/>
        <v>#REF!</v>
      </c>
      <c r="E25" s="12" t="e">
        <f t="shared" si="1"/>
        <v>#REF!</v>
      </c>
    </row>
    <row r="26" spans="1:5">
      <c r="A26" s="8">
        <v>7</v>
      </c>
      <c r="B26" s="10">
        <f t="shared" ca="1" si="0"/>
        <v>44187</v>
      </c>
      <c r="C26" s="8" t="s">
        <v>84</v>
      </c>
      <c r="D26" s="11" t="e">
        <f t="shared" si="2"/>
        <v>#REF!</v>
      </c>
      <c r="E26" s="12" t="e">
        <f t="shared" si="1"/>
        <v>#REF!</v>
      </c>
    </row>
    <row r="27" spans="1:5">
      <c r="A27" s="8">
        <v>8</v>
      </c>
      <c r="B27" s="10">
        <f t="shared" ca="1" si="0"/>
        <v>44218</v>
      </c>
      <c r="C27" s="8" t="s">
        <v>4</v>
      </c>
      <c r="D27" s="11" t="e">
        <f>(C16*0.3)/48</f>
        <v>#REF!</v>
      </c>
      <c r="E27" s="12" t="e">
        <f t="shared" si="1"/>
        <v>#REF!</v>
      </c>
    </row>
    <row r="28" spans="1:5">
      <c r="A28" s="8">
        <v>9</v>
      </c>
      <c r="B28" s="10">
        <f t="shared" ca="1" si="0"/>
        <v>44249</v>
      </c>
      <c r="C28" s="8" t="s">
        <v>5</v>
      </c>
      <c r="D28" s="11" t="e">
        <f t="shared" si="2"/>
        <v>#REF!</v>
      </c>
      <c r="E28" s="12" t="e">
        <f t="shared" si="1"/>
        <v>#REF!</v>
      </c>
    </row>
    <row r="29" spans="1:5">
      <c r="A29" s="8">
        <v>10</v>
      </c>
      <c r="B29" s="10">
        <f t="shared" ca="1" si="0"/>
        <v>44277</v>
      </c>
      <c r="C29" s="8" t="s">
        <v>6</v>
      </c>
      <c r="D29" s="11" t="e">
        <f t="shared" si="2"/>
        <v>#REF!</v>
      </c>
      <c r="E29" s="12" t="e">
        <f t="shared" si="1"/>
        <v>#REF!</v>
      </c>
    </row>
    <row r="30" spans="1:5">
      <c r="A30" s="8">
        <v>11</v>
      </c>
      <c r="B30" s="10">
        <f t="shared" ca="1" si="0"/>
        <v>44308</v>
      </c>
      <c r="C30" s="8" t="s">
        <v>7</v>
      </c>
      <c r="D30" s="11" t="e">
        <f t="shared" si="2"/>
        <v>#REF!</v>
      </c>
      <c r="E30" s="12" t="e">
        <f t="shared" si="1"/>
        <v>#REF!</v>
      </c>
    </row>
    <row r="31" spans="1:5">
      <c r="A31" s="8">
        <v>12</v>
      </c>
      <c r="B31" s="10">
        <f t="shared" ca="1" si="0"/>
        <v>44338</v>
      </c>
      <c r="C31" s="8" t="s">
        <v>8</v>
      </c>
      <c r="D31" s="11" t="e">
        <f t="shared" si="2"/>
        <v>#REF!</v>
      </c>
      <c r="E31" s="12" t="e">
        <f t="shared" si="1"/>
        <v>#REF!</v>
      </c>
    </row>
    <row r="32" spans="1:5">
      <c r="A32" s="8">
        <v>13</v>
      </c>
      <c r="B32" s="10">
        <f t="shared" ca="1" si="0"/>
        <v>44369</v>
      </c>
      <c r="C32" s="8" t="s">
        <v>9</v>
      </c>
      <c r="D32" s="11" t="e">
        <f t="shared" si="2"/>
        <v>#REF!</v>
      </c>
      <c r="E32" s="12" t="e">
        <f t="shared" si="1"/>
        <v>#REF!</v>
      </c>
    </row>
    <row r="33" spans="1:5">
      <c r="A33" s="8">
        <v>14</v>
      </c>
      <c r="B33" s="10">
        <f t="shared" ca="1" si="0"/>
        <v>44399</v>
      </c>
      <c r="C33" s="8" t="s">
        <v>10</v>
      </c>
      <c r="D33" s="11" t="e">
        <f t="shared" si="2"/>
        <v>#REF!</v>
      </c>
      <c r="E33" s="12" t="e">
        <f t="shared" si="1"/>
        <v>#REF!</v>
      </c>
    </row>
    <row r="34" spans="1:5">
      <c r="A34" s="8">
        <v>15</v>
      </c>
      <c r="B34" s="10">
        <f t="shared" ca="1" si="0"/>
        <v>44430</v>
      </c>
      <c r="C34" s="8" t="s">
        <v>11</v>
      </c>
      <c r="D34" s="11" t="e">
        <f t="shared" si="2"/>
        <v>#REF!</v>
      </c>
      <c r="E34" s="12" t="e">
        <f t="shared" si="1"/>
        <v>#REF!</v>
      </c>
    </row>
    <row r="35" spans="1:5">
      <c r="A35" s="8">
        <v>16</v>
      </c>
      <c r="B35" s="10">
        <f t="shared" ca="1" si="0"/>
        <v>44461</v>
      </c>
      <c r="C35" s="8" t="s">
        <v>12</v>
      </c>
      <c r="D35" s="11" t="e">
        <f t="shared" si="2"/>
        <v>#REF!</v>
      </c>
      <c r="E35" s="12" t="e">
        <f t="shared" si="1"/>
        <v>#REF!</v>
      </c>
    </row>
    <row r="36" spans="1:5">
      <c r="A36" s="8">
        <v>17</v>
      </c>
      <c r="B36" s="10">
        <f t="shared" ca="1" si="0"/>
        <v>44491</v>
      </c>
      <c r="C36" s="8" t="s">
        <v>13</v>
      </c>
      <c r="D36" s="11" t="e">
        <f t="shared" si="2"/>
        <v>#REF!</v>
      </c>
      <c r="E36" s="12" t="e">
        <f t="shared" si="1"/>
        <v>#REF!</v>
      </c>
    </row>
    <row r="37" spans="1:5">
      <c r="A37" s="8">
        <v>18</v>
      </c>
      <c r="B37" s="10">
        <f t="shared" ca="1" si="0"/>
        <v>44522</v>
      </c>
      <c r="C37" s="8" t="s">
        <v>14</v>
      </c>
      <c r="D37" s="11" t="e">
        <f t="shared" si="2"/>
        <v>#REF!</v>
      </c>
      <c r="E37" s="12" t="e">
        <f t="shared" si="1"/>
        <v>#REF!</v>
      </c>
    </row>
    <row r="38" spans="1:5">
      <c r="A38" s="8">
        <v>19</v>
      </c>
      <c r="B38" s="10">
        <f t="shared" ca="1" si="0"/>
        <v>44552</v>
      </c>
      <c r="C38" s="8" t="s">
        <v>15</v>
      </c>
      <c r="D38" s="11" t="e">
        <f t="shared" si="2"/>
        <v>#REF!</v>
      </c>
      <c r="E38" s="12" t="e">
        <f t="shared" si="1"/>
        <v>#REF!</v>
      </c>
    </row>
    <row r="39" spans="1:5">
      <c r="A39" s="8">
        <v>20</v>
      </c>
      <c r="B39" s="10">
        <f t="shared" ca="1" si="0"/>
        <v>44583</v>
      </c>
      <c r="C39" s="8" t="s">
        <v>19</v>
      </c>
      <c r="D39" s="11" t="e">
        <f t="shared" si="2"/>
        <v>#REF!</v>
      </c>
      <c r="E39" s="12" t="e">
        <f t="shared" si="1"/>
        <v>#REF!</v>
      </c>
    </row>
    <row r="40" spans="1:5">
      <c r="A40" s="8">
        <v>21</v>
      </c>
      <c r="B40" s="10">
        <f t="shared" ca="1" si="0"/>
        <v>44614</v>
      </c>
      <c r="C40" s="8" t="s">
        <v>20</v>
      </c>
      <c r="D40" s="11" t="e">
        <f t="shared" si="2"/>
        <v>#REF!</v>
      </c>
      <c r="E40" s="12" t="e">
        <f t="shared" si="1"/>
        <v>#REF!</v>
      </c>
    </row>
    <row r="41" spans="1:5">
      <c r="A41" s="8">
        <v>22</v>
      </c>
      <c r="B41" s="10">
        <f t="shared" ca="1" si="0"/>
        <v>44642</v>
      </c>
      <c r="C41" s="8" t="s">
        <v>21</v>
      </c>
      <c r="D41" s="11" t="e">
        <f t="shared" si="2"/>
        <v>#REF!</v>
      </c>
      <c r="E41" s="12" t="e">
        <f t="shared" si="1"/>
        <v>#REF!</v>
      </c>
    </row>
    <row r="42" spans="1:5">
      <c r="A42" s="8">
        <v>23</v>
      </c>
      <c r="B42" s="10">
        <f t="shared" ca="1" si="0"/>
        <v>44673</v>
      </c>
      <c r="C42" s="8" t="s">
        <v>22</v>
      </c>
      <c r="D42" s="11" t="e">
        <f t="shared" si="2"/>
        <v>#REF!</v>
      </c>
      <c r="E42" s="12" t="e">
        <f t="shared" si="1"/>
        <v>#REF!</v>
      </c>
    </row>
    <row r="43" spans="1:5">
      <c r="A43" s="8">
        <v>24</v>
      </c>
      <c r="B43" s="10">
        <f t="shared" ca="1" si="0"/>
        <v>44703</v>
      </c>
      <c r="C43" s="8" t="s">
        <v>23</v>
      </c>
      <c r="D43" s="11" t="e">
        <f t="shared" si="2"/>
        <v>#REF!</v>
      </c>
      <c r="E43" s="12" t="e">
        <f t="shared" si="1"/>
        <v>#REF!</v>
      </c>
    </row>
    <row r="44" spans="1:5">
      <c r="A44" s="8">
        <v>25</v>
      </c>
      <c r="B44" s="10">
        <f t="shared" ca="1" si="0"/>
        <v>44734</v>
      </c>
      <c r="C44" s="8" t="s">
        <v>24</v>
      </c>
      <c r="D44" s="11" t="e">
        <f t="shared" si="2"/>
        <v>#REF!</v>
      </c>
      <c r="E44" s="12" t="e">
        <f t="shared" si="1"/>
        <v>#REF!</v>
      </c>
    </row>
    <row r="45" spans="1:5">
      <c r="A45" s="8">
        <v>26</v>
      </c>
      <c r="B45" s="10">
        <f t="shared" ca="1" si="0"/>
        <v>44764</v>
      </c>
      <c r="C45" s="8" t="s">
        <v>25</v>
      </c>
      <c r="D45" s="11" t="e">
        <f t="shared" si="2"/>
        <v>#REF!</v>
      </c>
      <c r="E45" s="12" t="e">
        <f t="shared" ref="E45:E74" si="3">E44-D45</f>
        <v>#REF!</v>
      </c>
    </row>
    <row r="46" spans="1:5">
      <c r="A46" s="8">
        <v>27</v>
      </c>
      <c r="B46" s="10">
        <f t="shared" ca="1" si="0"/>
        <v>44795</v>
      </c>
      <c r="C46" s="8" t="s">
        <v>26</v>
      </c>
      <c r="D46" s="11" t="e">
        <f t="shared" si="2"/>
        <v>#REF!</v>
      </c>
      <c r="E46" s="12" t="e">
        <f t="shared" si="3"/>
        <v>#REF!</v>
      </c>
    </row>
    <row r="47" spans="1:5">
      <c r="A47" s="8">
        <v>28</v>
      </c>
      <c r="B47" s="10">
        <f t="shared" ca="1" si="0"/>
        <v>44826</v>
      </c>
      <c r="C47" s="8" t="s">
        <v>27</v>
      </c>
      <c r="D47" s="11" t="e">
        <f t="shared" si="2"/>
        <v>#REF!</v>
      </c>
      <c r="E47" s="12" t="e">
        <f t="shared" si="3"/>
        <v>#REF!</v>
      </c>
    </row>
    <row r="48" spans="1:5">
      <c r="A48" s="8">
        <v>29</v>
      </c>
      <c r="B48" s="10">
        <f t="shared" ca="1" si="0"/>
        <v>44856</v>
      </c>
      <c r="C48" s="8" t="s">
        <v>28</v>
      </c>
      <c r="D48" s="11" t="e">
        <f t="shared" si="2"/>
        <v>#REF!</v>
      </c>
      <c r="E48" s="12" t="e">
        <f t="shared" si="3"/>
        <v>#REF!</v>
      </c>
    </row>
    <row r="49" spans="1:5">
      <c r="A49" s="8">
        <v>30</v>
      </c>
      <c r="B49" s="10">
        <f t="shared" ca="1" si="0"/>
        <v>44887</v>
      </c>
      <c r="C49" s="8" t="s">
        <v>29</v>
      </c>
      <c r="D49" s="11" t="e">
        <f t="shared" si="2"/>
        <v>#REF!</v>
      </c>
      <c r="E49" s="12" t="e">
        <f t="shared" si="3"/>
        <v>#REF!</v>
      </c>
    </row>
    <row r="50" spans="1:5">
      <c r="A50" s="8">
        <v>31</v>
      </c>
      <c r="B50" s="10">
        <f t="shared" ca="1" si="0"/>
        <v>44917</v>
      </c>
      <c r="C50" s="8" t="s">
        <v>30</v>
      </c>
      <c r="D50" s="11" t="e">
        <f t="shared" si="2"/>
        <v>#REF!</v>
      </c>
      <c r="E50" s="12" t="e">
        <f t="shared" si="3"/>
        <v>#REF!</v>
      </c>
    </row>
    <row r="51" spans="1:5">
      <c r="A51" s="8">
        <v>32</v>
      </c>
      <c r="B51" s="10">
        <f t="shared" ca="1" si="0"/>
        <v>44948</v>
      </c>
      <c r="C51" s="8" t="s">
        <v>48</v>
      </c>
      <c r="D51" s="11" t="e">
        <f t="shared" si="2"/>
        <v>#REF!</v>
      </c>
      <c r="E51" s="12" t="e">
        <f t="shared" si="3"/>
        <v>#REF!</v>
      </c>
    </row>
    <row r="52" spans="1:5">
      <c r="A52" s="8">
        <v>33</v>
      </c>
      <c r="B52" s="10">
        <f t="shared" ca="1" si="0"/>
        <v>44979</v>
      </c>
      <c r="C52" s="8" t="s">
        <v>49</v>
      </c>
      <c r="D52" s="11" t="e">
        <f t="shared" si="2"/>
        <v>#REF!</v>
      </c>
      <c r="E52" s="12" t="e">
        <f t="shared" si="3"/>
        <v>#REF!</v>
      </c>
    </row>
    <row r="53" spans="1:5">
      <c r="A53" s="8">
        <v>34</v>
      </c>
      <c r="B53" s="10">
        <f t="shared" ca="1" si="0"/>
        <v>45007</v>
      </c>
      <c r="C53" s="8" t="s">
        <v>50</v>
      </c>
      <c r="D53" s="11" t="e">
        <f t="shared" si="2"/>
        <v>#REF!</v>
      </c>
      <c r="E53" s="12" t="e">
        <f t="shared" si="3"/>
        <v>#REF!</v>
      </c>
    </row>
    <row r="54" spans="1:5">
      <c r="A54" s="8">
        <v>35</v>
      </c>
      <c r="B54" s="10">
        <f t="shared" ca="1" si="0"/>
        <v>45038</v>
      </c>
      <c r="C54" s="8" t="s">
        <v>51</v>
      </c>
      <c r="D54" s="11" t="e">
        <f t="shared" si="2"/>
        <v>#REF!</v>
      </c>
      <c r="E54" s="12" t="e">
        <f t="shared" si="3"/>
        <v>#REF!</v>
      </c>
    </row>
    <row r="55" spans="1:5">
      <c r="A55" s="8">
        <v>36</v>
      </c>
      <c r="B55" s="10">
        <f t="shared" ca="1" si="0"/>
        <v>45068</v>
      </c>
      <c r="C55" s="8" t="s">
        <v>52</v>
      </c>
      <c r="D55" s="11" t="e">
        <f t="shared" si="2"/>
        <v>#REF!</v>
      </c>
      <c r="E55" s="12" t="e">
        <f t="shared" si="3"/>
        <v>#REF!</v>
      </c>
    </row>
    <row r="56" spans="1:5">
      <c r="A56" s="98">
        <v>37</v>
      </c>
      <c r="B56" s="99">
        <f t="shared" ca="1" si="0"/>
        <v>45099</v>
      </c>
      <c r="C56" s="98" t="s">
        <v>53</v>
      </c>
      <c r="D56" s="100" t="e">
        <f t="shared" si="2"/>
        <v>#REF!</v>
      </c>
      <c r="E56" s="101" t="e">
        <f t="shared" si="3"/>
        <v>#REF!</v>
      </c>
    </row>
    <row r="57" spans="1:5">
      <c r="A57" s="90">
        <v>38</v>
      </c>
      <c r="B57" s="91">
        <f t="shared" ca="1" si="0"/>
        <v>45129</v>
      </c>
      <c r="C57" s="90" t="s">
        <v>92</v>
      </c>
      <c r="D57" s="92" t="e">
        <f t="shared" si="2"/>
        <v>#REF!</v>
      </c>
      <c r="E57" s="93" t="e">
        <f t="shared" si="3"/>
        <v>#REF!</v>
      </c>
    </row>
    <row r="58" spans="1:5">
      <c r="A58" s="8">
        <v>39</v>
      </c>
      <c r="B58" s="10">
        <f t="shared" ca="1" si="0"/>
        <v>45160</v>
      </c>
      <c r="C58" s="8" t="s">
        <v>93</v>
      </c>
      <c r="D58" s="11" t="e">
        <f t="shared" si="2"/>
        <v>#REF!</v>
      </c>
      <c r="E58" s="12" t="e">
        <f t="shared" si="3"/>
        <v>#REF!</v>
      </c>
    </row>
    <row r="59" spans="1:5">
      <c r="A59" s="98">
        <v>40</v>
      </c>
      <c r="B59" s="99">
        <f t="shared" ca="1" si="0"/>
        <v>45191</v>
      </c>
      <c r="C59" s="98" t="s">
        <v>94</v>
      </c>
      <c r="D59" s="100" t="e">
        <f t="shared" si="2"/>
        <v>#REF!</v>
      </c>
      <c r="E59" s="101" t="e">
        <f t="shared" si="3"/>
        <v>#REF!</v>
      </c>
    </row>
    <row r="60" spans="1:5">
      <c r="A60" s="7">
        <v>41</v>
      </c>
      <c r="B60" s="94">
        <f t="shared" ca="1" si="0"/>
        <v>45221</v>
      </c>
      <c r="C60" s="7" t="s">
        <v>95</v>
      </c>
      <c r="D60" s="13" t="e">
        <f t="shared" si="2"/>
        <v>#REF!</v>
      </c>
      <c r="E60" s="95" t="e">
        <f t="shared" si="3"/>
        <v>#REF!</v>
      </c>
    </row>
    <row r="61" spans="1:5">
      <c r="A61" s="8">
        <v>42</v>
      </c>
      <c r="B61" s="10">
        <f t="shared" ca="1" si="0"/>
        <v>45252</v>
      </c>
      <c r="C61" s="8" t="s">
        <v>96</v>
      </c>
      <c r="D61" s="11" t="e">
        <f t="shared" si="2"/>
        <v>#REF!</v>
      </c>
      <c r="E61" s="12" t="e">
        <f t="shared" si="3"/>
        <v>#REF!</v>
      </c>
    </row>
    <row r="62" spans="1:5">
      <c r="A62" s="7">
        <v>43</v>
      </c>
      <c r="B62" s="94">
        <f t="shared" ca="1" si="0"/>
        <v>45282</v>
      </c>
      <c r="C62" s="7" t="s">
        <v>97</v>
      </c>
      <c r="D62" s="13" t="e">
        <f t="shared" si="2"/>
        <v>#REF!</v>
      </c>
      <c r="E62" s="95" t="e">
        <f t="shared" si="3"/>
        <v>#REF!</v>
      </c>
    </row>
    <row r="63" spans="1:5">
      <c r="A63" s="8">
        <v>44</v>
      </c>
      <c r="B63" s="10">
        <f t="shared" ca="1" si="0"/>
        <v>45313</v>
      </c>
      <c r="C63" s="8" t="s">
        <v>98</v>
      </c>
      <c r="D63" s="11" t="e">
        <f t="shared" si="2"/>
        <v>#REF!</v>
      </c>
      <c r="E63" s="12" t="e">
        <f t="shared" si="3"/>
        <v>#REF!</v>
      </c>
    </row>
    <row r="64" spans="1:5">
      <c r="A64" s="8">
        <v>45</v>
      </c>
      <c r="B64" s="10">
        <f t="shared" ca="1" si="0"/>
        <v>45344</v>
      </c>
      <c r="C64" s="8" t="s">
        <v>99</v>
      </c>
      <c r="D64" s="11" t="e">
        <f t="shared" si="2"/>
        <v>#REF!</v>
      </c>
      <c r="E64" s="12" t="e">
        <f t="shared" si="3"/>
        <v>#REF!</v>
      </c>
    </row>
    <row r="65" spans="1:5">
      <c r="A65" s="8">
        <v>46</v>
      </c>
      <c r="B65" s="10">
        <f t="shared" ca="1" si="0"/>
        <v>45373</v>
      </c>
      <c r="C65" s="8" t="s">
        <v>100</v>
      </c>
      <c r="D65" s="11" t="e">
        <f t="shared" si="2"/>
        <v>#REF!</v>
      </c>
      <c r="E65" s="12" t="e">
        <f t="shared" si="3"/>
        <v>#REF!</v>
      </c>
    </row>
    <row r="66" spans="1:5">
      <c r="A66" s="8">
        <v>47</v>
      </c>
      <c r="B66" s="10">
        <f t="shared" ca="1" si="0"/>
        <v>45404</v>
      </c>
      <c r="C66" s="8" t="s">
        <v>101</v>
      </c>
      <c r="D66" s="11" t="e">
        <f t="shared" si="2"/>
        <v>#REF!</v>
      </c>
      <c r="E66" s="12" t="e">
        <f t="shared" si="3"/>
        <v>#REF!</v>
      </c>
    </row>
    <row r="67" spans="1:5">
      <c r="A67" s="8">
        <v>48</v>
      </c>
      <c r="B67" s="10">
        <f t="shared" ca="1" si="0"/>
        <v>45434</v>
      </c>
      <c r="C67" s="8" t="s">
        <v>102</v>
      </c>
      <c r="D67" s="11" t="e">
        <f t="shared" si="2"/>
        <v>#REF!</v>
      </c>
      <c r="E67" s="12" t="e">
        <f t="shared" si="3"/>
        <v>#REF!</v>
      </c>
    </row>
    <row r="68" spans="1:5">
      <c r="A68" s="8">
        <v>49</v>
      </c>
      <c r="B68" s="10">
        <f t="shared" ca="1" si="0"/>
        <v>45465</v>
      </c>
      <c r="C68" s="8" t="s">
        <v>103</v>
      </c>
      <c r="D68" s="11" t="e">
        <f t="shared" si="2"/>
        <v>#REF!</v>
      </c>
      <c r="E68" s="12" t="e">
        <f t="shared" si="3"/>
        <v>#REF!</v>
      </c>
    </row>
    <row r="69" spans="1:5">
      <c r="A69" s="8">
        <v>50</v>
      </c>
      <c r="B69" s="10">
        <f t="shared" ca="1" si="0"/>
        <v>45495</v>
      </c>
      <c r="C69" s="8" t="s">
        <v>104</v>
      </c>
      <c r="D69" s="11" t="e">
        <f t="shared" si="2"/>
        <v>#REF!</v>
      </c>
      <c r="E69" s="12" t="e">
        <f t="shared" si="3"/>
        <v>#REF!</v>
      </c>
    </row>
    <row r="70" spans="1:5">
      <c r="A70" s="8">
        <v>51</v>
      </c>
      <c r="B70" s="10">
        <f t="shared" ca="1" si="0"/>
        <v>45526</v>
      </c>
      <c r="C70" s="8" t="s">
        <v>105</v>
      </c>
      <c r="D70" s="11" t="e">
        <f t="shared" si="2"/>
        <v>#REF!</v>
      </c>
      <c r="E70" s="12" t="e">
        <f t="shared" si="3"/>
        <v>#REF!</v>
      </c>
    </row>
    <row r="71" spans="1:5">
      <c r="A71" s="8">
        <v>52</v>
      </c>
      <c r="B71" s="10">
        <f t="shared" ca="1" si="0"/>
        <v>45557</v>
      </c>
      <c r="C71" s="8" t="s">
        <v>106</v>
      </c>
      <c r="D71" s="11" t="e">
        <f t="shared" si="2"/>
        <v>#REF!</v>
      </c>
      <c r="E71" s="12" t="e">
        <f t="shared" si="3"/>
        <v>#REF!</v>
      </c>
    </row>
    <row r="72" spans="1:5">
      <c r="A72" s="8">
        <v>53</v>
      </c>
      <c r="B72" s="10">
        <f t="shared" ca="1" si="0"/>
        <v>45587</v>
      </c>
      <c r="C72" s="8" t="s">
        <v>107</v>
      </c>
      <c r="D72" s="11" t="e">
        <f t="shared" si="2"/>
        <v>#REF!</v>
      </c>
      <c r="E72" s="12" t="e">
        <f t="shared" si="3"/>
        <v>#REF!</v>
      </c>
    </row>
    <row r="73" spans="1:5">
      <c r="A73" s="8">
        <v>54</v>
      </c>
      <c r="B73" s="10">
        <f t="shared" ca="1" si="0"/>
        <v>45618</v>
      </c>
      <c r="C73" s="8" t="s">
        <v>108</v>
      </c>
      <c r="D73" s="11" t="e">
        <f t="shared" si="2"/>
        <v>#REF!</v>
      </c>
      <c r="E73" s="12" t="e">
        <f t="shared" si="3"/>
        <v>#REF!</v>
      </c>
    </row>
    <row r="74" spans="1:5">
      <c r="A74" s="8">
        <v>55</v>
      </c>
      <c r="B74" s="10">
        <f t="shared" ca="1" si="0"/>
        <v>45648</v>
      </c>
      <c r="C74" s="8" t="s">
        <v>109</v>
      </c>
      <c r="D74" s="11" t="e">
        <f t="shared" si="2"/>
        <v>#REF!</v>
      </c>
      <c r="E74" s="12" t="e">
        <f t="shared" si="3"/>
        <v>#REF!</v>
      </c>
    </row>
    <row r="75" spans="1:5">
      <c r="A75" s="14">
        <v>56</v>
      </c>
      <c r="B75" s="15">
        <f t="shared" ca="1" si="0"/>
        <v>45679</v>
      </c>
      <c r="C75" s="14" t="s">
        <v>39</v>
      </c>
      <c r="D75" s="16" t="e">
        <f>C16*0.5</f>
        <v>#REF!</v>
      </c>
      <c r="E75" s="36" t="e">
        <f>E74-D75</f>
        <v>#REF!</v>
      </c>
    </row>
    <row r="76" spans="1:5">
      <c r="A76" s="17"/>
      <c r="B76" s="18"/>
      <c r="C76" s="19" t="s">
        <v>16</v>
      </c>
      <c r="D76" s="20" t="e">
        <f>SUM(D19:D75)</f>
        <v>#REF!</v>
      </c>
      <c r="E76" s="17"/>
    </row>
    <row r="77" spans="1:5">
      <c r="A77" s="3" t="s">
        <v>62</v>
      </c>
      <c r="B77" s="27"/>
      <c r="C77" s="28"/>
      <c r="D77" s="29"/>
      <c r="E77" s="30"/>
    </row>
    <row r="78" spans="1:5">
      <c r="A78" s="4" t="s">
        <v>69</v>
      </c>
      <c r="B78" s="30"/>
      <c r="C78" s="28"/>
      <c r="D78" s="29"/>
      <c r="E78" s="30"/>
    </row>
    <row r="79" spans="1:5">
      <c r="A79" s="4" t="s">
        <v>70</v>
      </c>
      <c r="B79" s="30"/>
      <c r="C79" s="28"/>
      <c r="D79" s="29"/>
      <c r="E79" s="30"/>
    </row>
    <row r="80" spans="1:5">
      <c r="A80" s="4" t="s">
        <v>88</v>
      </c>
      <c r="B80" s="30"/>
      <c r="C80" s="28"/>
      <c r="D80" s="30"/>
      <c r="E80" s="30"/>
    </row>
    <row r="81" spans="1:5">
      <c r="A81" s="4" t="s">
        <v>74</v>
      </c>
      <c r="B81" s="30"/>
      <c r="C81" s="28"/>
      <c r="D81" s="30"/>
      <c r="E81" s="30"/>
    </row>
    <row r="82" spans="1:5">
      <c r="A82" s="4" t="s">
        <v>63</v>
      </c>
      <c r="B82" s="30"/>
      <c r="C82" s="28"/>
      <c r="D82" s="30"/>
      <c r="E82" s="30"/>
    </row>
    <row r="84" spans="1:5">
      <c r="A84" s="1" t="s">
        <v>17</v>
      </c>
    </row>
    <row r="86" spans="1:5">
      <c r="A86" s="5"/>
      <c r="D86" s="5"/>
    </row>
    <row r="87" spans="1:5">
      <c r="A87" s="2" t="s">
        <v>18</v>
      </c>
      <c r="D87" s="2" t="s">
        <v>18</v>
      </c>
    </row>
  </sheetData>
  <sheetProtection algorithmName="SHA-512" hashValue="6tBgN4W+uRtwv0wzWMQLS5tNaD2/U7d3Ennb6xkfGdbTCh0tU1gtFvA3TnMUJntSKMMu+Q64jixgDKMYTALl+Q==" saltValue="SrE8o0BJ2BPSx4wS8FMXvg==" spinCount="100000" sheet="1" selectLockedCells="1"/>
  <mergeCells count="6">
    <mergeCell ref="B9:E9"/>
    <mergeCell ref="E1:E2"/>
    <mergeCell ref="B5:E5"/>
    <mergeCell ref="B6:E6"/>
    <mergeCell ref="B7:E7"/>
    <mergeCell ref="B8:E8"/>
  </mergeCells>
  <hyperlinks>
    <hyperlink ref="B1" location="'DATA SHEET'!A1" display="HIGHLANDS PRIME, INC." xr:uid="{00000000-0004-0000-0D00-000000000000}"/>
  </hyperlinks>
  <printOptions horizontalCentered="1"/>
  <pageMargins left="0.7" right="0.7" top="0.75" bottom="0.5" header="0.3" footer="0.3"/>
  <pageSetup scale="95" orientation="portrait" r:id="rId1"/>
  <headerFooter>
    <oddFooter>&amp;L&amp;8A project of HIGHLANDS PRIME, INC. 
Woodridge Place at Tagaytay Highlands,  Tagaytay Highlands, Tagaytay City
HLURB License To Sell No. 22459&amp;RPage &amp;P of &amp;N</oddFooter>
  </headerFooter>
  <rowBreaks count="1" manualBreakCount="1">
    <brk id="56" max="4"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6" tint="-0.499984740745262"/>
  </sheetPr>
  <dimension ref="A1:E87"/>
  <sheetViews>
    <sheetView showGridLines="0" zoomScaleNormal="100" workbookViewId="0">
      <selection activeCell="B1" sqref="B1"/>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1" customFormat="1" ht="12.75" customHeight="1">
      <c r="B1" s="42" t="s">
        <v>35</v>
      </c>
      <c r="C1" s="43"/>
      <c r="E1" s="425" t="s">
        <v>66</v>
      </c>
    </row>
    <row r="2" spans="1:5" s="41" customFormat="1">
      <c r="B2" s="44" t="s">
        <v>54</v>
      </c>
      <c r="C2" s="43"/>
      <c r="E2" s="425"/>
    </row>
    <row r="3" spans="1:5" s="41" customFormat="1">
      <c r="B3" s="44" t="s">
        <v>36</v>
      </c>
      <c r="C3" s="43"/>
    </row>
    <row r="4" spans="1:5" s="41" customFormat="1">
      <c r="C4" s="43"/>
    </row>
    <row r="5" spans="1:5" s="41" customFormat="1">
      <c r="A5" s="45" t="s">
        <v>0</v>
      </c>
      <c r="B5" s="426" t="str">
        <f>'DATA SHEET'!D10</f>
        <v xml:space="preserve"> </v>
      </c>
      <c r="C5" s="426"/>
      <c r="D5" s="426"/>
      <c r="E5" s="427"/>
    </row>
    <row r="6" spans="1:5" s="41" customFormat="1">
      <c r="A6" s="46" t="s">
        <v>31</v>
      </c>
      <c r="B6" s="428" t="e">
        <f>VLOOKUP('DATA SHEET'!D11,#REF!, 1, FALSE)</f>
        <v>#REF!</v>
      </c>
      <c r="C6" s="428"/>
      <c r="D6" s="428"/>
      <c r="E6" s="429"/>
    </row>
    <row r="7" spans="1:5" s="41" customFormat="1">
      <c r="A7" s="46" t="s">
        <v>37</v>
      </c>
      <c r="B7" s="430" t="e">
        <f>VLOOKUP('DATA SHEET'!D11,#REF!, 3, FALSE)</f>
        <v>#REF!</v>
      </c>
      <c r="C7" s="430"/>
      <c r="D7" s="430"/>
      <c r="E7" s="431"/>
    </row>
    <row r="8" spans="1:5" s="41" customFormat="1">
      <c r="A8" s="46" t="s">
        <v>57</v>
      </c>
      <c r="B8" s="432" t="e">
        <f>VLOOKUP('DATA SHEET'!D11,#REF!, 5, FALSE)</f>
        <v>#REF!</v>
      </c>
      <c r="C8" s="432"/>
      <c r="D8" s="432"/>
      <c r="E8" s="433"/>
    </row>
    <row r="9" spans="1:5" s="41" customFormat="1">
      <c r="A9" s="47" t="s">
        <v>33</v>
      </c>
      <c r="B9" s="423" t="s">
        <v>91</v>
      </c>
      <c r="C9" s="423"/>
      <c r="D9" s="423"/>
      <c r="E9" s="424"/>
    </row>
    <row r="10" spans="1:5" s="41" customFormat="1">
      <c r="C10" s="43"/>
    </row>
    <row r="11" spans="1:5" s="41" customFormat="1">
      <c r="A11" s="44" t="s">
        <v>55</v>
      </c>
      <c r="C11" s="43"/>
    </row>
    <row r="12" spans="1:5" s="41" customFormat="1">
      <c r="A12" s="41" t="s">
        <v>57</v>
      </c>
      <c r="C12" s="48" t="e">
        <f>B8</f>
        <v>#REF!</v>
      </c>
      <c r="D12" s="43"/>
    </row>
    <row r="13" spans="1:5" s="41" customFormat="1">
      <c r="A13" s="41" t="s">
        <v>59</v>
      </c>
      <c r="C13" s="50">
        <v>750000</v>
      </c>
      <c r="D13" s="43"/>
    </row>
    <row r="14" spans="1:5" s="41" customFormat="1" hidden="1">
      <c r="C14" s="85" t="e">
        <f>C12-C13</f>
        <v>#REF!</v>
      </c>
      <c r="D14" s="43"/>
    </row>
    <row r="15" spans="1:5" s="41" customFormat="1" hidden="1">
      <c r="A15" s="41" t="s">
        <v>120</v>
      </c>
      <c r="B15" s="49">
        <v>0</v>
      </c>
      <c r="C15" s="85" t="e">
        <f>C14*B15</f>
        <v>#REF!</v>
      </c>
      <c r="D15" s="43"/>
    </row>
    <row r="16" spans="1:5" s="41" customFormat="1" ht="15" thickBot="1">
      <c r="A16" s="44" t="s">
        <v>58</v>
      </c>
      <c r="C16" s="96" t="e">
        <f>C14-C15</f>
        <v>#REF!</v>
      </c>
      <c r="D16" s="43"/>
    </row>
    <row r="17" spans="1:5" s="41" customFormat="1" ht="15" thickTop="1">
      <c r="C17" s="48"/>
      <c r="D17" s="43"/>
    </row>
    <row r="18" spans="1:5">
      <c r="A18" s="9" t="s">
        <v>34</v>
      </c>
      <c r="B18" s="9" t="s">
        <v>32</v>
      </c>
      <c r="C18" s="9" t="s">
        <v>2</v>
      </c>
      <c r="D18" s="9" t="s">
        <v>3</v>
      </c>
      <c r="E18" s="9" t="s">
        <v>67</v>
      </c>
    </row>
    <row r="19" spans="1:5">
      <c r="A19" s="8">
        <v>0</v>
      </c>
      <c r="B19" s="10">
        <f ca="1">'DATA SHEET'!D9</f>
        <v>43973</v>
      </c>
      <c r="C19" s="8" t="s">
        <v>38</v>
      </c>
      <c r="D19" s="11">
        <v>100000</v>
      </c>
      <c r="E19" s="12" t="e">
        <f>C16-D19</f>
        <v>#REF!</v>
      </c>
    </row>
    <row r="20" spans="1:5">
      <c r="A20" s="8">
        <v>1</v>
      </c>
      <c r="B20" s="10">
        <f ca="1">EDATE(B19,1)</f>
        <v>44004</v>
      </c>
      <c r="C20" s="8" t="s">
        <v>68</v>
      </c>
      <c r="D20" s="11" t="e">
        <f>(C16*0.1)-D19</f>
        <v>#REF!</v>
      </c>
      <c r="E20" s="12" t="e">
        <f>E19-D20</f>
        <v>#REF!</v>
      </c>
    </row>
    <row r="21" spans="1:5">
      <c r="A21" s="8">
        <v>2</v>
      </c>
      <c r="B21" s="10">
        <f t="shared" ref="B21:B75" ca="1" si="0">EDATE(B20,1)</f>
        <v>44034</v>
      </c>
      <c r="C21" s="8" t="s">
        <v>79</v>
      </c>
      <c r="D21" s="11" t="e">
        <f>(C16*0.1)/6</f>
        <v>#REF!</v>
      </c>
      <c r="E21" s="12" t="e">
        <f t="shared" ref="E21:E74" si="1">E20-D21</f>
        <v>#REF!</v>
      </c>
    </row>
    <row r="22" spans="1:5">
      <c r="A22" s="8">
        <v>3</v>
      </c>
      <c r="B22" s="10">
        <f t="shared" ca="1" si="0"/>
        <v>44065</v>
      </c>
      <c r="C22" s="8" t="s">
        <v>80</v>
      </c>
      <c r="D22" s="11" t="e">
        <f>D21</f>
        <v>#REF!</v>
      </c>
      <c r="E22" s="12" t="e">
        <f t="shared" si="1"/>
        <v>#REF!</v>
      </c>
    </row>
    <row r="23" spans="1:5">
      <c r="A23" s="8">
        <v>4</v>
      </c>
      <c r="B23" s="10">
        <f t="shared" ca="1" si="0"/>
        <v>44096</v>
      </c>
      <c r="C23" s="8" t="s">
        <v>81</v>
      </c>
      <c r="D23" s="11" t="e">
        <f t="shared" ref="D23:D74" si="2">D22</f>
        <v>#REF!</v>
      </c>
      <c r="E23" s="12" t="e">
        <f t="shared" si="1"/>
        <v>#REF!</v>
      </c>
    </row>
    <row r="24" spans="1:5">
      <c r="A24" s="8">
        <v>5</v>
      </c>
      <c r="B24" s="10">
        <f t="shared" ca="1" si="0"/>
        <v>44126</v>
      </c>
      <c r="C24" s="8" t="s">
        <v>82</v>
      </c>
      <c r="D24" s="11" t="e">
        <f t="shared" si="2"/>
        <v>#REF!</v>
      </c>
      <c r="E24" s="12" t="e">
        <f t="shared" si="1"/>
        <v>#REF!</v>
      </c>
    </row>
    <row r="25" spans="1:5">
      <c r="A25" s="8">
        <v>6</v>
      </c>
      <c r="B25" s="10">
        <f t="shared" ca="1" si="0"/>
        <v>44157</v>
      </c>
      <c r="C25" s="8" t="s">
        <v>83</v>
      </c>
      <c r="D25" s="11" t="e">
        <f t="shared" si="2"/>
        <v>#REF!</v>
      </c>
      <c r="E25" s="12" t="e">
        <f t="shared" si="1"/>
        <v>#REF!</v>
      </c>
    </row>
    <row r="26" spans="1:5">
      <c r="A26" s="8">
        <v>7</v>
      </c>
      <c r="B26" s="10">
        <f t="shared" ca="1" si="0"/>
        <v>44187</v>
      </c>
      <c r="C26" s="8" t="s">
        <v>84</v>
      </c>
      <c r="D26" s="11" t="e">
        <f t="shared" si="2"/>
        <v>#REF!</v>
      </c>
      <c r="E26" s="12" t="e">
        <f t="shared" si="1"/>
        <v>#REF!</v>
      </c>
    </row>
    <row r="27" spans="1:5">
      <c r="A27" s="8">
        <v>8</v>
      </c>
      <c r="B27" s="10">
        <f t="shared" ca="1" si="0"/>
        <v>44218</v>
      </c>
      <c r="C27" s="8" t="s">
        <v>4</v>
      </c>
      <c r="D27" s="11" t="e">
        <f>(C16*0.3)/48</f>
        <v>#REF!</v>
      </c>
      <c r="E27" s="12" t="e">
        <f t="shared" si="1"/>
        <v>#REF!</v>
      </c>
    </row>
    <row r="28" spans="1:5">
      <c r="A28" s="8">
        <v>9</v>
      </c>
      <c r="B28" s="10">
        <f t="shared" ca="1" si="0"/>
        <v>44249</v>
      </c>
      <c r="C28" s="8" t="s">
        <v>5</v>
      </c>
      <c r="D28" s="11" t="e">
        <f t="shared" si="2"/>
        <v>#REF!</v>
      </c>
      <c r="E28" s="12" t="e">
        <f t="shared" si="1"/>
        <v>#REF!</v>
      </c>
    </row>
    <row r="29" spans="1:5">
      <c r="A29" s="8">
        <v>10</v>
      </c>
      <c r="B29" s="10">
        <f t="shared" ca="1" si="0"/>
        <v>44277</v>
      </c>
      <c r="C29" s="8" t="s">
        <v>6</v>
      </c>
      <c r="D29" s="11" t="e">
        <f t="shared" si="2"/>
        <v>#REF!</v>
      </c>
      <c r="E29" s="12" t="e">
        <f t="shared" si="1"/>
        <v>#REF!</v>
      </c>
    </row>
    <row r="30" spans="1:5">
      <c r="A30" s="8">
        <v>11</v>
      </c>
      <c r="B30" s="10">
        <f t="shared" ca="1" si="0"/>
        <v>44308</v>
      </c>
      <c r="C30" s="8" t="s">
        <v>7</v>
      </c>
      <c r="D30" s="11" t="e">
        <f t="shared" si="2"/>
        <v>#REF!</v>
      </c>
      <c r="E30" s="12" t="e">
        <f t="shared" si="1"/>
        <v>#REF!</v>
      </c>
    </row>
    <row r="31" spans="1:5">
      <c r="A31" s="8">
        <v>12</v>
      </c>
      <c r="B31" s="10">
        <f t="shared" ca="1" si="0"/>
        <v>44338</v>
      </c>
      <c r="C31" s="8" t="s">
        <v>8</v>
      </c>
      <c r="D31" s="11" t="e">
        <f t="shared" si="2"/>
        <v>#REF!</v>
      </c>
      <c r="E31" s="12" t="e">
        <f t="shared" si="1"/>
        <v>#REF!</v>
      </c>
    </row>
    <row r="32" spans="1:5">
      <c r="A32" s="8">
        <v>13</v>
      </c>
      <c r="B32" s="10">
        <f t="shared" ca="1" si="0"/>
        <v>44369</v>
      </c>
      <c r="C32" s="8" t="s">
        <v>9</v>
      </c>
      <c r="D32" s="11" t="e">
        <f t="shared" si="2"/>
        <v>#REF!</v>
      </c>
      <c r="E32" s="12" t="e">
        <f t="shared" si="1"/>
        <v>#REF!</v>
      </c>
    </row>
    <row r="33" spans="1:5">
      <c r="A33" s="8">
        <v>14</v>
      </c>
      <c r="B33" s="10">
        <f t="shared" ca="1" si="0"/>
        <v>44399</v>
      </c>
      <c r="C33" s="8" t="s">
        <v>10</v>
      </c>
      <c r="D33" s="11" t="e">
        <f t="shared" si="2"/>
        <v>#REF!</v>
      </c>
      <c r="E33" s="12" t="e">
        <f t="shared" si="1"/>
        <v>#REF!</v>
      </c>
    </row>
    <row r="34" spans="1:5">
      <c r="A34" s="8">
        <v>15</v>
      </c>
      <c r="B34" s="10">
        <f t="shared" ca="1" si="0"/>
        <v>44430</v>
      </c>
      <c r="C34" s="8" t="s">
        <v>11</v>
      </c>
      <c r="D34" s="11" t="e">
        <f t="shared" si="2"/>
        <v>#REF!</v>
      </c>
      <c r="E34" s="12" t="e">
        <f t="shared" si="1"/>
        <v>#REF!</v>
      </c>
    </row>
    <row r="35" spans="1:5">
      <c r="A35" s="8">
        <v>16</v>
      </c>
      <c r="B35" s="10">
        <f t="shared" ca="1" si="0"/>
        <v>44461</v>
      </c>
      <c r="C35" s="8" t="s">
        <v>12</v>
      </c>
      <c r="D35" s="11" t="e">
        <f t="shared" si="2"/>
        <v>#REF!</v>
      </c>
      <c r="E35" s="12" t="e">
        <f t="shared" si="1"/>
        <v>#REF!</v>
      </c>
    </row>
    <row r="36" spans="1:5">
      <c r="A36" s="8">
        <v>17</v>
      </c>
      <c r="B36" s="10">
        <f t="shared" ca="1" si="0"/>
        <v>44491</v>
      </c>
      <c r="C36" s="8" t="s">
        <v>13</v>
      </c>
      <c r="D36" s="11" t="e">
        <f t="shared" si="2"/>
        <v>#REF!</v>
      </c>
      <c r="E36" s="12" t="e">
        <f t="shared" si="1"/>
        <v>#REF!</v>
      </c>
    </row>
    <row r="37" spans="1:5">
      <c r="A37" s="8">
        <v>18</v>
      </c>
      <c r="B37" s="10">
        <f t="shared" ca="1" si="0"/>
        <v>44522</v>
      </c>
      <c r="C37" s="8" t="s">
        <v>14</v>
      </c>
      <c r="D37" s="11" t="e">
        <f t="shared" si="2"/>
        <v>#REF!</v>
      </c>
      <c r="E37" s="12" t="e">
        <f t="shared" si="1"/>
        <v>#REF!</v>
      </c>
    </row>
    <row r="38" spans="1:5">
      <c r="A38" s="8">
        <v>19</v>
      </c>
      <c r="B38" s="10">
        <f t="shared" ca="1" si="0"/>
        <v>44552</v>
      </c>
      <c r="C38" s="8" t="s">
        <v>15</v>
      </c>
      <c r="D38" s="11" t="e">
        <f t="shared" si="2"/>
        <v>#REF!</v>
      </c>
      <c r="E38" s="12" t="e">
        <f t="shared" si="1"/>
        <v>#REF!</v>
      </c>
    </row>
    <row r="39" spans="1:5">
      <c r="A39" s="8">
        <v>20</v>
      </c>
      <c r="B39" s="10">
        <f t="shared" ca="1" si="0"/>
        <v>44583</v>
      </c>
      <c r="C39" s="8" t="s">
        <v>19</v>
      </c>
      <c r="D39" s="11" t="e">
        <f t="shared" si="2"/>
        <v>#REF!</v>
      </c>
      <c r="E39" s="12" t="e">
        <f t="shared" si="1"/>
        <v>#REF!</v>
      </c>
    </row>
    <row r="40" spans="1:5">
      <c r="A40" s="8">
        <v>21</v>
      </c>
      <c r="B40" s="10">
        <f t="shared" ca="1" si="0"/>
        <v>44614</v>
      </c>
      <c r="C40" s="8" t="s">
        <v>20</v>
      </c>
      <c r="D40" s="11" t="e">
        <f t="shared" si="2"/>
        <v>#REF!</v>
      </c>
      <c r="E40" s="12" t="e">
        <f t="shared" si="1"/>
        <v>#REF!</v>
      </c>
    </row>
    <row r="41" spans="1:5">
      <c r="A41" s="8">
        <v>22</v>
      </c>
      <c r="B41" s="10">
        <f t="shared" ca="1" si="0"/>
        <v>44642</v>
      </c>
      <c r="C41" s="8" t="s">
        <v>21</v>
      </c>
      <c r="D41" s="11" t="e">
        <f t="shared" si="2"/>
        <v>#REF!</v>
      </c>
      <c r="E41" s="12" t="e">
        <f t="shared" si="1"/>
        <v>#REF!</v>
      </c>
    </row>
    <row r="42" spans="1:5">
      <c r="A42" s="8">
        <v>23</v>
      </c>
      <c r="B42" s="10">
        <f t="shared" ca="1" si="0"/>
        <v>44673</v>
      </c>
      <c r="C42" s="8" t="s">
        <v>22</v>
      </c>
      <c r="D42" s="11" t="e">
        <f t="shared" si="2"/>
        <v>#REF!</v>
      </c>
      <c r="E42" s="12" t="e">
        <f t="shared" si="1"/>
        <v>#REF!</v>
      </c>
    </row>
    <row r="43" spans="1:5">
      <c r="A43" s="8">
        <v>24</v>
      </c>
      <c r="B43" s="10">
        <f t="shared" ca="1" si="0"/>
        <v>44703</v>
      </c>
      <c r="C43" s="8" t="s">
        <v>23</v>
      </c>
      <c r="D43" s="11" t="e">
        <f t="shared" si="2"/>
        <v>#REF!</v>
      </c>
      <c r="E43" s="12" t="e">
        <f t="shared" si="1"/>
        <v>#REF!</v>
      </c>
    </row>
    <row r="44" spans="1:5">
      <c r="A44" s="8">
        <v>25</v>
      </c>
      <c r="B44" s="10">
        <f t="shared" ca="1" si="0"/>
        <v>44734</v>
      </c>
      <c r="C44" s="8" t="s">
        <v>24</v>
      </c>
      <c r="D44" s="11" t="e">
        <f t="shared" si="2"/>
        <v>#REF!</v>
      </c>
      <c r="E44" s="12" t="e">
        <f t="shared" si="1"/>
        <v>#REF!</v>
      </c>
    </row>
    <row r="45" spans="1:5">
      <c r="A45" s="8">
        <v>26</v>
      </c>
      <c r="B45" s="10">
        <f t="shared" ca="1" si="0"/>
        <v>44764</v>
      </c>
      <c r="C45" s="8" t="s">
        <v>25</v>
      </c>
      <c r="D45" s="11" t="e">
        <f t="shared" si="2"/>
        <v>#REF!</v>
      </c>
      <c r="E45" s="12" t="e">
        <f t="shared" si="1"/>
        <v>#REF!</v>
      </c>
    </row>
    <row r="46" spans="1:5">
      <c r="A46" s="8">
        <v>27</v>
      </c>
      <c r="B46" s="10">
        <f t="shared" ca="1" si="0"/>
        <v>44795</v>
      </c>
      <c r="C46" s="8" t="s">
        <v>26</v>
      </c>
      <c r="D46" s="11" t="e">
        <f t="shared" si="2"/>
        <v>#REF!</v>
      </c>
      <c r="E46" s="12" t="e">
        <f t="shared" si="1"/>
        <v>#REF!</v>
      </c>
    </row>
    <row r="47" spans="1:5">
      <c r="A47" s="8">
        <v>28</v>
      </c>
      <c r="B47" s="10">
        <f t="shared" ca="1" si="0"/>
        <v>44826</v>
      </c>
      <c r="C47" s="8" t="s">
        <v>27</v>
      </c>
      <c r="D47" s="11" t="e">
        <f t="shared" si="2"/>
        <v>#REF!</v>
      </c>
      <c r="E47" s="12" t="e">
        <f t="shared" si="1"/>
        <v>#REF!</v>
      </c>
    </row>
    <row r="48" spans="1:5">
      <c r="A48" s="8">
        <v>29</v>
      </c>
      <c r="B48" s="10">
        <f t="shared" ca="1" si="0"/>
        <v>44856</v>
      </c>
      <c r="C48" s="8" t="s">
        <v>28</v>
      </c>
      <c r="D48" s="11" t="e">
        <f t="shared" si="2"/>
        <v>#REF!</v>
      </c>
      <c r="E48" s="12" t="e">
        <f t="shared" si="1"/>
        <v>#REF!</v>
      </c>
    </row>
    <row r="49" spans="1:5">
      <c r="A49" s="8">
        <v>30</v>
      </c>
      <c r="B49" s="10">
        <f t="shared" ca="1" si="0"/>
        <v>44887</v>
      </c>
      <c r="C49" s="8" t="s">
        <v>29</v>
      </c>
      <c r="D49" s="11" t="e">
        <f t="shared" si="2"/>
        <v>#REF!</v>
      </c>
      <c r="E49" s="12" t="e">
        <f t="shared" si="1"/>
        <v>#REF!</v>
      </c>
    </row>
    <row r="50" spans="1:5">
      <c r="A50" s="8">
        <v>31</v>
      </c>
      <c r="B50" s="10">
        <f t="shared" ca="1" si="0"/>
        <v>44917</v>
      </c>
      <c r="C50" s="8" t="s">
        <v>30</v>
      </c>
      <c r="D50" s="11" t="e">
        <f t="shared" si="2"/>
        <v>#REF!</v>
      </c>
      <c r="E50" s="12" t="e">
        <f t="shared" si="1"/>
        <v>#REF!</v>
      </c>
    </row>
    <row r="51" spans="1:5">
      <c r="A51" s="8">
        <v>32</v>
      </c>
      <c r="B51" s="10">
        <f t="shared" ca="1" si="0"/>
        <v>44948</v>
      </c>
      <c r="C51" s="8" t="s">
        <v>48</v>
      </c>
      <c r="D51" s="11" t="e">
        <f t="shared" si="2"/>
        <v>#REF!</v>
      </c>
      <c r="E51" s="12" t="e">
        <f t="shared" si="1"/>
        <v>#REF!</v>
      </c>
    </row>
    <row r="52" spans="1:5">
      <c r="A52" s="8">
        <v>33</v>
      </c>
      <c r="B52" s="10">
        <f t="shared" ca="1" si="0"/>
        <v>44979</v>
      </c>
      <c r="C52" s="8" t="s">
        <v>49</v>
      </c>
      <c r="D52" s="11" t="e">
        <f t="shared" si="2"/>
        <v>#REF!</v>
      </c>
      <c r="E52" s="12" t="e">
        <f t="shared" si="1"/>
        <v>#REF!</v>
      </c>
    </row>
    <row r="53" spans="1:5">
      <c r="A53" s="8">
        <v>34</v>
      </c>
      <c r="B53" s="10">
        <f t="shared" ca="1" si="0"/>
        <v>45007</v>
      </c>
      <c r="C53" s="8" t="s">
        <v>50</v>
      </c>
      <c r="D53" s="11" t="e">
        <f t="shared" si="2"/>
        <v>#REF!</v>
      </c>
      <c r="E53" s="12" t="e">
        <f t="shared" si="1"/>
        <v>#REF!</v>
      </c>
    </row>
    <row r="54" spans="1:5">
      <c r="A54" s="8">
        <v>35</v>
      </c>
      <c r="B54" s="10">
        <f t="shared" ca="1" si="0"/>
        <v>45038</v>
      </c>
      <c r="C54" s="8" t="s">
        <v>51</v>
      </c>
      <c r="D54" s="11" t="e">
        <f t="shared" si="2"/>
        <v>#REF!</v>
      </c>
      <c r="E54" s="12" t="e">
        <f t="shared" si="1"/>
        <v>#REF!</v>
      </c>
    </row>
    <row r="55" spans="1:5">
      <c r="A55" s="8">
        <v>36</v>
      </c>
      <c r="B55" s="10">
        <f t="shared" ca="1" si="0"/>
        <v>45068</v>
      </c>
      <c r="C55" s="8" t="s">
        <v>52</v>
      </c>
      <c r="D55" s="11" t="e">
        <f t="shared" si="2"/>
        <v>#REF!</v>
      </c>
      <c r="E55" s="12" t="e">
        <f t="shared" si="1"/>
        <v>#REF!</v>
      </c>
    </row>
    <row r="56" spans="1:5">
      <c r="A56" s="98">
        <v>37</v>
      </c>
      <c r="B56" s="99">
        <f t="shared" ca="1" si="0"/>
        <v>45099</v>
      </c>
      <c r="C56" s="98" t="s">
        <v>53</v>
      </c>
      <c r="D56" s="100" t="e">
        <f t="shared" si="2"/>
        <v>#REF!</v>
      </c>
      <c r="E56" s="101" t="e">
        <f t="shared" si="1"/>
        <v>#REF!</v>
      </c>
    </row>
    <row r="57" spans="1:5">
      <c r="A57" s="90">
        <v>38</v>
      </c>
      <c r="B57" s="91">
        <f t="shared" ca="1" si="0"/>
        <v>45129</v>
      </c>
      <c r="C57" s="90" t="s">
        <v>92</v>
      </c>
      <c r="D57" s="92" t="e">
        <f t="shared" si="2"/>
        <v>#REF!</v>
      </c>
      <c r="E57" s="93" t="e">
        <f t="shared" si="1"/>
        <v>#REF!</v>
      </c>
    </row>
    <row r="58" spans="1:5">
      <c r="A58" s="8">
        <v>39</v>
      </c>
      <c r="B58" s="10">
        <f t="shared" ca="1" si="0"/>
        <v>45160</v>
      </c>
      <c r="C58" s="8" t="s">
        <v>93</v>
      </c>
      <c r="D58" s="11" t="e">
        <f t="shared" si="2"/>
        <v>#REF!</v>
      </c>
      <c r="E58" s="12" t="e">
        <f t="shared" si="1"/>
        <v>#REF!</v>
      </c>
    </row>
    <row r="59" spans="1:5">
      <c r="A59" s="8">
        <v>40</v>
      </c>
      <c r="B59" s="10">
        <f t="shared" ca="1" si="0"/>
        <v>45191</v>
      </c>
      <c r="C59" s="8" t="s">
        <v>94</v>
      </c>
      <c r="D59" s="11" t="e">
        <f t="shared" si="2"/>
        <v>#REF!</v>
      </c>
      <c r="E59" s="12" t="e">
        <f t="shared" si="1"/>
        <v>#REF!</v>
      </c>
    </row>
    <row r="60" spans="1:5">
      <c r="A60" s="8">
        <v>41</v>
      </c>
      <c r="B60" s="10">
        <f t="shared" ca="1" si="0"/>
        <v>45221</v>
      </c>
      <c r="C60" s="8" t="s">
        <v>95</v>
      </c>
      <c r="D60" s="11" t="e">
        <f t="shared" si="2"/>
        <v>#REF!</v>
      </c>
      <c r="E60" s="12" t="e">
        <f t="shared" si="1"/>
        <v>#REF!</v>
      </c>
    </row>
    <row r="61" spans="1:5">
      <c r="A61" s="8">
        <v>42</v>
      </c>
      <c r="B61" s="10">
        <f t="shared" ca="1" si="0"/>
        <v>45252</v>
      </c>
      <c r="C61" s="8" t="s">
        <v>96</v>
      </c>
      <c r="D61" s="11" t="e">
        <f t="shared" si="2"/>
        <v>#REF!</v>
      </c>
      <c r="E61" s="12" t="e">
        <f t="shared" si="1"/>
        <v>#REF!</v>
      </c>
    </row>
    <row r="62" spans="1:5">
      <c r="A62" s="7">
        <v>43</v>
      </c>
      <c r="B62" s="94">
        <f t="shared" ca="1" si="0"/>
        <v>45282</v>
      </c>
      <c r="C62" s="7" t="s">
        <v>97</v>
      </c>
      <c r="D62" s="13" t="e">
        <f t="shared" si="2"/>
        <v>#REF!</v>
      </c>
      <c r="E62" s="95" t="e">
        <f t="shared" si="1"/>
        <v>#REF!</v>
      </c>
    </row>
    <row r="63" spans="1:5">
      <c r="A63" s="8">
        <v>44</v>
      </c>
      <c r="B63" s="10">
        <f t="shared" ca="1" si="0"/>
        <v>45313</v>
      </c>
      <c r="C63" s="8" t="s">
        <v>98</v>
      </c>
      <c r="D63" s="11" t="e">
        <f t="shared" si="2"/>
        <v>#REF!</v>
      </c>
      <c r="E63" s="12" t="e">
        <f t="shared" si="1"/>
        <v>#REF!</v>
      </c>
    </row>
    <row r="64" spans="1:5">
      <c r="A64" s="8">
        <v>45</v>
      </c>
      <c r="B64" s="10">
        <f t="shared" ca="1" si="0"/>
        <v>45344</v>
      </c>
      <c r="C64" s="8" t="s">
        <v>99</v>
      </c>
      <c r="D64" s="11" t="e">
        <f t="shared" si="2"/>
        <v>#REF!</v>
      </c>
      <c r="E64" s="12" t="e">
        <f t="shared" si="1"/>
        <v>#REF!</v>
      </c>
    </row>
    <row r="65" spans="1:5">
      <c r="A65" s="8">
        <v>46</v>
      </c>
      <c r="B65" s="10">
        <f t="shared" ca="1" si="0"/>
        <v>45373</v>
      </c>
      <c r="C65" s="8" t="s">
        <v>100</v>
      </c>
      <c r="D65" s="11" t="e">
        <f t="shared" si="2"/>
        <v>#REF!</v>
      </c>
      <c r="E65" s="12" t="e">
        <f t="shared" si="1"/>
        <v>#REF!</v>
      </c>
    </row>
    <row r="66" spans="1:5">
      <c r="A66" s="8">
        <v>47</v>
      </c>
      <c r="B66" s="10">
        <f t="shared" ca="1" si="0"/>
        <v>45404</v>
      </c>
      <c r="C66" s="8" t="s">
        <v>101</v>
      </c>
      <c r="D66" s="11" t="e">
        <f t="shared" si="2"/>
        <v>#REF!</v>
      </c>
      <c r="E66" s="12" t="e">
        <f t="shared" si="1"/>
        <v>#REF!</v>
      </c>
    </row>
    <row r="67" spans="1:5">
      <c r="A67" s="8">
        <v>48</v>
      </c>
      <c r="B67" s="10">
        <f t="shared" ca="1" si="0"/>
        <v>45434</v>
      </c>
      <c r="C67" s="8" t="s">
        <v>102</v>
      </c>
      <c r="D67" s="11" t="e">
        <f t="shared" si="2"/>
        <v>#REF!</v>
      </c>
      <c r="E67" s="12" t="e">
        <f t="shared" si="1"/>
        <v>#REF!</v>
      </c>
    </row>
    <row r="68" spans="1:5">
      <c r="A68" s="8">
        <v>49</v>
      </c>
      <c r="B68" s="10">
        <f t="shared" ca="1" si="0"/>
        <v>45465</v>
      </c>
      <c r="C68" s="8" t="s">
        <v>103</v>
      </c>
      <c r="D68" s="11" t="e">
        <f t="shared" si="2"/>
        <v>#REF!</v>
      </c>
      <c r="E68" s="12" t="e">
        <f t="shared" si="1"/>
        <v>#REF!</v>
      </c>
    </row>
    <row r="69" spans="1:5">
      <c r="A69" s="8">
        <v>50</v>
      </c>
      <c r="B69" s="10">
        <f t="shared" ca="1" si="0"/>
        <v>45495</v>
      </c>
      <c r="C69" s="8" t="s">
        <v>104</v>
      </c>
      <c r="D69" s="11" t="e">
        <f t="shared" si="2"/>
        <v>#REF!</v>
      </c>
      <c r="E69" s="12" t="e">
        <f t="shared" si="1"/>
        <v>#REF!</v>
      </c>
    </row>
    <row r="70" spans="1:5">
      <c r="A70" s="8">
        <v>51</v>
      </c>
      <c r="B70" s="10">
        <f t="shared" ca="1" si="0"/>
        <v>45526</v>
      </c>
      <c r="C70" s="8" t="s">
        <v>105</v>
      </c>
      <c r="D70" s="11" t="e">
        <f t="shared" si="2"/>
        <v>#REF!</v>
      </c>
      <c r="E70" s="12" t="e">
        <f t="shared" si="1"/>
        <v>#REF!</v>
      </c>
    </row>
    <row r="71" spans="1:5">
      <c r="A71" s="8">
        <v>52</v>
      </c>
      <c r="B71" s="10">
        <f t="shared" ca="1" si="0"/>
        <v>45557</v>
      </c>
      <c r="C71" s="8" t="s">
        <v>106</v>
      </c>
      <c r="D71" s="11" t="e">
        <f t="shared" si="2"/>
        <v>#REF!</v>
      </c>
      <c r="E71" s="12" t="e">
        <f t="shared" si="1"/>
        <v>#REF!</v>
      </c>
    </row>
    <row r="72" spans="1:5">
      <c r="A72" s="8">
        <v>53</v>
      </c>
      <c r="B72" s="10">
        <f t="shared" ca="1" si="0"/>
        <v>45587</v>
      </c>
      <c r="C72" s="8" t="s">
        <v>107</v>
      </c>
      <c r="D72" s="11" t="e">
        <f t="shared" si="2"/>
        <v>#REF!</v>
      </c>
      <c r="E72" s="12" t="e">
        <f t="shared" si="1"/>
        <v>#REF!</v>
      </c>
    </row>
    <row r="73" spans="1:5">
      <c r="A73" s="8">
        <v>54</v>
      </c>
      <c r="B73" s="10">
        <f t="shared" ca="1" si="0"/>
        <v>45618</v>
      </c>
      <c r="C73" s="8" t="s">
        <v>108</v>
      </c>
      <c r="D73" s="11" t="e">
        <f t="shared" si="2"/>
        <v>#REF!</v>
      </c>
      <c r="E73" s="12" t="e">
        <f t="shared" si="1"/>
        <v>#REF!</v>
      </c>
    </row>
    <row r="74" spans="1:5">
      <c r="A74" s="8">
        <v>55</v>
      </c>
      <c r="B74" s="10">
        <f t="shared" ca="1" si="0"/>
        <v>45648</v>
      </c>
      <c r="C74" s="8" t="s">
        <v>109</v>
      </c>
      <c r="D74" s="11" t="e">
        <f t="shared" si="2"/>
        <v>#REF!</v>
      </c>
      <c r="E74" s="12" t="e">
        <f t="shared" si="1"/>
        <v>#REF!</v>
      </c>
    </row>
    <row r="75" spans="1:5">
      <c r="A75" s="14">
        <v>56</v>
      </c>
      <c r="B75" s="15">
        <f t="shared" ca="1" si="0"/>
        <v>45679</v>
      </c>
      <c r="C75" s="14" t="s">
        <v>39</v>
      </c>
      <c r="D75" s="16" t="e">
        <f>C16*0.5</f>
        <v>#REF!</v>
      </c>
      <c r="E75" s="36" t="e">
        <f>E74-D75</f>
        <v>#REF!</v>
      </c>
    </row>
    <row r="76" spans="1:5">
      <c r="A76" s="17"/>
      <c r="B76" s="18"/>
      <c r="C76" s="19" t="s">
        <v>16</v>
      </c>
      <c r="D76" s="20" t="e">
        <f>SUM(D19:D75)</f>
        <v>#REF!</v>
      </c>
      <c r="E76" s="17"/>
    </row>
    <row r="77" spans="1:5">
      <c r="A77" s="3" t="s">
        <v>62</v>
      </c>
      <c r="B77" s="27"/>
      <c r="C77" s="28"/>
      <c r="D77" s="29"/>
      <c r="E77" s="30"/>
    </row>
    <row r="78" spans="1:5">
      <c r="A78" s="4" t="s">
        <v>69</v>
      </c>
      <c r="B78" s="30"/>
      <c r="C78" s="28"/>
      <c r="D78" s="29"/>
      <c r="E78" s="30"/>
    </row>
    <row r="79" spans="1:5">
      <c r="A79" s="4" t="s">
        <v>70</v>
      </c>
      <c r="B79" s="30"/>
      <c r="C79" s="28"/>
      <c r="D79" s="29"/>
      <c r="E79" s="30"/>
    </row>
    <row r="80" spans="1:5">
      <c r="A80" s="4" t="s">
        <v>88</v>
      </c>
      <c r="B80" s="30"/>
      <c r="C80" s="28"/>
      <c r="D80" s="30"/>
      <c r="E80" s="30"/>
    </row>
    <row r="81" spans="1:5">
      <c r="A81" s="4" t="s">
        <v>74</v>
      </c>
      <c r="B81" s="30"/>
      <c r="C81" s="28"/>
      <c r="D81" s="30"/>
      <c r="E81" s="30"/>
    </row>
    <row r="82" spans="1:5">
      <c r="A82" s="4" t="s">
        <v>63</v>
      </c>
      <c r="B82" s="30"/>
      <c r="C82" s="28"/>
      <c r="D82" s="30"/>
      <c r="E82" s="30"/>
    </row>
    <row r="84" spans="1:5">
      <c r="A84" s="1" t="s">
        <v>17</v>
      </c>
    </row>
    <row r="86" spans="1:5">
      <c r="A86" s="5"/>
      <c r="D86" s="5"/>
    </row>
    <row r="87" spans="1:5">
      <c r="A87" s="2" t="s">
        <v>18</v>
      </c>
      <c r="D87" s="2" t="s">
        <v>18</v>
      </c>
    </row>
  </sheetData>
  <sheetProtection algorithmName="SHA-512" hashValue="y0AT5tEt2yoPwTiWbe49BTe7bXuVwFKm4TiSuYYYjQ4ZJhhO+GaSm0JLtF2cxvLUlgdhKyE/wJSJoL7DXxMWuQ==" saltValue="s3m0ppM91O7mFSLW/GV9Hw==" spinCount="100000" sheet="1" selectLockedCells="1"/>
  <mergeCells count="6">
    <mergeCell ref="B9:E9"/>
    <mergeCell ref="E1:E2"/>
    <mergeCell ref="B5:E5"/>
    <mergeCell ref="B6:E6"/>
    <mergeCell ref="B7:E7"/>
    <mergeCell ref="B8:E8"/>
  </mergeCells>
  <hyperlinks>
    <hyperlink ref="B1" location="'DATA SHEET'!A1" display="HIGHLANDS PRIME, INC." xr:uid="{00000000-0004-0000-0E00-000000000000}"/>
  </hyperlinks>
  <printOptions horizontalCentered="1"/>
  <pageMargins left="0.7" right="0.7" top="0.75" bottom="0.5" header="0.3" footer="0.3"/>
  <pageSetup scale="95" orientation="portrait" r:id="rId1"/>
  <headerFooter>
    <oddFooter>&amp;L&amp;8A project of HIGHLANDS PRIME, INC. 
Woodridge Place at Tagaytay Highlands,  Tagaytay Highlands, Tagaytay City
HLURB License To Sell No. 22459&amp;RPage &amp;P of &amp;N</oddFooter>
  </headerFooter>
  <rowBreaks count="1" manualBreakCount="1">
    <brk id="56" max="4"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F7941D"/>
    <pageSetUpPr fitToPage="1"/>
  </sheetPr>
  <dimension ref="A1:K43"/>
  <sheetViews>
    <sheetView topLeftCell="A3" zoomScaleNormal="100" workbookViewId="0">
      <selection activeCell="J3" sqref="J3"/>
    </sheetView>
  </sheetViews>
  <sheetFormatPr baseColWidth="10" defaultColWidth="0" defaultRowHeight="14" zeroHeight="1"/>
  <cols>
    <col min="1" max="1" width="12.1640625" style="233" customWidth="1"/>
    <col min="2" max="2" width="10.83203125" style="233" customWidth="1"/>
    <col min="3" max="3" width="13.33203125" style="233" customWidth="1"/>
    <col min="4" max="4" width="12.5" style="231" bestFit="1" customWidth="1"/>
    <col min="5" max="5" width="12.5" style="233" bestFit="1" customWidth="1"/>
    <col min="6" max="6" width="13.6640625" style="233" bestFit="1" customWidth="1"/>
    <col min="7" max="7" width="13.6640625" style="230" bestFit="1" customWidth="1"/>
    <col min="8" max="9" width="16.5" style="233" bestFit="1" customWidth="1"/>
    <col min="10" max="10" width="14.33203125" style="233" customWidth="1"/>
    <col min="11" max="11" width="9.1640625" style="233" customWidth="1"/>
    <col min="12" max="16384" width="9.1640625" style="233" hidden="1"/>
  </cols>
  <sheetData>
    <row r="1" spans="1:11" ht="12.75" customHeight="1">
      <c r="C1" s="240" t="s">
        <v>35</v>
      </c>
      <c r="H1" s="241" t="s">
        <v>66</v>
      </c>
    </row>
    <row r="2" spans="1:11" ht="12.75" customHeight="1">
      <c r="C2" s="230" t="s">
        <v>348</v>
      </c>
      <c r="H2" s="241"/>
    </row>
    <row r="3" spans="1:11">
      <c r="C3" s="230" t="s">
        <v>36</v>
      </c>
      <c r="J3" s="311" t="s">
        <v>305</v>
      </c>
    </row>
    <row r="4" spans="1:11"/>
    <row r="5" spans="1:11" s="245" customFormat="1" ht="18" customHeight="1">
      <c r="A5" s="242" t="s">
        <v>0</v>
      </c>
      <c r="B5" s="243"/>
      <c r="C5" s="434" t="str">
        <f>'DATA SHEET'!D10</f>
        <v xml:space="preserve"> </v>
      </c>
      <c r="D5" s="434"/>
      <c r="E5" s="434"/>
      <c r="F5" s="434"/>
      <c r="G5" s="434"/>
      <c r="H5" s="435"/>
      <c r="I5" s="244"/>
    </row>
    <row r="6" spans="1:11" s="245" customFormat="1" ht="14.25" customHeight="1">
      <c r="A6" s="438" t="s">
        <v>31</v>
      </c>
      <c r="B6" s="436"/>
      <c r="C6" s="436" t="str">
        <f>VLOOKUP('DATA SHEET'!$D$11,' Garden Suites PL'!C6:F28,1,FALSE)</f>
        <v>GA</v>
      </c>
      <c r="D6" s="436"/>
      <c r="E6" s="436"/>
      <c r="F6" s="436"/>
      <c r="G6" s="436"/>
      <c r="H6" s="437"/>
      <c r="I6" s="246"/>
    </row>
    <row r="7" spans="1:11" s="245" customFormat="1" ht="14.25" customHeight="1">
      <c r="A7" s="438" t="s">
        <v>37</v>
      </c>
      <c r="B7" s="436"/>
      <c r="C7" s="440">
        <f>VLOOKUP('DATA SHEET'!D11,' Garden Suites PL'!C6:F28,3,FALSE)</f>
        <v>67.900000000000006</v>
      </c>
      <c r="D7" s="440"/>
      <c r="E7" s="440"/>
      <c r="F7" s="440"/>
      <c r="G7" s="440"/>
      <c r="H7" s="441"/>
      <c r="I7" s="247"/>
    </row>
    <row r="8" spans="1:11" s="245" customFormat="1" ht="14.25" customHeight="1">
      <c r="A8" s="438" t="s">
        <v>352</v>
      </c>
      <c r="B8" s="436"/>
      <c r="C8" s="440" t="str">
        <f>VLOOKUP('DATA SHEET'!D11,' Garden Suites PL'!C6:D28,2,0)</f>
        <v>1-Bedroom Terrace Suite</v>
      </c>
      <c r="D8" s="440"/>
      <c r="E8" s="440"/>
      <c r="F8" s="440"/>
      <c r="G8" s="440"/>
      <c r="H8" s="441"/>
      <c r="I8" s="247"/>
    </row>
    <row r="9" spans="1:11" s="245" customFormat="1">
      <c r="A9" s="438" t="s">
        <v>356</v>
      </c>
      <c r="B9" s="436"/>
      <c r="C9" s="442">
        <f>VLOOKUP('DATA SHEET'!D11,' Garden Suites PL'!C6:G28,5,0)</f>
        <v>9961680</v>
      </c>
      <c r="D9" s="442"/>
      <c r="E9" s="442"/>
      <c r="F9" s="442"/>
      <c r="G9" s="442"/>
      <c r="H9" s="443"/>
      <c r="I9" s="248"/>
    </row>
    <row r="10" spans="1:11" s="245" customFormat="1" ht="12.75" customHeight="1">
      <c r="A10" s="450" t="s">
        <v>33</v>
      </c>
      <c r="B10" s="451"/>
      <c r="C10" s="444" t="s">
        <v>307</v>
      </c>
      <c r="D10" s="444"/>
      <c r="E10" s="444"/>
      <c r="F10" s="444"/>
      <c r="G10" s="444"/>
      <c r="H10" s="445"/>
      <c r="I10" s="249"/>
    </row>
    <row r="11" spans="1:11"/>
    <row r="12" spans="1:11">
      <c r="A12" s="230" t="s">
        <v>55</v>
      </c>
      <c r="B12" s="230"/>
      <c r="J12" s="250"/>
    </row>
    <row r="13" spans="1:11">
      <c r="A13" s="233" t="s">
        <v>359</v>
      </c>
      <c r="D13" s="251">
        <f>(C9-650000)</f>
        <v>9311680</v>
      </c>
      <c r="E13" s="252" t="str">
        <f>LEFT(C8,9)</f>
        <v>1-Bedroom</v>
      </c>
      <c r="F13" s="252"/>
      <c r="G13" s="253"/>
      <c r="H13" s="254"/>
      <c r="I13" s="254"/>
      <c r="J13" s="255"/>
    </row>
    <row r="14" spans="1:11">
      <c r="A14" s="228" t="s">
        <v>71</v>
      </c>
      <c r="B14" s="228"/>
      <c r="C14" s="368">
        <v>0.15</v>
      </c>
      <c r="D14" s="256">
        <f>IF(C14&lt;=15%,(D13*C14),"BEYOND MAX DISC.")</f>
        <v>1396752</v>
      </c>
      <c r="E14" s="257"/>
      <c r="F14" s="257"/>
      <c r="G14" s="258"/>
      <c r="H14" s="254"/>
      <c r="I14" s="254"/>
      <c r="J14" s="255"/>
    </row>
    <row r="15" spans="1:11">
      <c r="A15" s="228" t="s">
        <v>378</v>
      </c>
      <c r="B15" s="228"/>
      <c r="C15" s="368">
        <v>0.02</v>
      </c>
      <c r="D15" s="256">
        <f>IF(C15&lt;=2%,((D13-D14)*C15),"BEYOND MAX DISC.")</f>
        <v>158298.56</v>
      </c>
      <c r="E15" s="257"/>
      <c r="F15" s="257"/>
      <c r="G15" s="258"/>
      <c r="H15" s="259"/>
      <c r="I15" s="254"/>
      <c r="J15" s="255"/>
    </row>
    <row r="16" spans="1:11" s="199" customFormat="1">
      <c r="A16" s="228" t="s">
        <v>379</v>
      </c>
      <c r="B16" s="220"/>
      <c r="C16" s="227"/>
      <c r="D16" s="328">
        <v>230000</v>
      </c>
      <c r="E16" s="257"/>
      <c r="F16" s="257"/>
      <c r="G16" s="258"/>
      <c r="H16" s="259"/>
      <c r="I16" s="254"/>
      <c r="J16" s="255"/>
      <c r="K16" s="233"/>
    </row>
    <row r="17" spans="1:11" s="199" customFormat="1">
      <c r="A17" s="233" t="s">
        <v>360</v>
      </c>
      <c r="B17" s="233"/>
      <c r="C17" s="233"/>
      <c r="D17" s="251">
        <f>D13-SUM(D14:D16)</f>
        <v>7526629.4399999995</v>
      </c>
      <c r="E17" s="260"/>
      <c r="F17" s="260"/>
      <c r="G17" s="261"/>
      <c r="H17" s="254"/>
      <c r="I17" s="254"/>
      <c r="J17" s="255"/>
      <c r="K17" s="233"/>
    </row>
    <row r="18" spans="1:11" s="199" customFormat="1">
      <c r="A18" s="264" t="s">
        <v>302</v>
      </c>
      <c r="B18" s="230"/>
      <c r="C18" s="230"/>
      <c r="D18" s="265">
        <v>650000</v>
      </c>
      <c r="E18" s="233"/>
      <c r="F18" s="233"/>
      <c r="G18" s="230"/>
      <c r="H18" s="233"/>
      <c r="I18" s="233"/>
      <c r="J18" s="233"/>
      <c r="K18" s="233"/>
    </row>
    <row r="19" spans="1:11" s="199" customFormat="1">
      <c r="A19" s="266" t="s">
        <v>362</v>
      </c>
      <c r="B19" s="230"/>
      <c r="C19" s="230"/>
      <c r="D19" s="263">
        <f>+SUM(D17:D18)</f>
        <v>8176629.4399999995</v>
      </c>
      <c r="E19" s="233"/>
      <c r="F19" s="233"/>
      <c r="G19" s="230"/>
      <c r="H19" s="233"/>
      <c r="I19" s="233"/>
      <c r="J19" s="233"/>
      <c r="K19" s="233"/>
    </row>
    <row r="20" spans="1:11" s="199" customFormat="1">
      <c r="A20" s="267" t="s">
        <v>350</v>
      </c>
      <c r="B20" s="267"/>
      <c r="C20" s="268">
        <v>0.05</v>
      </c>
      <c r="D20" s="269">
        <f>(D17/1.12)*C20</f>
        <v>336010.24285714282</v>
      </c>
      <c r="E20" s="233"/>
      <c r="F20" s="233"/>
      <c r="G20" s="230"/>
      <c r="H20" s="233"/>
      <c r="I20" s="233"/>
      <c r="J20" s="233"/>
      <c r="K20" s="233"/>
    </row>
    <row r="21" spans="1:11" s="200" customFormat="1" ht="15" thickBot="1">
      <c r="A21" s="230" t="s">
        <v>58</v>
      </c>
      <c r="B21" s="230"/>
      <c r="C21" s="230"/>
      <c r="D21" s="270">
        <f>+SUM(D19:D20)</f>
        <v>8512639.6828571428</v>
      </c>
      <c r="E21" s="253"/>
      <c r="F21" s="253"/>
      <c r="G21" s="253"/>
      <c r="H21" s="262"/>
      <c r="I21" s="262"/>
      <c r="J21" s="263"/>
      <c r="K21" s="230"/>
    </row>
    <row r="22" spans="1:11" s="199" customFormat="1" ht="15" thickTop="1">
      <c r="A22" s="233"/>
      <c r="B22" s="233"/>
      <c r="C22" s="233"/>
      <c r="D22" s="231"/>
      <c r="E22" s="233"/>
      <c r="F22" s="233"/>
      <c r="G22" s="230"/>
      <c r="H22" s="233"/>
      <c r="I22" s="233"/>
      <c r="J22" s="255"/>
      <c r="K22" s="233"/>
    </row>
    <row r="23" spans="1:11" s="245" customFormat="1" ht="15" customHeight="1">
      <c r="A23" s="271" t="s">
        <v>34</v>
      </c>
      <c r="B23" s="271" t="s">
        <v>347</v>
      </c>
      <c r="C23" s="271" t="s">
        <v>2</v>
      </c>
      <c r="D23" s="271" t="s">
        <v>343</v>
      </c>
      <c r="E23" s="271" t="s">
        <v>363</v>
      </c>
      <c r="F23" s="271" t="s">
        <v>344</v>
      </c>
      <c r="G23" s="272" t="s">
        <v>349</v>
      </c>
      <c r="H23" s="271" t="s">
        <v>345</v>
      </c>
      <c r="J23" s="273"/>
    </row>
    <row r="24" spans="1:11" s="245" customFormat="1" ht="15" customHeight="1">
      <c r="A24" s="274" t="s">
        <v>346</v>
      </c>
      <c r="B24" s="275"/>
      <c r="C24" s="274"/>
      <c r="D24" s="274"/>
      <c r="E24" s="274"/>
      <c r="F24" s="274"/>
      <c r="G24" s="274"/>
      <c r="H24" s="276">
        <f>+D21</f>
        <v>8512639.6828571428</v>
      </c>
      <c r="J24" s="273"/>
    </row>
    <row r="25" spans="1:11" s="245" customFormat="1" ht="15" customHeight="1">
      <c r="A25" s="277">
        <v>0</v>
      </c>
      <c r="B25" s="277"/>
      <c r="C25" s="277" t="s">
        <v>38</v>
      </c>
      <c r="D25" s="278">
        <f ca="1">'DATA SHEET'!D9</f>
        <v>43973</v>
      </c>
      <c r="E25" s="279">
        <f>IF(E13="1-Bedroom",50000,100000)</f>
        <v>50000</v>
      </c>
      <c r="F25" s="279"/>
      <c r="G25" s="280">
        <f>+SUM(E25:F25)</f>
        <v>50000</v>
      </c>
      <c r="H25" s="281">
        <f>D21-G25</f>
        <v>8462639.6828571428</v>
      </c>
      <c r="J25" s="282"/>
    </row>
    <row r="26" spans="1:11" s="245" customFormat="1" ht="15" customHeight="1">
      <c r="A26" s="277">
        <v>1</v>
      </c>
      <c r="B26" s="283">
        <v>0.8</v>
      </c>
      <c r="C26" s="277" t="s">
        <v>259</v>
      </c>
      <c r="D26" s="278">
        <f ca="1">EDATE(D25,1)</f>
        <v>44004</v>
      </c>
      <c r="E26" s="279">
        <f>(D19*80%)-E25</f>
        <v>6491303.5520000001</v>
      </c>
      <c r="F26" s="279">
        <f>($D$20*80%)</f>
        <v>268808.19428571424</v>
      </c>
      <c r="G26" s="280">
        <f>+SUM(E26:F26)</f>
        <v>6760111.7462857142</v>
      </c>
      <c r="H26" s="281">
        <f>H25-G26</f>
        <v>1702527.9365714286</v>
      </c>
      <c r="J26" s="273"/>
    </row>
    <row r="27" spans="1:11" s="245" customFormat="1" ht="15" customHeight="1">
      <c r="A27" s="277">
        <v>60</v>
      </c>
      <c r="B27" s="283">
        <v>0.2</v>
      </c>
      <c r="C27" s="277" t="s">
        <v>180</v>
      </c>
      <c r="D27" s="278">
        <f ca="1">D26+(60*30)</f>
        <v>45804</v>
      </c>
      <c r="E27" s="279">
        <f>D19*0.2</f>
        <v>1635325.888</v>
      </c>
      <c r="F27" s="279">
        <f>D20*0.2</f>
        <v>67202.048571428561</v>
      </c>
      <c r="G27" s="280">
        <f>+SUM(E27:F27)</f>
        <v>1702527.9365714286</v>
      </c>
      <c r="H27" s="281">
        <f>H26-G27</f>
        <v>0</v>
      </c>
      <c r="J27" s="273"/>
    </row>
    <row r="28" spans="1:11" s="245" customFormat="1" ht="15" customHeight="1">
      <c r="A28" s="446" t="s">
        <v>16</v>
      </c>
      <c r="B28" s="447"/>
      <c r="C28" s="447"/>
      <c r="D28" s="448"/>
      <c r="E28" s="284">
        <f>SUM(E25:E27)</f>
        <v>8176629.4400000004</v>
      </c>
      <c r="F28" s="284">
        <f t="shared" ref="F28:G28" si="0">SUM(F25:F27)</f>
        <v>336010.24285714282</v>
      </c>
      <c r="G28" s="284">
        <f t="shared" si="0"/>
        <v>8512639.6828571428</v>
      </c>
      <c r="H28" s="285"/>
      <c r="J28" s="286"/>
    </row>
    <row r="29" spans="1:11">
      <c r="C29" s="287"/>
      <c r="D29" s="288"/>
      <c r="E29" s="289"/>
      <c r="F29" s="289"/>
      <c r="G29" s="289"/>
    </row>
    <row r="30" spans="1:11">
      <c r="A30" s="439" t="s">
        <v>364</v>
      </c>
      <c r="B30" s="439"/>
      <c r="C30" s="439"/>
      <c r="D30" s="439"/>
      <c r="E30" s="439"/>
      <c r="F30" s="439"/>
      <c r="G30" s="439"/>
      <c r="H30" s="439"/>
    </row>
    <row r="31" spans="1:11" ht="29.25" customHeight="1">
      <c r="A31" s="449" t="s">
        <v>365</v>
      </c>
      <c r="B31" s="449"/>
      <c r="C31" s="449"/>
      <c r="D31" s="449"/>
      <c r="E31" s="449"/>
      <c r="F31" s="449"/>
      <c r="G31" s="449"/>
      <c r="H31" s="449"/>
    </row>
    <row r="32" spans="1:11" ht="16.5" customHeight="1">
      <c r="A32" s="439" t="s">
        <v>366</v>
      </c>
      <c r="B32" s="439"/>
      <c r="C32" s="439"/>
      <c r="D32" s="439"/>
      <c r="E32" s="439"/>
      <c r="F32" s="439"/>
      <c r="G32" s="439"/>
      <c r="H32" s="439"/>
    </row>
    <row r="33" spans="1:8" ht="16.5" customHeight="1">
      <c r="A33" s="439" t="s">
        <v>367</v>
      </c>
      <c r="B33" s="439"/>
      <c r="C33" s="439"/>
      <c r="D33" s="439"/>
      <c r="E33" s="439"/>
      <c r="F33" s="439"/>
      <c r="G33" s="439"/>
      <c r="H33" s="439"/>
    </row>
    <row r="34" spans="1:8" ht="16.5" customHeight="1">
      <c r="A34" s="439" t="s">
        <v>368</v>
      </c>
      <c r="B34" s="439"/>
      <c r="C34" s="439"/>
      <c r="D34" s="439"/>
      <c r="E34" s="439"/>
      <c r="F34" s="439"/>
      <c r="G34" s="439"/>
      <c r="H34" s="439"/>
    </row>
    <row r="35" spans="1:8" ht="118.5" customHeight="1">
      <c r="A35" s="439" t="s">
        <v>369</v>
      </c>
      <c r="B35" s="439"/>
      <c r="C35" s="439"/>
      <c r="D35" s="439"/>
      <c r="E35" s="439"/>
      <c r="F35" s="439"/>
      <c r="G35" s="439"/>
      <c r="H35" s="439"/>
    </row>
    <row r="36" spans="1:8" ht="42" customHeight="1">
      <c r="A36" s="439" t="s">
        <v>370</v>
      </c>
      <c r="B36" s="439"/>
      <c r="C36" s="439"/>
      <c r="D36" s="439"/>
      <c r="E36" s="439"/>
      <c r="F36" s="439"/>
      <c r="G36" s="439"/>
      <c r="H36" s="439"/>
    </row>
    <row r="37" spans="1:8" ht="29.25" customHeight="1">
      <c r="A37" s="439" t="s">
        <v>371</v>
      </c>
      <c r="B37" s="439"/>
      <c r="C37" s="439"/>
      <c r="D37" s="439"/>
      <c r="E37" s="439"/>
      <c r="F37" s="439"/>
      <c r="G37" s="439"/>
      <c r="H37" s="439"/>
    </row>
    <row r="38" spans="1:8">
      <c r="A38" s="439"/>
      <c r="B38" s="439"/>
      <c r="C38" s="439"/>
      <c r="D38" s="439"/>
      <c r="E38" s="439"/>
      <c r="F38" s="439"/>
      <c r="G38" s="439"/>
      <c r="H38" s="439"/>
    </row>
    <row r="39" spans="1:8">
      <c r="A39" s="233" t="s">
        <v>17</v>
      </c>
    </row>
    <row r="40" spans="1:8"/>
    <row r="41" spans="1:8" ht="15" customHeight="1">
      <c r="A41" s="290"/>
      <c r="B41" s="290"/>
      <c r="C41" s="290"/>
      <c r="E41" s="290"/>
      <c r="F41" s="290"/>
      <c r="G41" s="291"/>
    </row>
    <row r="42" spans="1:8">
      <c r="A42" s="452" t="s">
        <v>355</v>
      </c>
      <c r="B42" s="452"/>
      <c r="C42" s="452"/>
      <c r="E42" s="452" t="s">
        <v>18</v>
      </c>
      <c r="F42" s="452"/>
      <c r="G42" s="452"/>
    </row>
    <row r="43" spans="1:8"/>
  </sheetData>
  <sheetProtection password="CAF1" sheet="1" objects="1" scenarios="1" selectLockedCells="1"/>
  <mergeCells count="23">
    <mergeCell ref="A42:C42"/>
    <mergeCell ref="E42:G42"/>
    <mergeCell ref="A32:H32"/>
    <mergeCell ref="A33:H33"/>
    <mergeCell ref="A34:H34"/>
    <mergeCell ref="A35:H35"/>
    <mergeCell ref="A36:H36"/>
    <mergeCell ref="C5:H5"/>
    <mergeCell ref="C6:H6"/>
    <mergeCell ref="A8:B8"/>
    <mergeCell ref="A37:H37"/>
    <mergeCell ref="A38:H38"/>
    <mergeCell ref="C7:H7"/>
    <mergeCell ref="C8:H8"/>
    <mergeCell ref="C9:H9"/>
    <mergeCell ref="C10:H10"/>
    <mergeCell ref="A6:B6"/>
    <mergeCell ref="A7:B7"/>
    <mergeCell ref="A28:D28"/>
    <mergeCell ref="A30:H30"/>
    <mergeCell ref="A31:H31"/>
    <mergeCell ref="A9:B9"/>
    <mergeCell ref="A10:B10"/>
  </mergeCells>
  <hyperlinks>
    <hyperlink ref="C1" location="'DATA SHEET'!A1" display="HIGHLANDS PRIME, INC." xr:uid="{00000000-0004-0000-0F00-000000000000}"/>
    <hyperlink ref="J3" location="'DATA SHEET'!A1" display="Return to Data Sheet" xr:uid="{00000000-0004-0000-0F00-000001000000}"/>
  </hyperlinks>
  <pageMargins left="0.7" right="0.7" top="0.75" bottom="0.75" header="0.3" footer="0.3"/>
  <pageSetup paperSize="14" scale="86" orientation="portrait" r:id="rId1"/>
  <headerFooter>
    <oddFooter>Page &amp;P of &amp;N</oddFooter>
  </headerFooter>
  <ignoredErrors>
    <ignoredError sqref="D20"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rgb="FFF7941D"/>
    <pageSetUpPr fitToPage="1"/>
  </sheetPr>
  <dimension ref="A1:L88"/>
  <sheetViews>
    <sheetView topLeftCell="A10" workbookViewId="0">
      <selection activeCell="D16" sqref="D16"/>
    </sheetView>
  </sheetViews>
  <sheetFormatPr baseColWidth="10" defaultColWidth="0" defaultRowHeight="14" zeroHeight="1"/>
  <cols>
    <col min="1" max="1" width="11.83203125" style="233" customWidth="1"/>
    <col min="2" max="2" width="11.5" style="233" customWidth="1"/>
    <col min="3" max="3" width="23.6640625" style="233" customWidth="1"/>
    <col min="4" max="4" width="11.83203125" style="231" bestFit="1" customWidth="1"/>
    <col min="5" max="5" width="12.5" style="233" bestFit="1" customWidth="1"/>
    <col min="6" max="6" width="13.6640625" style="233" bestFit="1" customWidth="1"/>
    <col min="7" max="7" width="13.5" style="230" bestFit="1" customWidth="1"/>
    <col min="8" max="8" width="16.5" style="233" bestFit="1" customWidth="1"/>
    <col min="9" max="9" width="12.5" style="233" bestFit="1" customWidth="1"/>
    <col min="10" max="12" width="9.1640625" style="233" customWidth="1"/>
    <col min="13" max="16384" width="9.1640625" style="233" hidden="1"/>
  </cols>
  <sheetData>
    <row r="1" spans="1:12" ht="12.75" customHeight="1">
      <c r="C1" s="240" t="s">
        <v>35</v>
      </c>
      <c r="H1" s="466" t="s">
        <v>66</v>
      </c>
    </row>
    <row r="2" spans="1:12">
      <c r="C2" s="230" t="s">
        <v>348</v>
      </c>
      <c r="H2" s="466"/>
    </row>
    <row r="3" spans="1:12">
      <c r="C3" s="230" t="s">
        <v>36</v>
      </c>
      <c r="J3" s="311" t="s">
        <v>305</v>
      </c>
    </row>
    <row r="4" spans="1:12"/>
    <row r="5" spans="1:12" s="245" customFormat="1" ht="14.25" customHeight="1">
      <c r="A5" s="242" t="s">
        <v>0</v>
      </c>
      <c r="B5" s="243"/>
      <c r="C5" s="434" t="str">
        <f>'DATA SHEET'!D10</f>
        <v xml:space="preserve"> </v>
      </c>
      <c r="D5" s="434"/>
      <c r="E5" s="434"/>
      <c r="F5" s="434"/>
      <c r="G5" s="434"/>
      <c r="H5" s="435"/>
    </row>
    <row r="6" spans="1:12">
      <c r="A6" s="467" t="s">
        <v>31</v>
      </c>
      <c r="B6" s="456"/>
      <c r="C6" s="456" t="str">
        <f>VLOOKUP('DATA SHEET'!$D$11,' Garden Suites PL'!C6:F28,1,FALSE)</f>
        <v>GA</v>
      </c>
      <c r="D6" s="456"/>
      <c r="E6" s="456"/>
      <c r="F6" s="456"/>
      <c r="G6" s="456"/>
      <c r="H6" s="457"/>
    </row>
    <row r="7" spans="1:12">
      <c r="A7" s="467" t="s">
        <v>37</v>
      </c>
      <c r="B7" s="456"/>
      <c r="C7" s="458">
        <f>VLOOKUP('DATA SHEET'!D11,' Garden Suites PL'!C6:F28,3,FALSE)</f>
        <v>67.900000000000006</v>
      </c>
      <c r="D7" s="458"/>
      <c r="E7" s="458"/>
      <c r="F7" s="458"/>
      <c r="G7" s="458"/>
      <c r="H7" s="459"/>
    </row>
    <row r="8" spans="1:12">
      <c r="A8" s="438" t="s">
        <v>352</v>
      </c>
      <c r="B8" s="436"/>
      <c r="C8" s="458" t="str">
        <f>VLOOKUP('DATA SHEET'!D11,' Garden Suites PL'!C6:D28,2,0)</f>
        <v>1-Bedroom Terrace Suite</v>
      </c>
      <c r="D8" s="458"/>
      <c r="E8" s="458"/>
      <c r="F8" s="458"/>
      <c r="G8" s="458"/>
      <c r="H8" s="459"/>
    </row>
    <row r="9" spans="1:12">
      <c r="A9" s="438" t="s">
        <v>356</v>
      </c>
      <c r="B9" s="436"/>
      <c r="C9" s="460">
        <f>VLOOKUP('DATA SHEET'!D11,' Garden Suites PL'!C6:G28,5,0)</f>
        <v>9961680</v>
      </c>
      <c r="D9" s="460"/>
      <c r="E9" s="460"/>
      <c r="F9" s="460"/>
      <c r="G9" s="460"/>
      <c r="H9" s="461"/>
    </row>
    <row r="10" spans="1:12">
      <c r="A10" s="464" t="s">
        <v>33</v>
      </c>
      <c r="B10" s="465"/>
      <c r="C10" s="462" t="str">
        <f>+'DATA SHEET'!B20</f>
        <v>50% DP, 50% over 45 months</v>
      </c>
      <c r="D10" s="462"/>
      <c r="E10" s="462"/>
      <c r="F10" s="462"/>
      <c r="G10" s="462"/>
      <c r="H10" s="463"/>
    </row>
    <row r="11" spans="1:12"/>
    <row r="12" spans="1:12">
      <c r="A12" s="230" t="s">
        <v>55</v>
      </c>
      <c r="B12" s="230"/>
    </row>
    <row r="13" spans="1:12">
      <c r="A13" s="233" t="s">
        <v>359</v>
      </c>
      <c r="D13" s="251">
        <f>(C9-650000)</f>
        <v>9311680</v>
      </c>
      <c r="E13" s="252" t="str">
        <f>LEFT(C8,9)</f>
        <v>1-Bedroom</v>
      </c>
      <c r="F13" s="252"/>
      <c r="G13" s="253"/>
    </row>
    <row r="14" spans="1:12">
      <c r="A14" s="228" t="s">
        <v>71</v>
      </c>
      <c r="B14" s="228"/>
      <c r="C14" s="368">
        <v>7.4999999999999997E-2</v>
      </c>
      <c r="D14" s="256">
        <f>IF(C14&lt;=7.5%,(D13*C14),"BEYOND MAX DISC.")</f>
        <v>698376</v>
      </c>
      <c r="E14" s="257"/>
      <c r="F14" s="257"/>
      <c r="G14" s="258"/>
      <c r="H14" s="257"/>
      <c r="I14" s="257"/>
      <c r="J14" s="254"/>
      <c r="K14" s="254"/>
      <c r="L14" s="255"/>
    </row>
    <row r="15" spans="1:12">
      <c r="A15" s="228" t="s">
        <v>378</v>
      </c>
      <c r="B15" s="228"/>
      <c r="C15" s="368">
        <v>0.02</v>
      </c>
      <c r="D15" s="256">
        <f>IF(C15&lt;=2%,((D13-D14)*C15),"BEYOND MAX DISC.")</f>
        <v>172266.08000000002</v>
      </c>
      <c r="E15" s="257"/>
      <c r="F15" s="257"/>
      <c r="G15" s="258"/>
      <c r="H15" s="257"/>
      <c r="I15" s="257"/>
      <c r="J15" s="259"/>
      <c r="K15" s="254"/>
      <c r="L15" s="255"/>
    </row>
    <row r="16" spans="1:12">
      <c r="A16" s="228" t="s">
        <v>379</v>
      </c>
      <c r="B16" s="228"/>
      <c r="C16" s="227"/>
      <c r="D16" s="328">
        <v>230000</v>
      </c>
      <c r="E16" s="257"/>
      <c r="F16" s="257"/>
      <c r="G16" s="258"/>
      <c r="H16" s="257"/>
      <c r="I16" s="257"/>
      <c r="J16" s="259"/>
      <c r="K16" s="254"/>
      <c r="L16" s="255"/>
    </row>
    <row r="17" spans="1:12">
      <c r="A17" s="233" t="s">
        <v>360</v>
      </c>
      <c r="D17" s="251">
        <f>(D13-SUM(D14:D16))</f>
        <v>8211037.9199999999</v>
      </c>
      <c r="E17" s="305"/>
      <c r="F17" s="305"/>
      <c r="G17" s="306"/>
      <c r="I17" s="307"/>
    </row>
    <row r="18" spans="1:12">
      <c r="A18" s="264" t="s">
        <v>302</v>
      </c>
      <c r="B18" s="228"/>
      <c r="D18" s="265">
        <v>650000</v>
      </c>
      <c r="E18" s="231"/>
      <c r="F18" s="231"/>
      <c r="G18" s="288"/>
      <c r="I18" s="307"/>
    </row>
    <row r="19" spans="1:12">
      <c r="A19" s="266" t="s">
        <v>362</v>
      </c>
      <c r="B19" s="266"/>
      <c r="C19" s="230"/>
      <c r="D19" s="308">
        <f>+SUM(D17:D18)</f>
        <v>8861037.9199999999</v>
      </c>
      <c r="E19" s="231"/>
      <c r="F19" s="231"/>
      <c r="G19" s="288"/>
      <c r="I19" s="307"/>
    </row>
    <row r="20" spans="1:12">
      <c r="A20" s="267" t="s">
        <v>350</v>
      </c>
      <c r="B20" s="267"/>
      <c r="C20" s="229">
        <v>0.05</v>
      </c>
      <c r="D20" s="309">
        <f>(D17/1.12)*C20</f>
        <v>366564.19285714283</v>
      </c>
      <c r="E20" s="252"/>
      <c r="F20" s="252"/>
      <c r="G20" s="253"/>
      <c r="H20" s="252"/>
      <c r="I20" s="252"/>
      <c r="J20" s="254"/>
      <c r="K20" s="254"/>
      <c r="L20" s="255"/>
    </row>
    <row r="21" spans="1:12" ht="15" thickBot="1">
      <c r="A21" s="230" t="s">
        <v>58</v>
      </c>
      <c r="B21" s="230"/>
      <c r="C21" s="230"/>
      <c r="D21" s="270">
        <f>+D19+D20</f>
        <v>9227602.1128571425</v>
      </c>
      <c r="E21" s="252"/>
      <c r="F21" s="252"/>
      <c r="G21" s="253"/>
      <c r="H21" s="252"/>
      <c r="I21" s="252"/>
      <c r="J21" s="254"/>
      <c r="K21" s="254"/>
      <c r="L21" s="255"/>
    </row>
    <row r="22" spans="1:12" ht="15" thickTop="1"/>
    <row r="23" spans="1:12" s="245" customFormat="1" ht="15" customHeight="1">
      <c r="A23" s="271" t="s">
        <v>34</v>
      </c>
      <c r="B23" s="271" t="s">
        <v>347</v>
      </c>
      <c r="C23" s="271" t="s">
        <v>2</v>
      </c>
      <c r="D23" s="271" t="s">
        <v>343</v>
      </c>
      <c r="E23" s="271" t="s">
        <v>363</v>
      </c>
      <c r="F23" s="271" t="s">
        <v>344</v>
      </c>
      <c r="G23" s="272" t="s">
        <v>349</v>
      </c>
      <c r="H23" s="271" t="s">
        <v>345</v>
      </c>
    </row>
    <row r="24" spans="1:12" s="245" customFormat="1" ht="15" customHeight="1">
      <c r="A24" s="453" t="s">
        <v>346</v>
      </c>
      <c r="B24" s="454"/>
      <c r="C24" s="454"/>
      <c r="D24" s="454"/>
      <c r="E24" s="454"/>
      <c r="F24" s="454"/>
      <c r="G24" s="455"/>
      <c r="H24" s="310">
        <f>+D21</f>
        <v>9227602.1128571425</v>
      </c>
    </row>
    <row r="25" spans="1:12" s="245" customFormat="1" ht="15" customHeight="1">
      <c r="A25" s="277">
        <v>0</v>
      </c>
      <c r="B25" s="277"/>
      <c r="C25" s="277" t="s">
        <v>38</v>
      </c>
      <c r="D25" s="278">
        <f ca="1">'DATA SHEET'!D9</f>
        <v>43973</v>
      </c>
      <c r="E25" s="279">
        <f>IF(E13="1-Bedroom",50000,100000)</f>
        <v>50000</v>
      </c>
      <c r="F25" s="279"/>
      <c r="G25" s="280">
        <f>+SUM(E25:F25)</f>
        <v>50000</v>
      </c>
      <c r="H25" s="281">
        <f>D21-G25</f>
        <v>9177602.1128571425</v>
      </c>
    </row>
    <row r="26" spans="1:12" s="245" customFormat="1" ht="15" customHeight="1">
      <c r="A26" s="277">
        <v>1</v>
      </c>
      <c r="B26" s="283">
        <v>0.5</v>
      </c>
      <c r="C26" s="277" t="s">
        <v>259</v>
      </c>
      <c r="D26" s="278">
        <f ca="1">EDATE(D25,1)</f>
        <v>44004</v>
      </c>
      <c r="E26" s="279">
        <f>(D19*50%)-E25</f>
        <v>4380518.96</v>
      </c>
      <c r="F26" s="279">
        <f>(D20*50%)</f>
        <v>183282.09642857141</v>
      </c>
      <c r="G26" s="280">
        <f t="shared" ref="G26:G72" si="0">+SUM(E26:F26)</f>
        <v>4563801.0564285712</v>
      </c>
      <c r="H26" s="281">
        <f>H25-G26</f>
        <v>4613801.0564285712</v>
      </c>
    </row>
    <row r="27" spans="1:12" s="245" customFormat="1" ht="15" customHeight="1">
      <c r="A27" s="277"/>
      <c r="B27" s="283">
        <v>0.5</v>
      </c>
      <c r="C27" s="277" t="s">
        <v>353</v>
      </c>
      <c r="D27" s="278"/>
      <c r="E27" s="279"/>
      <c r="F27" s="279"/>
      <c r="G27" s="280"/>
      <c r="H27" s="281"/>
    </row>
    <row r="28" spans="1:12" s="245" customFormat="1" ht="15" customHeight="1">
      <c r="A28" s="277">
        <v>2</v>
      </c>
      <c r="B28" s="277"/>
      <c r="C28" s="277" t="s">
        <v>4</v>
      </c>
      <c r="D28" s="278">
        <f ca="1">EDATE(D26,1)</f>
        <v>44034</v>
      </c>
      <c r="E28" s="279">
        <f>($D$19*50%)/45</f>
        <v>98455.976888888894</v>
      </c>
      <c r="F28" s="279">
        <f>($D$20*50%)/45</f>
        <v>4072.935476190476</v>
      </c>
      <c r="G28" s="280">
        <f t="shared" si="0"/>
        <v>102528.91236507936</v>
      </c>
      <c r="H28" s="281">
        <f>H26-G28</f>
        <v>4511272.1440634923</v>
      </c>
    </row>
    <row r="29" spans="1:12" s="245" customFormat="1" ht="15" customHeight="1">
      <c r="A29" s="277">
        <v>3</v>
      </c>
      <c r="B29" s="277"/>
      <c r="C29" s="277" t="s">
        <v>5</v>
      </c>
      <c r="D29" s="278">
        <f t="shared" ref="D29:D72" ca="1" si="1">EDATE(D28,1)</f>
        <v>44065</v>
      </c>
      <c r="E29" s="279">
        <f t="shared" ref="E29:E72" si="2">($D$19*50%)/45</f>
        <v>98455.976888888894</v>
      </c>
      <c r="F29" s="279">
        <f t="shared" ref="F29:F72" si="3">($D$20*50%)/45</f>
        <v>4072.935476190476</v>
      </c>
      <c r="G29" s="280">
        <f t="shared" si="0"/>
        <v>102528.91236507936</v>
      </c>
      <c r="H29" s="281">
        <f t="shared" ref="H29:H72" si="4">H28-G29</f>
        <v>4408743.2316984134</v>
      </c>
    </row>
    <row r="30" spans="1:12" s="245" customFormat="1" ht="15" customHeight="1">
      <c r="A30" s="277">
        <v>4</v>
      </c>
      <c r="B30" s="277"/>
      <c r="C30" s="277" t="s">
        <v>6</v>
      </c>
      <c r="D30" s="278">
        <f t="shared" ca="1" si="1"/>
        <v>44096</v>
      </c>
      <c r="E30" s="279">
        <f t="shared" si="2"/>
        <v>98455.976888888894</v>
      </c>
      <c r="F30" s="279">
        <f t="shared" si="3"/>
        <v>4072.935476190476</v>
      </c>
      <c r="G30" s="280">
        <f t="shared" si="0"/>
        <v>102528.91236507936</v>
      </c>
      <c r="H30" s="281">
        <f t="shared" si="4"/>
        <v>4306214.3193333345</v>
      </c>
    </row>
    <row r="31" spans="1:12" s="245" customFormat="1" ht="15" customHeight="1">
      <c r="A31" s="277">
        <v>5</v>
      </c>
      <c r="B31" s="277"/>
      <c r="C31" s="277" t="s">
        <v>7</v>
      </c>
      <c r="D31" s="278">
        <f t="shared" ca="1" si="1"/>
        <v>44126</v>
      </c>
      <c r="E31" s="279">
        <f t="shared" si="2"/>
        <v>98455.976888888894</v>
      </c>
      <c r="F31" s="279">
        <f t="shared" si="3"/>
        <v>4072.935476190476</v>
      </c>
      <c r="G31" s="280">
        <f t="shared" si="0"/>
        <v>102528.91236507936</v>
      </c>
      <c r="H31" s="281">
        <f t="shared" si="4"/>
        <v>4203685.4069682555</v>
      </c>
    </row>
    <row r="32" spans="1:12" s="245" customFormat="1" ht="15" customHeight="1">
      <c r="A32" s="277">
        <v>6</v>
      </c>
      <c r="B32" s="277"/>
      <c r="C32" s="277" t="s">
        <v>8</v>
      </c>
      <c r="D32" s="278">
        <f t="shared" ca="1" si="1"/>
        <v>44157</v>
      </c>
      <c r="E32" s="279">
        <f t="shared" si="2"/>
        <v>98455.976888888894</v>
      </c>
      <c r="F32" s="279">
        <f t="shared" si="3"/>
        <v>4072.935476190476</v>
      </c>
      <c r="G32" s="280">
        <f t="shared" si="0"/>
        <v>102528.91236507936</v>
      </c>
      <c r="H32" s="281">
        <f t="shared" si="4"/>
        <v>4101156.4946031761</v>
      </c>
    </row>
    <row r="33" spans="1:8" s="245" customFormat="1" ht="15" customHeight="1">
      <c r="A33" s="277">
        <v>7</v>
      </c>
      <c r="B33" s="277"/>
      <c r="C33" s="277" t="s">
        <v>9</v>
      </c>
      <c r="D33" s="278">
        <f t="shared" ca="1" si="1"/>
        <v>44187</v>
      </c>
      <c r="E33" s="279">
        <f t="shared" si="2"/>
        <v>98455.976888888894</v>
      </c>
      <c r="F33" s="279">
        <f t="shared" si="3"/>
        <v>4072.935476190476</v>
      </c>
      <c r="G33" s="280">
        <f t="shared" si="0"/>
        <v>102528.91236507936</v>
      </c>
      <c r="H33" s="281">
        <f t="shared" si="4"/>
        <v>3998627.5822380967</v>
      </c>
    </row>
    <row r="34" spans="1:8" s="245" customFormat="1" ht="15" customHeight="1">
      <c r="A34" s="277">
        <v>8</v>
      </c>
      <c r="B34" s="277"/>
      <c r="C34" s="277" t="s">
        <v>10</v>
      </c>
      <c r="D34" s="278">
        <f t="shared" ca="1" si="1"/>
        <v>44218</v>
      </c>
      <c r="E34" s="279">
        <f t="shared" si="2"/>
        <v>98455.976888888894</v>
      </c>
      <c r="F34" s="279">
        <f t="shared" si="3"/>
        <v>4072.935476190476</v>
      </c>
      <c r="G34" s="280">
        <f t="shared" si="0"/>
        <v>102528.91236507936</v>
      </c>
      <c r="H34" s="281">
        <f t="shared" si="4"/>
        <v>3896098.6698730174</v>
      </c>
    </row>
    <row r="35" spans="1:8" s="245" customFormat="1" ht="15" customHeight="1">
      <c r="A35" s="277">
        <v>9</v>
      </c>
      <c r="B35" s="277"/>
      <c r="C35" s="277" t="s">
        <v>11</v>
      </c>
      <c r="D35" s="278">
        <f t="shared" ca="1" si="1"/>
        <v>44249</v>
      </c>
      <c r="E35" s="279">
        <f t="shared" si="2"/>
        <v>98455.976888888894</v>
      </c>
      <c r="F35" s="279">
        <f t="shared" si="3"/>
        <v>4072.935476190476</v>
      </c>
      <c r="G35" s="280">
        <f t="shared" si="0"/>
        <v>102528.91236507936</v>
      </c>
      <c r="H35" s="281">
        <f t="shared" si="4"/>
        <v>3793569.757507938</v>
      </c>
    </row>
    <row r="36" spans="1:8" s="245" customFormat="1" ht="15" customHeight="1">
      <c r="A36" s="277">
        <v>10</v>
      </c>
      <c r="B36" s="277"/>
      <c r="C36" s="277" t="s">
        <v>12</v>
      </c>
      <c r="D36" s="278">
        <f t="shared" ca="1" si="1"/>
        <v>44277</v>
      </c>
      <c r="E36" s="279">
        <f t="shared" si="2"/>
        <v>98455.976888888894</v>
      </c>
      <c r="F36" s="279">
        <f t="shared" si="3"/>
        <v>4072.935476190476</v>
      </c>
      <c r="G36" s="280">
        <f t="shared" si="0"/>
        <v>102528.91236507936</v>
      </c>
      <c r="H36" s="281">
        <f t="shared" si="4"/>
        <v>3691040.8451428586</v>
      </c>
    </row>
    <row r="37" spans="1:8" s="245" customFormat="1" ht="15" customHeight="1">
      <c r="A37" s="277">
        <v>11</v>
      </c>
      <c r="B37" s="277"/>
      <c r="C37" s="277" t="s">
        <v>13</v>
      </c>
      <c r="D37" s="278">
        <f t="shared" ca="1" si="1"/>
        <v>44308</v>
      </c>
      <c r="E37" s="279">
        <f t="shared" si="2"/>
        <v>98455.976888888894</v>
      </c>
      <c r="F37" s="279">
        <f t="shared" si="3"/>
        <v>4072.935476190476</v>
      </c>
      <c r="G37" s="280">
        <f t="shared" si="0"/>
        <v>102528.91236507936</v>
      </c>
      <c r="H37" s="281">
        <f t="shared" si="4"/>
        <v>3588511.9327777792</v>
      </c>
    </row>
    <row r="38" spans="1:8" s="245" customFormat="1" ht="15" customHeight="1">
      <c r="A38" s="277">
        <v>12</v>
      </c>
      <c r="B38" s="277"/>
      <c r="C38" s="277" t="s">
        <v>14</v>
      </c>
      <c r="D38" s="278">
        <f t="shared" ca="1" si="1"/>
        <v>44338</v>
      </c>
      <c r="E38" s="279">
        <f t="shared" si="2"/>
        <v>98455.976888888894</v>
      </c>
      <c r="F38" s="279">
        <f t="shared" si="3"/>
        <v>4072.935476190476</v>
      </c>
      <c r="G38" s="280">
        <f t="shared" si="0"/>
        <v>102528.91236507936</v>
      </c>
      <c r="H38" s="281">
        <f t="shared" si="4"/>
        <v>3485983.0204126998</v>
      </c>
    </row>
    <row r="39" spans="1:8" s="245" customFormat="1" ht="15" customHeight="1">
      <c r="A39" s="277">
        <v>13</v>
      </c>
      <c r="B39" s="277"/>
      <c r="C39" s="277" t="s">
        <v>15</v>
      </c>
      <c r="D39" s="278">
        <f t="shared" ca="1" si="1"/>
        <v>44369</v>
      </c>
      <c r="E39" s="279">
        <f t="shared" si="2"/>
        <v>98455.976888888894</v>
      </c>
      <c r="F39" s="279">
        <f t="shared" si="3"/>
        <v>4072.935476190476</v>
      </c>
      <c r="G39" s="280">
        <f t="shared" si="0"/>
        <v>102528.91236507936</v>
      </c>
      <c r="H39" s="281">
        <f t="shared" si="4"/>
        <v>3383454.1080476204</v>
      </c>
    </row>
    <row r="40" spans="1:8" s="245" customFormat="1" ht="15" customHeight="1">
      <c r="A40" s="277">
        <v>14</v>
      </c>
      <c r="B40" s="277"/>
      <c r="C40" s="277" t="s">
        <v>19</v>
      </c>
      <c r="D40" s="278">
        <f t="shared" ca="1" si="1"/>
        <v>44399</v>
      </c>
      <c r="E40" s="279">
        <f t="shared" si="2"/>
        <v>98455.976888888894</v>
      </c>
      <c r="F40" s="279">
        <f t="shared" si="3"/>
        <v>4072.935476190476</v>
      </c>
      <c r="G40" s="280">
        <f t="shared" si="0"/>
        <v>102528.91236507936</v>
      </c>
      <c r="H40" s="281">
        <f t="shared" si="4"/>
        <v>3280925.195682541</v>
      </c>
    </row>
    <row r="41" spans="1:8" s="245" customFormat="1" ht="15" customHeight="1">
      <c r="A41" s="277">
        <v>15</v>
      </c>
      <c r="B41" s="277"/>
      <c r="C41" s="277" t="s">
        <v>20</v>
      </c>
      <c r="D41" s="278">
        <f t="shared" ca="1" si="1"/>
        <v>44430</v>
      </c>
      <c r="E41" s="279">
        <f t="shared" si="2"/>
        <v>98455.976888888894</v>
      </c>
      <c r="F41" s="279">
        <f t="shared" si="3"/>
        <v>4072.935476190476</v>
      </c>
      <c r="G41" s="280">
        <f t="shared" si="0"/>
        <v>102528.91236507936</v>
      </c>
      <c r="H41" s="281">
        <f t="shared" si="4"/>
        <v>3178396.2833174616</v>
      </c>
    </row>
    <row r="42" spans="1:8" s="245" customFormat="1" ht="15" customHeight="1">
      <c r="A42" s="277">
        <v>16</v>
      </c>
      <c r="B42" s="277"/>
      <c r="C42" s="277" t="s">
        <v>21</v>
      </c>
      <c r="D42" s="278">
        <f t="shared" ca="1" si="1"/>
        <v>44461</v>
      </c>
      <c r="E42" s="279">
        <f t="shared" si="2"/>
        <v>98455.976888888894</v>
      </c>
      <c r="F42" s="279">
        <f t="shared" si="3"/>
        <v>4072.935476190476</v>
      </c>
      <c r="G42" s="280">
        <f t="shared" si="0"/>
        <v>102528.91236507936</v>
      </c>
      <c r="H42" s="281">
        <f t="shared" si="4"/>
        <v>3075867.3709523822</v>
      </c>
    </row>
    <row r="43" spans="1:8" s="245" customFormat="1" ht="15" customHeight="1">
      <c r="A43" s="277">
        <v>17</v>
      </c>
      <c r="B43" s="277"/>
      <c r="C43" s="277" t="s">
        <v>22</v>
      </c>
      <c r="D43" s="278">
        <f t="shared" ca="1" si="1"/>
        <v>44491</v>
      </c>
      <c r="E43" s="279">
        <f t="shared" si="2"/>
        <v>98455.976888888894</v>
      </c>
      <c r="F43" s="279">
        <f t="shared" si="3"/>
        <v>4072.935476190476</v>
      </c>
      <c r="G43" s="280">
        <f t="shared" si="0"/>
        <v>102528.91236507936</v>
      </c>
      <c r="H43" s="281">
        <f t="shared" si="4"/>
        <v>2973338.4585873028</v>
      </c>
    </row>
    <row r="44" spans="1:8" s="245" customFormat="1" ht="15" customHeight="1">
      <c r="A44" s="277">
        <v>18</v>
      </c>
      <c r="B44" s="277"/>
      <c r="C44" s="277" t="s">
        <v>23</v>
      </c>
      <c r="D44" s="278">
        <f t="shared" ca="1" si="1"/>
        <v>44522</v>
      </c>
      <c r="E44" s="279">
        <f t="shared" si="2"/>
        <v>98455.976888888894</v>
      </c>
      <c r="F44" s="279">
        <f t="shared" si="3"/>
        <v>4072.935476190476</v>
      </c>
      <c r="G44" s="280">
        <f t="shared" si="0"/>
        <v>102528.91236507936</v>
      </c>
      <c r="H44" s="281">
        <f t="shared" si="4"/>
        <v>2870809.5462222234</v>
      </c>
    </row>
    <row r="45" spans="1:8" s="245" customFormat="1" ht="15" customHeight="1">
      <c r="A45" s="277">
        <v>19</v>
      </c>
      <c r="B45" s="277"/>
      <c r="C45" s="277" t="s">
        <v>24</v>
      </c>
      <c r="D45" s="278">
        <f t="shared" ca="1" si="1"/>
        <v>44552</v>
      </c>
      <c r="E45" s="279">
        <f t="shared" si="2"/>
        <v>98455.976888888894</v>
      </c>
      <c r="F45" s="279">
        <f t="shared" si="3"/>
        <v>4072.935476190476</v>
      </c>
      <c r="G45" s="280">
        <f t="shared" si="0"/>
        <v>102528.91236507936</v>
      </c>
      <c r="H45" s="281">
        <f t="shared" si="4"/>
        <v>2768280.633857144</v>
      </c>
    </row>
    <row r="46" spans="1:8" s="245" customFormat="1" ht="15" customHeight="1">
      <c r="A46" s="277">
        <v>20</v>
      </c>
      <c r="B46" s="277"/>
      <c r="C46" s="277" t="s">
        <v>25</v>
      </c>
      <c r="D46" s="278">
        <f t="shared" ca="1" si="1"/>
        <v>44583</v>
      </c>
      <c r="E46" s="279">
        <f t="shared" si="2"/>
        <v>98455.976888888894</v>
      </c>
      <c r="F46" s="279">
        <f t="shared" si="3"/>
        <v>4072.935476190476</v>
      </c>
      <c r="G46" s="280">
        <f t="shared" si="0"/>
        <v>102528.91236507936</v>
      </c>
      <c r="H46" s="281">
        <f t="shared" si="4"/>
        <v>2665751.7214920647</v>
      </c>
    </row>
    <row r="47" spans="1:8" s="245" customFormat="1" ht="15" customHeight="1">
      <c r="A47" s="277">
        <v>21</v>
      </c>
      <c r="B47" s="277"/>
      <c r="C47" s="277" t="s">
        <v>26</v>
      </c>
      <c r="D47" s="278">
        <f t="shared" ca="1" si="1"/>
        <v>44614</v>
      </c>
      <c r="E47" s="279">
        <f t="shared" si="2"/>
        <v>98455.976888888894</v>
      </c>
      <c r="F47" s="279">
        <f t="shared" si="3"/>
        <v>4072.935476190476</v>
      </c>
      <c r="G47" s="280">
        <f t="shared" si="0"/>
        <v>102528.91236507936</v>
      </c>
      <c r="H47" s="281">
        <f t="shared" si="4"/>
        <v>2563222.8091269853</v>
      </c>
    </row>
    <row r="48" spans="1:8" s="245" customFormat="1" ht="15" customHeight="1">
      <c r="A48" s="277">
        <v>22</v>
      </c>
      <c r="B48" s="277"/>
      <c r="C48" s="277" t="s">
        <v>27</v>
      </c>
      <c r="D48" s="278">
        <f t="shared" ca="1" si="1"/>
        <v>44642</v>
      </c>
      <c r="E48" s="279">
        <f t="shared" si="2"/>
        <v>98455.976888888894</v>
      </c>
      <c r="F48" s="279">
        <f t="shared" si="3"/>
        <v>4072.935476190476</v>
      </c>
      <c r="G48" s="280">
        <f t="shared" si="0"/>
        <v>102528.91236507936</v>
      </c>
      <c r="H48" s="281">
        <f t="shared" si="4"/>
        <v>2460693.8967619059</v>
      </c>
    </row>
    <row r="49" spans="1:8" s="245" customFormat="1" ht="15" customHeight="1">
      <c r="A49" s="277">
        <v>23</v>
      </c>
      <c r="B49" s="277"/>
      <c r="C49" s="277" t="s">
        <v>28</v>
      </c>
      <c r="D49" s="278">
        <f t="shared" ca="1" si="1"/>
        <v>44673</v>
      </c>
      <c r="E49" s="279">
        <f t="shared" si="2"/>
        <v>98455.976888888894</v>
      </c>
      <c r="F49" s="279">
        <f t="shared" si="3"/>
        <v>4072.935476190476</v>
      </c>
      <c r="G49" s="280">
        <f t="shared" si="0"/>
        <v>102528.91236507936</v>
      </c>
      <c r="H49" s="281">
        <f t="shared" si="4"/>
        <v>2358164.9843968265</v>
      </c>
    </row>
    <row r="50" spans="1:8" s="245" customFormat="1" ht="15" customHeight="1">
      <c r="A50" s="277">
        <v>24</v>
      </c>
      <c r="B50" s="277"/>
      <c r="C50" s="277" t="s">
        <v>29</v>
      </c>
      <c r="D50" s="278">
        <f t="shared" ca="1" si="1"/>
        <v>44703</v>
      </c>
      <c r="E50" s="279">
        <f t="shared" si="2"/>
        <v>98455.976888888894</v>
      </c>
      <c r="F50" s="279">
        <f t="shared" si="3"/>
        <v>4072.935476190476</v>
      </c>
      <c r="G50" s="280">
        <f t="shared" si="0"/>
        <v>102528.91236507936</v>
      </c>
      <c r="H50" s="281">
        <f t="shared" si="4"/>
        <v>2255636.0720317471</v>
      </c>
    </row>
    <row r="51" spans="1:8" s="245" customFormat="1" ht="15" customHeight="1">
      <c r="A51" s="277">
        <v>25</v>
      </c>
      <c r="B51" s="277"/>
      <c r="C51" s="277" t="s">
        <v>30</v>
      </c>
      <c r="D51" s="278">
        <f t="shared" ca="1" si="1"/>
        <v>44734</v>
      </c>
      <c r="E51" s="279">
        <f t="shared" si="2"/>
        <v>98455.976888888894</v>
      </c>
      <c r="F51" s="279">
        <f t="shared" si="3"/>
        <v>4072.935476190476</v>
      </c>
      <c r="G51" s="280">
        <f t="shared" si="0"/>
        <v>102528.91236507936</v>
      </c>
      <c r="H51" s="281">
        <f t="shared" si="4"/>
        <v>2153107.1596666677</v>
      </c>
    </row>
    <row r="52" spans="1:8" s="245" customFormat="1" ht="15" customHeight="1">
      <c r="A52" s="277">
        <v>26</v>
      </c>
      <c r="B52" s="277"/>
      <c r="C52" s="277" t="s">
        <v>48</v>
      </c>
      <c r="D52" s="278">
        <f t="shared" ca="1" si="1"/>
        <v>44764</v>
      </c>
      <c r="E52" s="279">
        <f t="shared" si="2"/>
        <v>98455.976888888894</v>
      </c>
      <c r="F52" s="279">
        <f t="shared" si="3"/>
        <v>4072.935476190476</v>
      </c>
      <c r="G52" s="280">
        <f t="shared" si="0"/>
        <v>102528.91236507936</v>
      </c>
      <c r="H52" s="281">
        <f t="shared" si="4"/>
        <v>2050578.2473015883</v>
      </c>
    </row>
    <row r="53" spans="1:8" s="245" customFormat="1" ht="15" customHeight="1">
      <c r="A53" s="277">
        <v>27</v>
      </c>
      <c r="B53" s="277"/>
      <c r="C53" s="277" t="s">
        <v>49</v>
      </c>
      <c r="D53" s="278">
        <f t="shared" ca="1" si="1"/>
        <v>44795</v>
      </c>
      <c r="E53" s="279">
        <f t="shared" si="2"/>
        <v>98455.976888888894</v>
      </c>
      <c r="F53" s="279">
        <f t="shared" si="3"/>
        <v>4072.935476190476</v>
      </c>
      <c r="G53" s="280">
        <f t="shared" si="0"/>
        <v>102528.91236507936</v>
      </c>
      <c r="H53" s="281">
        <f t="shared" si="4"/>
        <v>1948049.3349365089</v>
      </c>
    </row>
    <row r="54" spans="1:8" s="245" customFormat="1" ht="15" customHeight="1">
      <c r="A54" s="277">
        <v>28</v>
      </c>
      <c r="B54" s="277"/>
      <c r="C54" s="277" t="s">
        <v>50</v>
      </c>
      <c r="D54" s="278">
        <f t="shared" ca="1" si="1"/>
        <v>44826</v>
      </c>
      <c r="E54" s="279">
        <f t="shared" si="2"/>
        <v>98455.976888888894</v>
      </c>
      <c r="F54" s="279">
        <f t="shared" si="3"/>
        <v>4072.935476190476</v>
      </c>
      <c r="G54" s="280">
        <f t="shared" si="0"/>
        <v>102528.91236507936</v>
      </c>
      <c r="H54" s="281">
        <f t="shared" si="4"/>
        <v>1845520.4225714295</v>
      </c>
    </row>
    <row r="55" spans="1:8" s="245" customFormat="1" ht="15" customHeight="1">
      <c r="A55" s="277">
        <v>29</v>
      </c>
      <c r="B55" s="277"/>
      <c r="C55" s="277" t="s">
        <v>51</v>
      </c>
      <c r="D55" s="278">
        <f t="shared" ca="1" si="1"/>
        <v>44856</v>
      </c>
      <c r="E55" s="279">
        <f t="shared" si="2"/>
        <v>98455.976888888894</v>
      </c>
      <c r="F55" s="279">
        <f t="shared" si="3"/>
        <v>4072.935476190476</v>
      </c>
      <c r="G55" s="280">
        <f t="shared" si="0"/>
        <v>102528.91236507936</v>
      </c>
      <c r="H55" s="281">
        <f t="shared" si="4"/>
        <v>1742991.5102063501</v>
      </c>
    </row>
    <row r="56" spans="1:8" s="245" customFormat="1" ht="15" customHeight="1">
      <c r="A56" s="277">
        <v>30</v>
      </c>
      <c r="B56" s="277"/>
      <c r="C56" s="277" t="s">
        <v>52</v>
      </c>
      <c r="D56" s="278">
        <f t="shared" ca="1" si="1"/>
        <v>44887</v>
      </c>
      <c r="E56" s="279">
        <f t="shared" si="2"/>
        <v>98455.976888888894</v>
      </c>
      <c r="F56" s="279">
        <f t="shared" si="3"/>
        <v>4072.935476190476</v>
      </c>
      <c r="G56" s="280">
        <f t="shared" si="0"/>
        <v>102528.91236507936</v>
      </c>
      <c r="H56" s="281">
        <f t="shared" si="4"/>
        <v>1640462.5978412707</v>
      </c>
    </row>
    <row r="57" spans="1:8" s="245" customFormat="1" ht="15" customHeight="1">
      <c r="A57" s="277">
        <v>31</v>
      </c>
      <c r="B57" s="277"/>
      <c r="C57" s="277" t="s">
        <v>53</v>
      </c>
      <c r="D57" s="278">
        <f t="shared" ca="1" si="1"/>
        <v>44917</v>
      </c>
      <c r="E57" s="279">
        <f t="shared" si="2"/>
        <v>98455.976888888894</v>
      </c>
      <c r="F57" s="279">
        <f t="shared" si="3"/>
        <v>4072.935476190476</v>
      </c>
      <c r="G57" s="280">
        <f t="shared" si="0"/>
        <v>102528.91236507936</v>
      </c>
      <c r="H57" s="281">
        <f t="shared" si="4"/>
        <v>1537933.6854761913</v>
      </c>
    </row>
    <row r="58" spans="1:8" s="245" customFormat="1" ht="15" customHeight="1">
      <c r="A58" s="277">
        <v>32</v>
      </c>
      <c r="B58" s="277"/>
      <c r="C58" s="277" t="s">
        <v>92</v>
      </c>
      <c r="D58" s="278">
        <f t="shared" ca="1" si="1"/>
        <v>44948</v>
      </c>
      <c r="E58" s="279">
        <f t="shared" si="2"/>
        <v>98455.976888888894</v>
      </c>
      <c r="F58" s="279">
        <f t="shared" si="3"/>
        <v>4072.935476190476</v>
      </c>
      <c r="G58" s="280">
        <f t="shared" si="0"/>
        <v>102528.91236507936</v>
      </c>
      <c r="H58" s="281">
        <f t="shared" si="4"/>
        <v>1435404.773111112</v>
      </c>
    </row>
    <row r="59" spans="1:8" s="245" customFormat="1" ht="15" customHeight="1">
      <c r="A59" s="277">
        <v>33</v>
      </c>
      <c r="B59" s="277"/>
      <c r="C59" s="277" t="s">
        <v>93</v>
      </c>
      <c r="D59" s="278">
        <f t="shared" ca="1" si="1"/>
        <v>44979</v>
      </c>
      <c r="E59" s="279">
        <f t="shared" si="2"/>
        <v>98455.976888888894</v>
      </c>
      <c r="F59" s="279">
        <f t="shared" si="3"/>
        <v>4072.935476190476</v>
      </c>
      <c r="G59" s="280">
        <f t="shared" si="0"/>
        <v>102528.91236507936</v>
      </c>
      <c r="H59" s="281">
        <f t="shared" si="4"/>
        <v>1332875.8607460326</v>
      </c>
    </row>
    <row r="60" spans="1:8" s="245" customFormat="1" ht="15" customHeight="1">
      <c r="A60" s="277">
        <v>34</v>
      </c>
      <c r="B60" s="277"/>
      <c r="C60" s="277" t="s">
        <v>94</v>
      </c>
      <c r="D60" s="278">
        <f t="shared" ca="1" si="1"/>
        <v>45007</v>
      </c>
      <c r="E60" s="279">
        <f t="shared" si="2"/>
        <v>98455.976888888894</v>
      </c>
      <c r="F60" s="279">
        <f t="shared" si="3"/>
        <v>4072.935476190476</v>
      </c>
      <c r="G60" s="280">
        <f t="shared" si="0"/>
        <v>102528.91236507936</v>
      </c>
      <c r="H60" s="281">
        <f t="shared" si="4"/>
        <v>1230346.9483809532</v>
      </c>
    </row>
    <row r="61" spans="1:8" s="245" customFormat="1" ht="15" customHeight="1">
      <c r="A61" s="277">
        <v>35</v>
      </c>
      <c r="B61" s="277"/>
      <c r="C61" s="277" t="s">
        <v>95</v>
      </c>
      <c r="D61" s="278">
        <f t="shared" ca="1" si="1"/>
        <v>45038</v>
      </c>
      <c r="E61" s="279">
        <f t="shared" si="2"/>
        <v>98455.976888888894</v>
      </c>
      <c r="F61" s="279">
        <f t="shared" si="3"/>
        <v>4072.935476190476</v>
      </c>
      <c r="G61" s="280">
        <f t="shared" si="0"/>
        <v>102528.91236507936</v>
      </c>
      <c r="H61" s="281">
        <f t="shared" si="4"/>
        <v>1127818.0360158738</v>
      </c>
    </row>
    <row r="62" spans="1:8" s="245" customFormat="1" ht="15" customHeight="1">
      <c r="A62" s="277">
        <v>36</v>
      </c>
      <c r="B62" s="277"/>
      <c r="C62" s="277" t="s">
        <v>96</v>
      </c>
      <c r="D62" s="278">
        <f t="shared" ca="1" si="1"/>
        <v>45068</v>
      </c>
      <c r="E62" s="279">
        <f t="shared" si="2"/>
        <v>98455.976888888894</v>
      </c>
      <c r="F62" s="279">
        <f t="shared" si="3"/>
        <v>4072.935476190476</v>
      </c>
      <c r="G62" s="280">
        <f t="shared" si="0"/>
        <v>102528.91236507936</v>
      </c>
      <c r="H62" s="281">
        <f t="shared" si="4"/>
        <v>1025289.1236507944</v>
      </c>
    </row>
    <row r="63" spans="1:8" s="245" customFormat="1" ht="15" customHeight="1">
      <c r="A63" s="277">
        <v>37</v>
      </c>
      <c r="B63" s="277"/>
      <c r="C63" s="277" t="s">
        <v>97</v>
      </c>
      <c r="D63" s="278">
        <f t="shared" ca="1" si="1"/>
        <v>45099</v>
      </c>
      <c r="E63" s="279">
        <f t="shared" si="2"/>
        <v>98455.976888888894</v>
      </c>
      <c r="F63" s="279">
        <f t="shared" si="3"/>
        <v>4072.935476190476</v>
      </c>
      <c r="G63" s="280">
        <f t="shared" si="0"/>
        <v>102528.91236507936</v>
      </c>
      <c r="H63" s="281">
        <f t="shared" si="4"/>
        <v>922760.21128571499</v>
      </c>
    </row>
    <row r="64" spans="1:8" s="245" customFormat="1" ht="15" customHeight="1">
      <c r="A64" s="277">
        <v>38</v>
      </c>
      <c r="B64" s="277"/>
      <c r="C64" s="277" t="s">
        <v>98</v>
      </c>
      <c r="D64" s="278">
        <f t="shared" ca="1" si="1"/>
        <v>45129</v>
      </c>
      <c r="E64" s="279">
        <f t="shared" si="2"/>
        <v>98455.976888888894</v>
      </c>
      <c r="F64" s="279">
        <f t="shared" si="3"/>
        <v>4072.935476190476</v>
      </c>
      <c r="G64" s="280">
        <f t="shared" si="0"/>
        <v>102528.91236507936</v>
      </c>
      <c r="H64" s="281">
        <f t="shared" si="4"/>
        <v>820231.2989206356</v>
      </c>
    </row>
    <row r="65" spans="1:8" s="245" customFormat="1" ht="15" customHeight="1">
      <c r="A65" s="277">
        <v>39</v>
      </c>
      <c r="B65" s="277"/>
      <c r="C65" s="277" t="s">
        <v>99</v>
      </c>
      <c r="D65" s="278">
        <f t="shared" ca="1" si="1"/>
        <v>45160</v>
      </c>
      <c r="E65" s="279">
        <f t="shared" si="2"/>
        <v>98455.976888888894</v>
      </c>
      <c r="F65" s="279">
        <f t="shared" si="3"/>
        <v>4072.935476190476</v>
      </c>
      <c r="G65" s="280">
        <f t="shared" si="0"/>
        <v>102528.91236507936</v>
      </c>
      <c r="H65" s="281">
        <f t="shared" si="4"/>
        <v>717702.38655555621</v>
      </c>
    </row>
    <row r="66" spans="1:8" s="245" customFormat="1" ht="15" customHeight="1">
      <c r="A66" s="277">
        <v>40</v>
      </c>
      <c r="B66" s="277"/>
      <c r="C66" s="277" t="s">
        <v>100</v>
      </c>
      <c r="D66" s="278">
        <f t="shared" ca="1" si="1"/>
        <v>45191</v>
      </c>
      <c r="E66" s="279">
        <f t="shared" si="2"/>
        <v>98455.976888888894</v>
      </c>
      <c r="F66" s="279">
        <f t="shared" si="3"/>
        <v>4072.935476190476</v>
      </c>
      <c r="G66" s="280">
        <f t="shared" si="0"/>
        <v>102528.91236507936</v>
      </c>
      <c r="H66" s="281">
        <f t="shared" si="4"/>
        <v>615173.47419047682</v>
      </c>
    </row>
    <row r="67" spans="1:8" s="245" customFormat="1" ht="15" customHeight="1">
      <c r="A67" s="277">
        <v>41</v>
      </c>
      <c r="B67" s="277"/>
      <c r="C67" s="277" t="s">
        <v>101</v>
      </c>
      <c r="D67" s="278">
        <f t="shared" ca="1" si="1"/>
        <v>45221</v>
      </c>
      <c r="E67" s="279">
        <f t="shared" si="2"/>
        <v>98455.976888888894</v>
      </c>
      <c r="F67" s="279">
        <f t="shared" si="3"/>
        <v>4072.935476190476</v>
      </c>
      <c r="G67" s="280">
        <f t="shared" si="0"/>
        <v>102528.91236507936</v>
      </c>
      <c r="H67" s="281">
        <f t="shared" si="4"/>
        <v>512644.56182539742</v>
      </c>
    </row>
    <row r="68" spans="1:8" s="245" customFormat="1" ht="15" customHeight="1">
      <c r="A68" s="277">
        <v>42</v>
      </c>
      <c r="B68" s="277"/>
      <c r="C68" s="277" t="s">
        <v>102</v>
      </c>
      <c r="D68" s="278">
        <f t="shared" ca="1" si="1"/>
        <v>45252</v>
      </c>
      <c r="E68" s="279">
        <f t="shared" si="2"/>
        <v>98455.976888888894</v>
      </c>
      <c r="F68" s="279">
        <f t="shared" si="3"/>
        <v>4072.935476190476</v>
      </c>
      <c r="G68" s="280">
        <f t="shared" si="0"/>
        <v>102528.91236507936</v>
      </c>
      <c r="H68" s="281">
        <f t="shared" si="4"/>
        <v>410115.64946031803</v>
      </c>
    </row>
    <row r="69" spans="1:8" s="245" customFormat="1" ht="15" customHeight="1">
      <c r="A69" s="277">
        <v>43</v>
      </c>
      <c r="B69" s="277"/>
      <c r="C69" s="277" t="s">
        <v>103</v>
      </c>
      <c r="D69" s="278">
        <f t="shared" ca="1" si="1"/>
        <v>45282</v>
      </c>
      <c r="E69" s="279">
        <f t="shared" si="2"/>
        <v>98455.976888888894</v>
      </c>
      <c r="F69" s="279">
        <f t="shared" si="3"/>
        <v>4072.935476190476</v>
      </c>
      <c r="G69" s="280">
        <f t="shared" si="0"/>
        <v>102528.91236507936</v>
      </c>
      <c r="H69" s="281">
        <f t="shared" si="4"/>
        <v>307586.73709523864</v>
      </c>
    </row>
    <row r="70" spans="1:8" s="245" customFormat="1" ht="15" customHeight="1">
      <c r="A70" s="277">
        <v>44</v>
      </c>
      <c r="B70" s="277"/>
      <c r="C70" s="277" t="s">
        <v>104</v>
      </c>
      <c r="D70" s="278">
        <f t="shared" ca="1" si="1"/>
        <v>45313</v>
      </c>
      <c r="E70" s="279">
        <f t="shared" si="2"/>
        <v>98455.976888888894</v>
      </c>
      <c r="F70" s="279">
        <f t="shared" si="3"/>
        <v>4072.935476190476</v>
      </c>
      <c r="G70" s="280">
        <f t="shared" si="0"/>
        <v>102528.91236507936</v>
      </c>
      <c r="H70" s="281">
        <f t="shared" si="4"/>
        <v>205057.82473015928</v>
      </c>
    </row>
    <row r="71" spans="1:8" s="245" customFormat="1" ht="15" customHeight="1">
      <c r="A71" s="277">
        <v>45</v>
      </c>
      <c r="B71" s="277"/>
      <c r="C71" s="277" t="s">
        <v>105</v>
      </c>
      <c r="D71" s="278">
        <f t="shared" ca="1" si="1"/>
        <v>45344</v>
      </c>
      <c r="E71" s="279">
        <f t="shared" si="2"/>
        <v>98455.976888888894</v>
      </c>
      <c r="F71" s="279">
        <f t="shared" si="3"/>
        <v>4072.935476190476</v>
      </c>
      <c r="G71" s="280">
        <f t="shared" si="0"/>
        <v>102528.91236507936</v>
      </c>
      <c r="H71" s="281">
        <f t="shared" si="4"/>
        <v>102528.91236507992</v>
      </c>
    </row>
    <row r="72" spans="1:8" s="245" customFormat="1" ht="15" customHeight="1">
      <c r="A72" s="277">
        <v>46</v>
      </c>
      <c r="B72" s="277"/>
      <c r="C72" s="277" t="s">
        <v>106</v>
      </c>
      <c r="D72" s="278">
        <f t="shared" ca="1" si="1"/>
        <v>45373</v>
      </c>
      <c r="E72" s="279">
        <f t="shared" si="2"/>
        <v>98455.976888888894</v>
      </c>
      <c r="F72" s="279">
        <f t="shared" si="3"/>
        <v>4072.935476190476</v>
      </c>
      <c r="G72" s="280">
        <f t="shared" si="0"/>
        <v>102528.91236507936</v>
      </c>
      <c r="H72" s="281">
        <f t="shared" si="4"/>
        <v>5.5297277867794037E-10</v>
      </c>
    </row>
    <row r="73" spans="1:8" s="245" customFormat="1" ht="15" customHeight="1">
      <c r="A73" s="446" t="s">
        <v>16</v>
      </c>
      <c r="B73" s="447"/>
      <c r="C73" s="447"/>
      <c r="D73" s="448"/>
      <c r="E73" s="284">
        <f>SUM(E25:E72)</f>
        <v>8861037.9199999869</v>
      </c>
      <c r="F73" s="284">
        <f>SUM(F25:F72)</f>
        <v>366564.19285714254</v>
      </c>
      <c r="G73" s="284">
        <f>SUM(G25:G72)</f>
        <v>9227602.1128571238</v>
      </c>
      <c r="H73" s="285"/>
    </row>
    <row r="74" spans="1:8">
      <c r="C74" s="287"/>
      <c r="D74" s="288"/>
      <c r="E74" s="289"/>
      <c r="F74" s="289"/>
      <c r="G74" s="289"/>
    </row>
    <row r="75" spans="1:8">
      <c r="A75" s="439" t="s">
        <v>364</v>
      </c>
      <c r="B75" s="439"/>
      <c r="C75" s="439"/>
      <c r="D75" s="439"/>
      <c r="E75" s="439"/>
      <c r="F75" s="439"/>
      <c r="G75" s="439"/>
      <c r="H75" s="439"/>
    </row>
    <row r="76" spans="1:8" ht="29.25" customHeight="1">
      <c r="A76" s="449" t="s">
        <v>365</v>
      </c>
      <c r="B76" s="449"/>
      <c r="C76" s="449"/>
      <c r="D76" s="449"/>
      <c r="E76" s="449"/>
      <c r="F76" s="449"/>
      <c r="G76" s="449"/>
      <c r="H76" s="449"/>
    </row>
    <row r="77" spans="1:8" ht="16.5" customHeight="1">
      <c r="A77" s="439" t="s">
        <v>366</v>
      </c>
      <c r="B77" s="439"/>
      <c r="C77" s="439"/>
      <c r="D77" s="439"/>
      <c r="E77" s="439"/>
      <c r="F77" s="439"/>
      <c r="G77" s="439"/>
      <c r="H77" s="439"/>
    </row>
    <row r="78" spans="1:8" ht="16.5" customHeight="1">
      <c r="A78" s="439" t="s">
        <v>367</v>
      </c>
      <c r="B78" s="439"/>
      <c r="C78" s="439"/>
      <c r="D78" s="439"/>
      <c r="E78" s="439"/>
      <c r="F78" s="439"/>
      <c r="G78" s="439"/>
      <c r="H78" s="439"/>
    </row>
    <row r="79" spans="1:8" ht="16.5" customHeight="1">
      <c r="A79" s="439" t="s">
        <v>368</v>
      </c>
      <c r="B79" s="439"/>
      <c r="C79" s="439"/>
      <c r="D79" s="439"/>
      <c r="E79" s="439"/>
      <c r="F79" s="439"/>
      <c r="G79" s="439"/>
      <c r="H79" s="439"/>
    </row>
    <row r="80" spans="1:8" ht="107.25" customHeight="1">
      <c r="A80" s="439" t="s">
        <v>369</v>
      </c>
      <c r="B80" s="439"/>
      <c r="C80" s="439"/>
      <c r="D80" s="439"/>
      <c r="E80" s="439"/>
      <c r="F80" s="439"/>
      <c r="G80" s="439"/>
      <c r="H80" s="439"/>
    </row>
    <row r="81" spans="1:8" ht="44.25" customHeight="1">
      <c r="A81" s="439" t="s">
        <v>370</v>
      </c>
      <c r="B81" s="439"/>
      <c r="C81" s="439"/>
      <c r="D81" s="439"/>
      <c r="E81" s="439"/>
      <c r="F81" s="439"/>
      <c r="G81" s="439"/>
      <c r="H81" s="439"/>
    </row>
    <row r="82" spans="1:8" ht="18.75" customHeight="1">
      <c r="A82" s="439" t="s">
        <v>371</v>
      </c>
      <c r="B82" s="439"/>
      <c r="C82" s="439"/>
      <c r="D82" s="439"/>
      <c r="E82" s="439"/>
      <c r="F82" s="439"/>
      <c r="G82" s="439"/>
      <c r="H82" s="439"/>
    </row>
    <row r="83" spans="1:8">
      <c r="A83" s="439"/>
      <c r="B83" s="439"/>
      <c r="C83" s="439"/>
      <c r="D83" s="439"/>
      <c r="E83" s="439"/>
      <c r="F83" s="439"/>
      <c r="G83" s="439"/>
      <c r="H83" s="439"/>
    </row>
    <row r="84" spans="1:8">
      <c r="A84" s="233" t="s">
        <v>17</v>
      </c>
    </row>
    <row r="85" spans="1:8"/>
    <row r="86" spans="1:8" ht="15" customHeight="1">
      <c r="A86" s="290"/>
      <c r="B86" s="290"/>
      <c r="C86" s="290"/>
      <c r="E86" s="290"/>
      <c r="F86" s="290"/>
      <c r="G86" s="291"/>
    </row>
    <row r="87" spans="1:8">
      <c r="A87" s="452" t="s">
        <v>355</v>
      </c>
      <c r="B87" s="452"/>
      <c r="C87" s="452"/>
      <c r="E87" s="452" t="s">
        <v>18</v>
      </c>
      <c r="F87" s="452"/>
      <c r="G87" s="452"/>
    </row>
    <row r="88" spans="1:8"/>
  </sheetData>
  <sheetProtection password="CAF1" sheet="1" objects="1" scenarios="1" selectLockedCells="1"/>
  <mergeCells count="25">
    <mergeCell ref="A80:H80"/>
    <mergeCell ref="A81:H81"/>
    <mergeCell ref="A82:H82"/>
    <mergeCell ref="A83:H83"/>
    <mergeCell ref="A87:C87"/>
    <mergeCell ref="E87:G87"/>
    <mergeCell ref="H1:H2"/>
    <mergeCell ref="A6:B6"/>
    <mergeCell ref="A7:B7"/>
    <mergeCell ref="A8:B8"/>
    <mergeCell ref="A9:B9"/>
    <mergeCell ref="A73:D73"/>
    <mergeCell ref="A24:G24"/>
    <mergeCell ref="C5:H5"/>
    <mergeCell ref="C6:H6"/>
    <mergeCell ref="C7:H7"/>
    <mergeCell ref="C8:H8"/>
    <mergeCell ref="C9:H9"/>
    <mergeCell ref="C10:H10"/>
    <mergeCell ref="A10:B10"/>
    <mergeCell ref="A75:H75"/>
    <mergeCell ref="A76:H76"/>
    <mergeCell ref="A77:H77"/>
    <mergeCell ref="A78:H78"/>
    <mergeCell ref="A79:H79"/>
  </mergeCells>
  <hyperlinks>
    <hyperlink ref="J3" location="'DATA SHEET'!A1" display="Return to Data Sheet" xr:uid="{00000000-0004-0000-1000-000000000000}"/>
    <hyperlink ref="C1" location="'DATA SHEET'!A1" display="HIGHLANDS PRIME, INC." xr:uid="{00000000-0004-0000-1000-000001000000}"/>
  </hyperlinks>
  <pageMargins left="0.7" right="0.7" top="0.75" bottom="0.75" header="0.3" footer="0.3"/>
  <pageSetup paperSize="14" scale="7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5">
    <tabColor rgb="FFF7941D"/>
    <pageSetUpPr fitToPage="1"/>
  </sheetPr>
  <dimension ref="A1:N96"/>
  <sheetViews>
    <sheetView showGridLines="0" zoomScaleNormal="100" workbookViewId="0">
      <selection activeCell="C15" sqref="C15"/>
    </sheetView>
  </sheetViews>
  <sheetFormatPr baseColWidth="10" defaultColWidth="0" defaultRowHeight="14"/>
  <cols>
    <col min="1" max="1" width="12.33203125" style="37" customWidth="1"/>
    <col min="2" max="2" width="11.6640625" style="38" customWidth="1"/>
    <col min="3" max="3" width="23.6640625" style="37" customWidth="1"/>
    <col min="4" max="4" width="11.83203125" style="38" bestFit="1" customWidth="1"/>
    <col min="5" max="5" width="12.5" style="37" bestFit="1" customWidth="1"/>
    <col min="6" max="6" width="13.6640625" style="37" bestFit="1" customWidth="1"/>
    <col min="7" max="7" width="13.5" style="37" bestFit="1" customWidth="1"/>
    <col min="8" max="8" width="15.6640625" style="37" customWidth="1"/>
    <col min="9" max="9" width="12.5" style="37" bestFit="1" customWidth="1"/>
    <col min="10" max="12" width="9.1640625" style="37" customWidth="1"/>
    <col min="13" max="14" width="0" style="37" hidden="1" customWidth="1"/>
    <col min="15" max="16384" width="9.1640625" style="37" hidden="1"/>
  </cols>
  <sheetData>
    <row r="1" spans="1:14" ht="12.75" customHeight="1">
      <c r="C1" s="240" t="s">
        <v>35</v>
      </c>
      <c r="H1" s="478" t="s">
        <v>66</v>
      </c>
    </row>
    <row r="2" spans="1:14">
      <c r="C2" s="230" t="s">
        <v>348</v>
      </c>
      <c r="H2" s="478"/>
    </row>
    <row r="3" spans="1:14">
      <c r="C3" s="230" t="s">
        <v>36</v>
      </c>
    </row>
    <row r="4" spans="1:14">
      <c r="J4" s="311" t="s">
        <v>305</v>
      </c>
    </row>
    <row r="5" spans="1:14">
      <c r="A5" s="312" t="s">
        <v>0</v>
      </c>
      <c r="B5" s="313"/>
      <c r="C5" s="468" t="str">
        <f>'DATA SHEET'!D10</f>
        <v xml:space="preserve"> </v>
      </c>
      <c r="D5" s="468"/>
      <c r="E5" s="468"/>
      <c r="F5" s="468"/>
      <c r="G5" s="468"/>
      <c r="H5" s="469"/>
    </row>
    <row r="6" spans="1:14">
      <c r="A6" s="479" t="s">
        <v>31</v>
      </c>
      <c r="B6" s="480"/>
      <c r="C6" s="456" t="str">
        <f>VLOOKUP('DATA SHEET'!$D$11,' Garden Suites PL'!C6:F28,1,FALSE)</f>
        <v>GA</v>
      </c>
      <c r="D6" s="456"/>
      <c r="E6" s="456"/>
      <c r="F6" s="456"/>
      <c r="G6" s="456"/>
      <c r="H6" s="457"/>
    </row>
    <row r="7" spans="1:14">
      <c r="A7" s="479" t="s">
        <v>37</v>
      </c>
      <c r="B7" s="480"/>
      <c r="C7" s="470">
        <f>VLOOKUP('DATA SHEET'!D11,' Garden Suites PL'!C6:F28,3,0)</f>
        <v>67.900000000000006</v>
      </c>
      <c r="D7" s="470"/>
      <c r="E7" s="470"/>
      <c r="F7" s="470"/>
      <c r="G7" s="470"/>
      <c r="H7" s="471"/>
    </row>
    <row r="8" spans="1:14">
      <c r="A8" s="438" t="s">
        <v>352</v>
      </c>
      <c r="B8" s="436"/>
      <c r="C8" s="458" t="str">
        <f>VLOOKUP('DATA SHEET'!D11,' Garden Suites PL'!C6:D28,2,0)</f>
        <v>1-Bedroom Terrace Suite</v>
      </c>
      <c r="D8" s="458"/>
      <c r="E8" s="458"/>
      <c r="F8" s="458"/>
      <c r="G8" s="458"/>
      <c r="H8" s="459"/>
    </row>
    <row r="9" spans="1:14">
      <c r="A9" s="438" t="s">
        <v>356</v>
      </c>
      <c r="B9" s="436"/>
      <c r="C9" s="472">
        <f>VLOOKUP('DATA SHEET'!D11,' Garden Suites PL'!C6:H28,5,0)</f>
        <v>9961680</v>
      </c>
      <c r="D9" s="472"/>
      <c r="E9" s="472"/>
      <c r="F9" s="472"/>
      <c r="G9" s="472"/>
      <c r="H9" s="473"/>
    </row>
    <row r="10" spans="1:14">
      <c r="A10" s="476" t="s">
        <v>33</v>
      </c>
      <c r="B10" s="477"/>
      <c r="C10" s="474" t="str">
        <f>+'DATA SHEET'!B21</f>
        <v>20% DP, 80% over 54 months</v>
      </c>
      <c r="D10" s="474"/>
      <c r="E10" s="474"/>
      <c r="F10" s="474"/>
      <c r="G10" s="474"/>
      <c r="H10" s="475"/>
    </row>
    <row r="11" spans="1:14">
      <c r="E11" s="314"/>
    </row>
    <row r="12" spans="1:14">
      <c r="A12" s="39" t="s">
        <v>55</v>
      </c>
      <c r="B12" s="315"/>
    </row>
    <row r="13" spans="1:14">
      <c r="A13" s="233" t="s">
        <v>359</v>
      </c>
      <c r="B13" s="231"/>
      <c r="D13" s="194">
        <f>(C9-650000)</f>
        <v>9311680</v>
      </c>
      <c r="E13" s="316" t="str">
        <f>LEFT(C8,9)</f>
        <v>1-Bedroom</v>
      </c>
      <c r="F13" s="316"/>
      <c r="G13" s="316"/>
      <c r="H13" s="194"/>
    </row>
    <row r="14" spans="1:14" s="233" customFormat="1">
      <c r="A14" s="228" t="s">
        <v>71</v>
      </c>
      <c r="B14" s="317"/>
      <c r="C14" s="368">
        <v>0.02</v>
      </c>
      <c r="D14" s="256">
        <f>IF(C14&lt;=2%,(D13*C14),"BEYOND MAX DISC.")</f>
        <v>186233.60000000001</v>
      </c>
      <c r="E14" s="257"/>
      <c r="F14" s="257"/>
      <c r="G14" s="257"/>
      <c r="H14" s="257"/>
      <c r="I14" s="257"/>
      <c r="J14" s="257"/>
      <c r="K14" s="257"/>
      <c r="L14" s="254"/>
      <c r="M14" s="254"/>
      <c r="N14" s="255"/>
    </row>
    <row r="15" spans="1:14" s="233" customFormat="1">
      <c r="A15" s="228" t="s">
        <v>378</v>
      </c>
      <c r="B15" s="317"/>
      <c r="C15" s="368">
        <v>0.02</v>
      </c>
      <c r="D15" s="256">
        <f>IF(C15&lt;=2%,((D13-D14)*C15),"BEYOND MAX DISC.")</f>
        <v>182508.92800000001</v>
      </c>
      <c r="E15" s="257"/>
      <c r="F15" s="257"/>
      <c r="G15" s="257"/>
      <c r="H15" s="257"/>
      <c r="I15" s="257"/>
      <c r="J15" s="257"/>
      <c r="K15" s="257"/>
      <c r="L15" s="259"/>
      <c r="M15" s="254"/>
      <c r="N15" s="255"/>
    </row>
    <row r="16" spans="1:14" s="233" customFormat="1">
      <c r="A16" s="228" t="s">
        <v>379</v>
      </c>
      <c r="B16" s="317"/>
      <c r="C16" s="228"/>
      <c r="D16" s="328">
        <v>230000</v>
      </c>
      <c r="F16" s="257"/>
      <c r="G16" s="257"/>
      <c r="H16" s="257"/>
      <c r="I16" s="257"/>
      <c r="J16" s="257"/>
      <c r="K16" s="257"/>
      <c r="L16" s="259"/>
      <c r="M16" s="254"/>
      <c r="N16" s="255"/>
    </row>
    <row r="17" spans="1:12" s="233" customFormat="1">
      <c r="A17" s="233" t="s">
        <v>360</v>
      </c>
      <c r="B17" s="231"/>
      <c r="D17" s="251">
        <f>(D13-SUM(D14:D16))</f>
        <v>8712937.4719999991</v>
      </c>
      <c r="E17" s="305"/>
      <c r="F17" s="305"/>
      <c r="G17" s="305"/>
      <c r="H17" s="305"/>
      <c r="I17" s="305"/>
      <c r="K17" s="307"/>
    </row>
    <row r="18" spans="1:12">
      <c r="A18" s="264" t="s">
        <v>302</v>
      </c>
      <c r="D18" s="51">
        <v>650000</v>
      </c>
      <c r="E18" s="38"/>
      <c r="F18" s="38"/>
      <c r="G18" s="38"/>
    </row>
    <row r="19" spans="1:12">
      <c r="A19" s="266" t="s">
        <v>362</v>
      </c>
      <c r="B19" s="288"/>
      <c r="C19" s="39"/>
      <c r="D19" s="318">
        <f>+SUM(D17:D18)</f>
        <v>9362937.4719999991</v>
      </c>
      <c r="E19" s="38"/>
      <c r="F19" s="38"/>
      <c r="G19" s="38"/>
    </row>
    <row r="20" spans="1:12" s="233" customFormat="1">
      <c r="A20" s="267" t="s">
        <v>350</v>
      </c>
      <c r="B20" s="288"/>
      <c r="C20" s="229">
        <v>0.05</v>
      </c>
      <c r="D20" s="319">
        <f>(D17/1.12)*C20</f>
        <v>388970.42285714281</v>
      </c>
      <c r="E20" s="252"/>
      <c r="F20" s="252"/>
      <c r="G20" s="252"/>
      <c r="H20" s="252"/>
      <c r="I20" s="252"/>
      <c r="J20" s="254"/>
      <c r="K20" s="254"/>
      <c r="L20" s="255"/>
    </row>
    <row r="21" spans="1:12" s="233" customFormat="1" ht="15" thickBot="1">
      <c r="A21" s="230" t="s">
        <v>58</v>
      </c>
      <c r="B21" s="288"/>
      <c r="C21" s="230"/>
      <c r="D21" s="270">
        <f>+D19+D20</f>
        <v>9751907.8948571421</v>
      </c>
      <c r="E21" s="252"/>
      <c r="F21" s="252"/>
      <c r="G21" s="252"/>
      <c r="H21" s="252"/>
      <c r="I21" s="252"/>
      <c r="J21" s="254"/>
      <c r="K21" s="254"/>
      <c r="L21" s="255"/>
    </row>
    <row r="22" spans="1:12" ht="15" thickTop="1"/>
    <row r="23" spans="1:12" ht="15" customHeight="1">
      <c r="A23" s="271" t="s">
        <v>34</v>
      </c>
      <c r="B23" s="271" t="s">
        <v>347</v>
      </c>
      <c r="C23" s="271" t="s">
        <v>2</v>
      </c>
      <c r="D23" s="271" t="s">
        <v>343</v>
      </c>
      <c r="E23" s="271" t="s">
        <v>363</v>
      </c>
      <c r="F23" s="271" t="s">
        <v>344</v>
      </c>
      <c r="G23" s="272" t="s">
        <v>349</v>
      </c>
      <c r="H23" s="271" t="s">
        <v>345</v>
      </c>
    </row>
    <row r="24" spans="1:12" ht="15" customHeight="1">
      <c r="A24" s="453" t="s">
        <v>346</v>
      </c>
      <c r="B24" s="454"/>
      <c r="C24" s="454"/>
      <c r="D24" s="454"/>
      <c r="E24" s="454"/>
      <c r="F24" s="454"/>
      <c r="G24" s="455"/>
      <c r="H24" s="310">
        <f>+D21</f>
        <v>9751907.8948571421</v>
      </c>
    </row>
    <row r="25" spans="1:12" ht="15" customHeight="1">
      <c r="A25" s="320">
        <v>0</v>
      </c>
      <c r="B25" s="320"/>
      <c r="C25" s="320" t="s">
        <v>38</v>
      </c>
      <c r="D25" s="321">
        <f ca="1">'DATA SHEET'!D9</f>
        <v>43973</v>
      </c>
      <c r="E25" s="322">
        <f>IF(E13="1-Bedroom",50000,100000)</f>
        <v>50000</v>
      </c>
      <c r="F25" s="322"/>
      <c r="G25" s="323">
        <f>+SUM(E25:F25)</f>
        <v>50000</v>
      </c>
      <c r="H25" s="324">
        <f>D21-G25</f>
        <v>9701907.8948571421</v>
      </c>
    </row>
    <row r="26" spans="1:12" ht="15" customHeight="1">
      <c r="A26" s="320">
        <v>1</v>
      </c>
      <c r="B26" s="325">
        <v>0.2</v>
      </c>
      <c r="C26" s="320" t="s">
        <v>68</v>
      </c>
      <c r="D26" s="321">
        <f ca="1">EDATE(D25,1)</f>
        <v>44004</v>
      </c>
      <c r="E26" s="322">
        <f>(D19*20%)-E25</f>
        <v>1822587.4944</v>
      </c>
      <c r="F26" s="322">
        <f>(D20*20%)</f>
        <v>77794.084571428568</v>
      </c>
      <c r="G26" s="323">
        <f t="shared" ref="G26:G81" si="0">+SUM(E26:F26)</f>
        <v>1900381.5789714286</v>
      </c>
      <c r="H26" s="324">
        <f>H25-G26</f>
        <v>7801526.3158857133</v>
      </c>
    </row>
    <row r="27" spans="1:12" ht="15" customHeight="1">
      <c r="A27" s="320"/>
      <c r="B27" s="325">
        <v>0.8</v>
      </c>
      <c r="C27" s="320" t="s">
        <v>354</v>
      </c>
      <c r="D27" s="321"/>
      <c r="E27" s="322"/>
      <c r="F27" s="322"/>
      <c r="G27" s="323"/>
      <c r="H27" s="324"/>
    </row>
    <row r="28" spans="1:12" ht="15" customHeight="1">
      <c r="A28" s="320">
        <v>2</v>
      </c>
      <c r="B28" s="320"/>
      <c r="C28" s="320" t="s">
        <v>4</v>
      </c>
      <c r="D28" s="321">
        <f ca="1">EDATE(D26,1)</f>
        <v>44034</v>
      </c>
      <c r="E28" s="322">
        <f>($D$19*80%)/54</f>
        <v>138710.18477037037</v>
      </c>
      <c r="F28" s="322">
        <f>($D$20*80%)/54</f>
        <v>5762.5247830687831</v>
      </c>
      <c r="G28" s="323">
        <f t="shared" si="0"/>
        <v>144472.70955343914</v>
      </c>
      <c r="H28" s="324">
        <f>H26-G28</f>
        <v>7657053.6063322742</v>
      </c>
    </row>
    <row r="29" spans="1:12" ht="15" customHeight="1">
      <c r="A29" s="320">
        <v>3</v>
      </c>
      <c r="B29" s="320"/>
      <c r="C29" s="320" t="s">
        <v>5</v>
      </c>
      <c r="D29" s="321">
        <f t="shared" ref="D29:D81" ca="1" si="1">EDATE(D28,1)</f>
        <v>44065</v>
      </c>
      <c r="E29" s="322">
        <f t="shared" ref="E29:E80" si="2">($D$19*80%)/54</f>
        <v>138710.18477037037</v>
      </c>
      <c r="F29" s="322">
        <f t="shared" ref="F29:F81" si="3">($D$20*80%)/54</f>
        <v>5762.5247830687831</v>
      </c>
      <c r="G29" s="323">
        <f t="shared" si="0"/>
        <v>144472.70955343914</v>
      </c>
      <c r="H29" s="324">
        <f t="shared" ref="H29:H81" si="4">H28-G29</f>
        <v>7512580.896778835</v>
      </c>
    </row>
    <row r="30" spans="1:12" ht="15" customHeight="1">
      <c r="A30" s="320">
        <v>4</v>
      </c>
      <c r="B30" s="320"/>
      <c r="C30" s="320" t="s">
        <v>6</v>
      </c>
      <c r="D30" s="321">
        <f t="shared" ca="1" si="1"/>
        <v>44096</v>
      </c>
      <c r="E30" s="322">
        <f t="shared" si="2"/>
        <v>138710.18477037037</v>
      </c>
      <c r="F30" s="322">
        <f t="shared" si="3"/>
        <v>5762.5247830687831</v>
      </c>
      <c r="G30" s="323">
        <f t="shared" si="0"/>
        <v>144472.70955343914</v>
      </c>
      <c r="H30" s="324">
        <f t="shared" si="4"/>
        <v>7368108.1872253958</v>
      </c>
    </row>
    <row r="31" spans="1:12" ht="15" customHeight="1">
      <c r="A31" s="320">
        <v>5</v>
      </c>
      <c r="B31" s="320"/>
      <c r="C31" s="320" t="s">
        <v>7</v>
      </c>
      <c r="D31" s="321">
        <f t="shared" ca="1" si="1"/>
        <v>44126</v>
      </c>
      <c r="E31" s="322">
        <f t="shared" si="2"/>
        <v>138710.18477037037</v>
      </c>
      <c r="F31" s="322">
        <f t="shared" si="3"/>
        <v>5762.5247830687831</v>
      </c>
      <c r="G31" s="323">
        <f t="shared" si="0"/>
        <v>144472.70955343914</v>
      </c>
      <c r="H31" s="324">
        <f t="shared" si="4"/>
        <v>7223635.4776719566</v>
      </c>
    </row>
    <row r="32" spans="1:12" ht="15" customHeight="1">
      <c r="A32" s="320">
        <v>6</v>
      </c>
      <c r="B32" s="320"/>
      <c r="C32" s="320" t="s">
        <v>8</v>
      </c>
      <c r="D32" s="321">
        <f t="shared" ca="1" si="1"/>
        <v>44157</v>
      </c>
      <c r="E32" s="322">
        <f t="shared" si="2"/>
        <v>138710.18477037037</v>
      </c>
      <c r="F32" s="322">
        <f t="shared" si="3"/>
        <v>5762.5247830687831</v>
      </c>
      <c r="G32" s="323">
        <f t="shared" si="0"/>
        <v>144472.70955343914</v>
      </c>
      <c r="H32" s="324">
        <f t="shared" si="4"/>
        <v>7079162.7681185175</v>
      </c>
    </row>
    <row r="33" spans="1:8" ht="15" customHeight="1">
      <c r="A33" s="320">
        <v>7</v>
      </c>
      <c r="B33" s="320"/>
      <c r="C33" s="320" t="s">
        <v>9</v>
      </c>
      <c r="D33" s="321">
        <f t="shared" ca="1" si="1"/>
        <v>44187</v>
      </c>
      <c r="E33" s="322">
        <f t="shared" si="2"/>
        <v>138710.18477037037</v>
      </c>
      <c r="F33" s="322">
        <f t="shared" si="3"/>
        <v>5762.5247830687831</v>
      </c>
      <c r="G33" s="323">
        <f t="shared" si="0"/>
        <v>144472.70955343914</v>
      </c>
      <c r="H33" s="324">
        <f t="shared" si="4"/>
        <v>6934690.0585650783</v>
      </c>
    </row>
    <row r="34" spans="1:8" ht="15" customHeight="1">
      <c r="A34" s="320">
        <v>8</v>
      </c>
      <c r="B34" s="320"/>
      <c r="C34" s="320" t="s">
        <v>10</v>
      </c>
      <c r="D34" s="321">
        <f t="shared" ca="1" si="1"/>
        <v>44218</v>
      </c>
      <c r="E34" s="322">
        <f t="shared" si="2"/>
        <v>138710.18477037037</v>
      </c>
      <c r="F34" s="322">
        <f t="shared" si="3"/>
        <v>5762.5247830687831</v>
      </c>
      <c r="G34" s="323">
        <f t="shared" si="0"/>
        <v>144472.70955343914</v>
      </c>
      <c r="H34" s="324">
        <f t="shared" si="4"/>
        <v>6790217.3490116391</v>
      </c>
    </row>
    <row r="35" spans="1:8" ht="15" customHeight="1">
      <c r="A35" s="320">
        <v>9</v>
      </c>
      <c r="B35" s="320"/>
      <c r="C35" s="320" t="s">
        <v>11</v>
      </c>
      <c r="D35" s="321">
        <f t="shared" ca="1" si="1"/>
        <v>44249</v>
      </c>
      <c r="E35" s="322">
        <f t="shared" si="2"/>
        <v>138710.18477037037</v>
      </c>
      <c r="F35" s="322">
        <f t="shared" si="3"/>
        <v>5762.5247830687831</v>
      </c>
      <c r="G35" s="323">
        <f t="shared" si="0"/>
        <v>144472.70955343914</v>
      </c>
      <c r="H35" s="324">
        <f t="shared" si="4"/>
        <v>6645744.6394582</v>
      </c>
    </row>
    <row r="36" spans="1:8" ht="15" customHeight="1">
      <c r="A36" s="320">
        <v>10</v>
      </c>
      <c r="B36" s="320"/>
      <c r="C36" s="320" t="s">
        <v>12</v>
      </c>
      <c r="D36" s="321">
        <f t="shared" ca="1" si="1"/>
        <v>44277</v>
      </c>
      <c r="E36" s="322">
        <f t="shared" si="2"/>
        <v>138710.18477037037</v>
      </c>
      <c r="F36" s="322">
        <f t="shared" si="3"/>
        <v>5762.5247830687831</v>
      </c>
      <c r="G36" s="323">
        <f t="shared" si="0"/>
        <v>144472.70955343914</v>
      </c>
      <c r="H36" s="324">
        <f t="shared" si="4"/>
        <v>6501271.9299047608</v>
      </c>
    </row>
    <row r="37" spans="1:8" ht="15" customHeight="1">
      <c r="A37" s="320">
        <v>11</v>
      </c>
      <c r="B37" s="320"/>
      <c r="C37" s="320" t="s">
        <v>13</v>
      </c>
      <c r="D37" s="321">
        <f t="shared" ca="1" si="1"/>
        <v>44308</v>
      </c>
      <c r="E37" s="322">
        <f t="shared" si="2"/>
        <v>138710.18477037037</v>
      </c>
      <c r="F37" s="322">
        <f t="shared" si="3"/>
        <v>5762.5247830687831</v>
      </c>
      <c r="G37" s="323">
        <f t="shared" si="0"/>
        <v>144472.70955343914</v>
      </c>
      <c r="H37" s="324">
        <f t="shared" si="4"/>
        <v>6356799.2203513216</v>
      </c>
    </row>
    <row r="38" spans="1:8" ht="15" customHeight="1">
      <c r="A38" s="320">
        <v>12</v>
      </c>
      <c r="B38" s="320"/>
      <c r="C38" s="320" t="s">
        <v>14</v>
      </c>
      <c r="D38" s="321">
        <f t="shared" ca="1" si="1"/>
        <v>44338</v>
      </c>
      <c r="E38" s="322">
        <f t="shared" si="2"/>
        <v>138710.18477037037</v>
      </c>
      <c r="F38" s="322">
        <f t="shared" si="3"/>
        <v>5762.5247830687831</v>
      </c>
      <c r="G38" s="323">
        <f t="shared" si="0"/>
        <v>144472.70955343914</v>
      </c>
      <c r="H38" s="324">
        <f t="shared" si="4"/>
        <v>6212326.5107978825</v>
      </c>
    </row>
    <row r="39" spans="1:8" ht="15" customHeight="1">
      <c r="A39" s="320">
        <v>13</v>
      </c>
      <c r="B39" s="320"/>
      <c r="C39" s="320" t="s">
        <v>15</v>
      </c>
      <c r="D39" s="321">
        <f t="shared" ca="1" si="1"/>
        <v>44369</v>
      </c>
      <c r="E39" s="322">
        <f t="shared" si="2"/>
        <v>138710.18477037037</v>
      </c>
      <c r="F39" s="322">
        <f t="shared" si="3"/>
        <v>5762.5247830687831</v>
      </c>
      <c r="G39" s="323">
        <f t="shared" si="0"/>
        <v>144472.70955343914</v>
      </c>
      <c r="H39" s="324">
        <f t="shared" si="4"/>
        <v>6067853.8012444433</v>
      </c>
    </row>
    <row r="40" spans="1:8" ht="15" customHeight="1">
      <c r="A40" s="320">
        <v>14</v>
      </c>
      <c r="B40" s="320"/>
      <c r="C40" s="320" t="s">
        <v>19</v>
      </c>
      <c r="D40" s="321">
        <f t="shared" ca="1" si="1"/>
        <v>44399</v>
      </c>
      <c r="E40" s="322">
        <f t="shared" si="2"/>
        <v>138710.18477037037</v>
      </c>
      <c r="F40" s="322">
        <f t="shared" si="3"/>
        <v>5762.5247830687831</v>
      </c>
      <c r="G40" s="323">
        <f t="shared" si="0"/>
        <v>144472.70955343914</v>
      </c>
      <c r="H40" s="324">
        <f t="shared" si="4"/>
        <v>5923381.0916910041</v>
      </c>
    </row>
    <row r="41" spans="1:8" ht="15" customHeight="1">
      <c r="A41" s="320">
        <v>15</v>
      </c>
      <c r="B41" s="320"/>
      <c r="C41" s="320" t="s">
        <v>20</v>
      </c>
      <c r="D41" s="321">
        <f t="shared" ca="1" si="1"/>
        <v>44430</v>
      </c>
      <c r="E41" s="322">
        <f t="shared" si="2"/>
        <v>138710.18477037037</v>
      </c>
      <c r="F41" s="322">
        <f t="shared" si="3"/>
        <v>5762.5247830687831</v>
      </c>
      <c r="G41" s="323">
        <f t="shared" si="0"/>
        <v>144472.70955343914</v>
      </c>
      <c r="H41" s="324">
        <f t="shared" si="4"/>
        <v>5778908.3821375649</v>
      </c>
    </row>
    <row r="42" spans="1:8" ht="15" customHeight="1">
      <c r="A42" s="320">
        <v>16</v>
      </c>
      <c r="B42" s="320"/>
      <c r="C42" s="320" t="s">
        <v>21</v>
      </c>
      <c r="D42" s="321">
        <f t="shared" ca="1" si="1"/>
        <v>44461</v>
      </c>
      <c r="E42" s="322">
        <f t="shared" si="2"/>
        <v>138710.18477037037</v>
      </c>
      <c r="F42" s="322">
        <f t="shared" si="3"/>
        <v>5762.5247830687831</v>
      </c>
      <c r="G42" s="323">
        <f t="shared" si="0"/>
        <v>144472.70955343914</v>
      </c>
      <c r="H42" s="324">
        <f t="shared" si="4"/>
        <v>5634435.6725841258</v>
      </c>
    </row>
    <row r="43" spans="1:8" ht="15" customHeight="1">
      <c r="A43" s="320">
        <v>17</v>
      </c>
      <c r="B43" s="320"/>
      <c r="C43" s="320" t="s">
        <v>22</v>
      </c>
      <c r="D43" s="321">
        <f t="shared" ca="1" si="1"/>
        <v>44491</v>
      </c>
      <c r="E43" s="322">
        <f t="shared" si="2"/>
        <v>138710.18477037037</v>
      </c>
      <c r="F43" s="322">
        <f t="shared" si="3"/>
        <v>5762.5247830687831</v>
      </c>
      <c r="G43" s="323">
        <f t="shared" si="0"/>
        <v>144472.70955343914</v>
      </c>
      <c r="H43" s="324">
        <f t="shared" si="4"/>
        <v>5489962.9630306866</v>
      </c>
    </row>
    <row r="44" spans="1:8" ht="15" customHeight="1">
      <c r="A44" s="320">
        <v>18</v>
      </c>
      <c r="B44" s="320"/>
      <c r="C44" s="320" t="s">
        <v>23</v>
      </c>
      <c r="D44" s="321">
        <f t="shared" ca="1" si="1"/>
        <v>44522</v>
      </c>
      <c r="E44" s="322">
        <f t="shared" si="2"/>
        <v>138710.18477037037</v>
      </c>
      <c r="F44" s="322">
        <f t="shared" si="3"/>
        <v>5762.5247830687831</v>
      </c>
      <c r="G44" s="323">
        <f t="shared" si="0"/>
        <v>144472.70955343914</v>
      </c>
      <c r="H44" s="324">
        <f t="shared" si="4"/>
        <v>5345490.2534772474</v>
      </c>
    </row>
    <row r="45" spans="1:8" ht="15" customHeight="1">
      <c r="A45" s="320">
        <v>19</v>
      </c>
      <c r="B45" s="320"/>
      <c r="C45" s="320" t="s">
        <v>24</v>
      </c>
      <c r="D45" s="321">
        <f t="shared" ca="1" si="1"/>
        <v>44552</v>
      </c>
      <c r="E45" s="322">
        <f t="shared" si="2"/>
        <v>138710.18477037037</v>
      </c>
      <c r="F45" s="322">
        <f t="shared" si="3"/>
        <v>5762.5247830687831</v>
      </c>
      <c r="G45" s="323">
        <f t="shared" si="0"/>
        <v>144472.70955343914</v>
      </c>
      <c r="H45" s="324">
        <f t="shared" si="4"/>
        <v>5201017.5439238083</v>
      </c>
    </row>
    <row r="46" spans="1:8" ht="15" customHeight="1">
      <c r="A46" s="320">
        <v>20</v>
      </c>
      <c r="B46" s="320"/>
      <c r="C46" s="320" t="s">
        <v>25</v>
      </c>
      <c r="D46" s="321">
        <f t="shared" ca="1" si="1"/>
        <v>44583</v>
      </c>
      <c r="E46" s="322">
        <f t="shared" si="2"/>
        <v>138710.18477037037</v>
      </c>
      <c r="F46" s="322">
        <f t="shared" si="3"/>
        <v>5762.5247830687831</v>
      </c>
      <c r="G46" s="323">
        <f t="shared" si="0"/>
        <v>144472.70955343914</v>
      </c>
      <c r="H46" s="324">
        <f t="shared" si="4"/>
        <v>5056544.8343703691</v>
      </c>
    </row>
    <row r="47" spans="1:8" ht="15" customHeight="1">
      <c r="A47" s="320">
        <v>21</v>
      </c>
      <c r="B47" s="320"/>
      <c r="C47" s="320" t="s">
        <v>26</v>
      </c>
      <c r="D47" s="321">
        <f t="shared" ca="1" si="1"/>
        <v>44614</v>
      </c>
      <c r="E47" s="322">
        <f t="shared" si="2"/>
        <v>138710.18477037037</v>
      </c>
      <c r="F47" s="322">
        <f t="shared" si="3"/>
        <v>5762.5247830687831</v>
      </c>
      <c r="G47" s="323">
        <f t="shared" si="0"/>
        <v>144472.70955343914</v>
      </c>
      <c r="H47" s="324">
        <f t="shared" si="4"/>
        <v>4912072.1248169299</v>
      </c>
    </row>
    <row r="48" spans="1:8" ht="15" customHeight="1">
      <c r="A48" s="320">
        <v>22</v>
      </c>
      <c r="B48" s="320"/>
      <c r="C48" s="320" t="s">
        <v>27</v>
      </c>
      <c r="D48" s="321">
        <f t="shared" ca="1" si="1"/>
        <v>44642</v>
      </c>
      <c r="E48" s="322">
        <f t="shared" si="2"/>
        <v>138710.18477037037</v>
      </c>
      <c r="F48" s="322">
        <f t="shared" si="3"/>
        <v>5762.5247830687831</v>
      </c>
      <c r="G48" s="323">
        <f t="shared" si="0"/>
        <v>144472.70955343914</v>
      </c>
      <c r="H48" s="324">
        <f t="shared" si="4"/>
        <v>4767599.4152634908</v>
      </c>
    </row>
    <row r="49" spans="1:8" ht="15" customHeight="1">
      <c r="A49" s="320">
        <v>23</v>
      </c>
      <c r="B49" s="320"/>
      <c r="C49" s="320" t="s">
        <v>28</v>
      </c>
      <c r="D49" s="321">
        <f t="shared" ca="1" si="1"/>
        <v>44673</v>
      </c>
      <c r="E49" s="322">
        <f t="shared" si="2"/>
        <v>138710.18477037037</v>
      </c>
      <c r="F49" s="322">
        <f t="shared" si="3"/>
        <v>5762.5247830687831</v>
      </c>
      <c r="G49" s="323">
        <f t="shared" si="0"/>
        <v>144472.70955343914</v>
      </c>
      <c r="H49" s="324">
        <f t="shared" si="4"/>
        <v>4623126.7057100516</v>
      </c>
    </row>
    <row r="50" spans="1:8" ht="15" customHeight="1">
      <c r="A50" s="320">
        <v>24</v>
      </c>
      <c r="B50" s="320"/>
      <c r="C50" s="320" t="s">
        <v>29</v>
      </c>
      <c r="D50" s="321">
        <f t="shared" ca="1" si="1"/>
        <v>44703</v>
      </c>
      <c r="E50" s="322">
        <f t="shared" si="2"/>
        <v>138710.18477037037</v>
      </c>
      <c r="F50" s="322">
        <f t="shared" si="3"/>
        <v>5762.5247830687831</v>
      </c>
      <c r="G50" s="323">
        <f t="shared" si="0"/>
        <v>144472.70955343914</v>
      </c>
      <c r="H50" s="324">
        <f t="shared" si="4"/>
        <v>4478653.9961566124</v>
      </c>
    </row>
    <row r="51" spans="1:8" ht="15" customHeight="1">
      <c r="A51" s="320">
        <v>25</v>
      </c>
      <c r="B51" s="320"/>
      <c r="C51" s="320" t="s">
        <v>30</v>
      </c>
      <c r="D51" s="321">
        <f t="shared" ca="1" si="1"/>
        <v>44734</v>
      </c>
      <c r="E51" s="322">
        <f t="shared" si="2"/>
        <v>138710.18477037037</v>
      </c>
      <c r="F51" s="322">
        <f t="shared" si="3"/>
        <v>5762.5247830687831</v>
      </c>
      <c r="G51" s="323">
        <f t="shared" si="0"/>
        <v>144472.70955343914</v>
      </c>
      <c r="H51" s="324">
        <f t="shared" si="4"/>
        <v>4334181.2866031732</v>
      </c>
    </row>
    <row r="52" spans="1:8" ht="15" customHeight="1">
      <c r="A52" s="320">
        <v>26</v>
      </c>
      <c r="B52" s="320"/>
      <c r="C52" s="320" t="s">
        <v>48</v>
      </c>
      <c r="D52" s="321">
        <f t="shared" ca="1" si="1"/>
        <v>44764</v>
      </c>
      <c r="E52" s="322">
        <f t="shared" si="2"/>
        <v>138710.18477037037</v>
      </c>
      <c r="F52" s="322">
        <f t="shared" si="3"/>
        <v>5762.5247830687831</v>
      </c>
      <c r="G52" s="323">
        <f t="shared" si="0"/>
        <v>144472.70955343914</v>
      </c>
      <c r="H52" s="324">
        <f t="shared" si="4"/>
        <v>4189708.5770497341</v>
      </c>
    </row>
    <row r="53" spans="1:8" ht="15" customHeight="1">
      <c r="A53" s="320">
        <v>27</v>
      </c>
      <c r="B53" s="320"/>
      <c r="C53" s="320" t="s">
        <v>49</v>
      </c>
      <c r="D53" s="321">
        <f t="shared" ca="1" si="1"/>
        <v>44795</v>
      </c>
      <c r="E53" s="322">
        <f t="shared" si="2"/>
        <v>138710.18477037037</v>
      </c>
      <c r="F53" s="322">
        <f t="shared" si="3"/>
        <v>5762.5247830687831</v>
      </c>
      <c r="G53" s="323">
        <f t="shared" si="0"/>
        <v>144472.70955343914</v>
      </c>
      <c r="H53" s="324">
        <f t="shared" si="4"/>
        <v>4045235.8674962949</v>
      </c>
    </row>
    <row r="54" spans="1:8" ht="15" customHeight="1">
      <c r="A54" s="320">
        <v>28</v>
      </c>
      <c r="B54" s="320"/>
      <c r="C54" s="320" t="s">
        <v>50</v>
      </c>
      <c r="D54" s="321">
        <f t="shared" ca="1" si="1"/>
        <v>44826</v>
      </c>
      <c r="E54" s="322">
        <f t="shared" si="2"/>
        <v>138710.18477037037</v>
      </c>
      <c r="F54" s="322">
        <f t="shared" si="3"/>
        <v>5762.5247830687831</v>
      </c>
      <c r="G54" s="323">
        <f t="shared" si="0"/>
        <v>144472.70955343914</v>
      </c>
      <c r="H54" s="324">
        <f t="shared" si="4"/>
        <v>3900763.1579428557</v>
      </c>
    </row>
    <row r="55" spans="1:8" ht="15" customHeight="1">
      <c r="A55" s="320">
        <v>29</v>
      </c>
      <c r="B55" s="320"/>
      <c r="C55" s="320" t="s">
        <v>51</v>
      </c>
      <c r="D55" s="321">
        <f t="shared" ca="1" si="1"/>
        <v>44856</v>
      </c>
      <c r="E55" s="322">
        <f t="shared" si="2"/>
        <v>138710.18477037037</v>
      </c>
      <c r="F55" s="322">
        <f t="shared" si="3"/>
        <v>5762.5247830687831</v>
      </c>
      <c r="G55" s="323">
        <f t="shared" si="0"/>
        <v>144472.70955343914</v>
      </c>
      <c r="H55" s="324">
        <f t="shared" si="4"/>
        <v>3756290.4483894166</v>
      </c>
    </row>
    <row r="56" spans="1:8" ht="15" customHeight="1">
      <c r="A56" s="320">
        <v>30</v>
      </c>
      <c r="B56" s="320"/>
      <c r="C56" s="320" t="s">
        <v>52</v>
      </c>
      <c r="D56" s="321">
        <f t="shared" ca="1" si="1"/>
        <v>44887</v>
      </c>
      <c r="E56" s="322">
        <f t="shared" si="2"/>
        <v>138710.18477037037</v>
      </c>
      <c r="F56" s="322">
        <f t="shared" si="3"/>
        <v>5762.5247830687831</v>
      </c>
      <c r="G56" s="323">
        <f t="shared" si="0"/>
        <v>144472.70955343914</v>
      </c>
      <c r="H56" s="324">
        <f t="shared" si="4"/>
        <v>3611817.7388359774</v>
      </c>
    </row>
    <row r="57" spans="1:8" ht="15" customHeight="1">
      <c r="A57" s="320">
        <v>31</v>
      </c>
      <c r="B57" s="320"/>
      <c r="C57" s="320" t="s">
        <v>53</v>
      </c>
      <c r="D57" s="321">
        <f t="shared" ca="1" si="1"/>
        <v>44917</v>
      </c>
      <c r="E57" s="322">
        <f t="shared" si="2"/>
        <v>138710.18477037037</v>
      </c>
      <c r="F57" s="322">
        <f t="shared" si="3"/>
        <v>5762.5247830687831</v>
      </c>
      <c r="G57" s="323">
        <f t="shared" si="0"/>
        <v>144472.70955343914</v>
      </c>
      <c r="H57" s="324">
        <f t="shared" si="4"/>
        <v>3467345.0292825382</v>
      </c>
    </row>
    <row r="58" spans="1:8" ht="15" customHeight="1">
      <c r="A58" s="320">
        <v>32</v>
      </c>
      <c r="B58" s="320"/>
      <c r="C58" s="320" t="s">
        <v>92</v>
      </c>
      <c r="D58" s="321">
        <f t="shared" ca="1" si="1"/>
        <v>44948</v>
      </c>
      <c r="E58" s="322">
        <f t="shared" si="2"/>
        <v>138710.18477037037</v>
      </c>
      <c r="F58" s="322">
        <f t="shared" si="3"/>
        <v>5762.5247830687831</v>
      </c>
      <c r="G58" s="323">
        <f t="shared" si="0"/>
        <v>144472.70955343914</v>
      </c>
      <c r="H58" s="324">
        <f t="shared" si="4"/>
        <v>3322872.3197290991</v>
      </c>
    </row>
    <row r="59" spans="1:8" ht="15" customHeight="1">
      <c r="A59" s="320">
        <v>33</v>
      </c>
      <c r="B59" s="320"/>
      <c r="C59" s="320" t="s">
        <v>93</v>
      </c>
      <c r="D59" s="321">
        <f t="shared" ca="1" si="1"/>
        <v>44979</v>
      </c>
      <c r="E59" s="322">
        <f t="shared" si="2"/>
        <v>138710.18477037037</v>
      </c>
      <c r="F59" s="322">
        <f t="shared" si="3"/>
        <v>5762.5247830687831</v>
      </c>
      <c r="G59" s="323">
        <f t="shared" si="0"/>
        <v>144472.70955343914</v>
      </c>
      <c r="H59" s="324">
        <f t="shared" si="4"/>
        <v>3178399.6101756599</v>
      </c>
    </row>
    <row r="60" spans="1:8" ht="15" customHeight="1">
      <c r="A60" s="320">
        <v>34</v>
      </c>
      <c r="B60" s="320"/>
      <c r="C60" s="320" t="s">
        <v>94</v>
      </c>
      <c r="D60" s="321">
        <f t="shared" ca="1" si="1"/>
        <v>45007</v>
      </c>
      <c r="E60" s="322">
        <f t="shared" si="2"/>
        <v>138710.18477037037</v>
      </c>
      <c r="F60" s="322">
        <f t="shared" si="3"/>
        <v>5762.5247830687831</v>
      </c>
      <c r="G60" s="323">
        <f t="shared" si="0"/>
        <v>144472.70955343914</v>
      </c>
      <c r="H60" s="324">
        <f t="shared" si="4"/>
        <v>3033926.9006222207</v>
      </c>
    </row>
    <row r="61" spans="1:8" ht="15" customHeight="1">
      <c r="A61" s="320">
        <v>35</v>
      </c>
      <c r="B61" s="320"/>
      <c r="C61" s="320" t="s">
        <v>95</v>
      </c>
      <c r="D61" s="321">
        <f t="shared" ca="1" si="1"/>
        <v>45038</v>
      </c>
      <c r="E61" s="322">
        <f t="shared" si="2"/>
        <v>138710.18477037037</v>
      </c>
      <c r="F61" s="322">
        <f t="shared" si="3"/>
        <v>5762.5247830687831</v>
      </c>
      <c r="G61" s="323">
        <f t="shared" si="0"/>
        <v>144472.70955343914</v>
      </c>
      <c r="H61" s="324">
        <f t="shared" si="4"/>
        <v>2889454.1910687815</v>
      </c>
    </row>
    <row r="62" spans="1:8" ht="15" customHeight="1">
      <c r="A62" s="320">
        <v>36</v>
      </c>
      <c r="B62" s="320"/>
      <c r="C62" s="320" t="s">
        <v>96</v>
      </c>
      <c r="D62" s="321">
        <f t="shared" ca="1" si="1"/>
        <v>45068</v>
      </c>
      <c r="E62" s="322">
        <f t="shared" si="2"/>
        <v>138710.18477037037</v>
      </c>
      <c r="F62" s="322">
        <f t="shared" si="3"/>
        <v>5762.5247830687831</v>
      </c>
      <c r="G62" s="323">
        <f t="shared" si="0"/>
        <v>144472.70955343914</v>
      </c>
      <c r="H62" s="324">
        <f t="shared" si="4"/>
        <v>2744981.4815153424</v>
      </c>
    </row>
    <row r="63" spans="1:8" ht="15" customHeight="1">
      <c r="A63" s="320">
        <v>37</v>
      </c>
      <c r="B63" s="320"/>
      <c r="C63" s="320" t="s">
        <v>97</v>
      </c>
      <c r="D63" s="321">
        <f t="shared" ca="1" si="1"/>
        <v>45099</v>
      </c>
      <c r="E63" s="322">
        <f t="shared" si="2"/>
        <v>138710.18477037037</v>
      </c>
      <c r="F63" s="322">
        <f t="shared" si="3"/>
        <v>5762.5247830687831</v>
      </c>
      <c r="G63" s="323">
        <f t="shared" si="0"/>
        <v>144472.70955343914</v>
      </c>
      <c r="H63" s="324">
        <f t="shared" si="4"/>
        <v>2600508.7719619032</v>
      </c>
    </row>
    <row r="64" spans="1:8" ht="15" customHeight="1">
      <c r="A64" s="320">
        <v>38</v>
      </c>
      <c r="B64" s="320"/>
      <c r="C64" s="320" t="s">
        <v>98</v>
      </c>
      <c r="D64" s="321">
        <f t="shared" ca="1" si="1"/>
        <v>45129</v>
      </c>
      <c r="E64" s="322">
        <f t="shared" si="2"/>
        <v>138710.18477037037</v>
      </c>
      <c r="F64" s="322">
        <f t="shared" si="3"/>
        <v>5762.5247830687831</v>
      </c>
      <c r="G64" s="323">
        <f t="shared" si="0"/>
        <v>144472.70955343914</v>
      </c>
      <c r="H64" s="324">
        <f t="shared" si="4"/>
        <v>2456036.062408464</v>
      </c>
    </row>
    <row r="65" spans="1:8" ht="15" customHeight="1">
      <c r="A65" s="320">
        <v>39</v>
      </c>
      <c r="B65" s="320"/>
      <c r="C65" s="320" t="s">
        <v>99</v>
      </c>
      <c r="D65" s="321">
        <f t="shared" ca="1" si="1"/>
        <v>45160</v>
      </c>
      <c r="E65" s="322">
        <f t="shared" si="2"/>
        <v>138710.18477037037</v>
      </c>
      <c r="F65" s="322">
        <f t="shared" si="3"/>
        <v>5762.5247830687831</v>
      </c>
      <c r="G65" s="323">
        <f t="shared" si="0"/>
        <v>144472.70955343914</v>
      </c>
      <c r="H65" s="324">
        <f t="shared" si="4"/>
        <v>2311563.3528550249</v>
      </c>
    </row>
    <row r="66" spans="1:8" ht="15" customHeight="1">
      <c r="A66" s="320">
        <v>40</v>
      </c>
      <c r="B66" s="320"/>
      <c r="C66" s="320" t="s">
        <v>100</v>
      </c>
      <c r="D66" s="321">
        <f t="shared" ca="1" si="1"/>
        <v>45191</v>
      </c>
      <c r="E66" s="322">
        <f t="shared" si="2"/>
        <v>138710.18477037037</v>
      </c>
      <c r="F66" s="322">
        <f t="shared" si="3"/>
        <v>5762.5247830687831</v>
      </c>
      <c r="G66" s="323">
        <f t="shared" si="0"/>
        <v>144472.70955343914</v>
      </c>
      <c r="H66" s="324">
        <f t="shared" si="4"/>
        <v>2167090.6433015857</v>
      </c>
    </row>
    <row r="67" spans="1:8" ht="15" customHeight="1">
      <c r="A67" s="320">
        <v>41</v>
      </c>
      <c r="B67" s="320"/>
      <c r="C67" s="320" t="s">
        <v>101</v>
      </c>
      <c r="D67" s="321">
        <f t="shared" ca="1" si="1"/>
        <v>45221</v>
      </c>
      <c r="E67" s="322">
        <f t="shared" si="2"/>
        <v>138710.18477037037</v>
      </c>
      <c r="F67" s="322">
        <f t="shared" si="3"/>
        <v>5762.5247830687831</v>
      </c>
      <c r="G67" s="323">
        <f t="shared" si="0"/>
        <v>144472.70955343914</v>
      </c>
      <c r="H67" s="324">
        <f t="shared" si="4"/>
        <v>2022617.9337481465</v>
      </c>
    </row>
    <row r="68" spans="1:8" ht="15" customHeight="1">
      <c r="A68" s="320">
        <v>42</v>
      </c>
      <c r="B68" s="320"/>
      <c r="C68" s="320" t="s">
        <v>102</v>
      </c>
      <c r="D68" s="321">
        <f t="shared" ca="1" si="1"/>
        <v>45252</v>
      </c>
      <c r="E68" s="322">
        <f t="shared" si="2"/>
        <v>138710.18477037037</v>
      </c>
      <c r="F68" s="322">
        <f t="shared" si="3"/>
        <v>5762.5247830687831</v>
      </c>
      <c r="G68" s="323">
        <f t="shared" si="0"/>
        <v>144472.70955343914</v>
      </c>
      <c r="H68" s="324">
        <f t="shared" si="4"/>
        <v>1878145.2241947073</v>
      </c>
    </row>
    <row r="69" spans="1:8" ht="15" customHeight="1">
      <c r="A69" s="320">
        <v>43</v>
      </c>
      <c r="B69" s="320"/>
      <c r="C69" s="320" t="s">
        <v>103</v>
      </c>
      <c r="D69" s="321">
        <f t="shared" ca="1" si="1"/>
        <v>45282</v>
      </c>
      <c r="E69" s="322">
        <f t="shared" si="2"/>
        <v>138710.18477037037</v>
      </c>
      <c r="F69" s="322">
        <f t="shared" si="3"/>
        <v>5762.5247830687831</v>
      </c>
      <c r="G69" s="323">
        <f t="shared" si="0"/>
        <v>144472.70955343914</v>
      </c>
      <c r="H69" s="324">
        <f t="shared" si="4"/>
        <v>1733672.5146412682</v>
      </c>
    </row>
    <row r="70" spans="1:8" ht="15" customHeight="1">
      <c r="A70" s="320">
        <v>44</v>
      </c>
      <c r="B70" s="320"/>
      <c r="C70" s="320" t="s">
        <v>104</v>
      </c>
      <c r="D70" s="321">
        <f t="shared" ca="1" si="1"/>
        <v>45313</v>
      </c>
      <c r="E70" s="322">
        <f t="shared" si="2"/>
        <v>138710.18477037037</v>
      </c>
      <c r="F70" s="322">
        <f t="shared" si="3"/>
        <v>5762.5247830687831</v>
      </c>
      <c r="G70" s="323">
        <f t="shared" si="0"/>
        <v>144472.70955343914</v>
      </c>
      <c r="H70" s="324">
        <f t="shared" si="4"/>
        <v>1589199.805087829</v>
      </c>
    </row>
    <row r="71" spans="1:8" ht="15" customHeight="1">
      <c r="A71" s="320">
        <v>45</v>
      </c>
      <c r="B71" s="320"/>
      <c r="C71" s="320" t="s">
        <v>105</v>
      </c>
      <c r="D71" s="321">
        <f t="shared" ca="1" si="1"/>
        <v>45344</v>
      </c>
      <c r="E71" s="322">
        <f t="shared" si="2"/>
        <v>138710.18477037037</v>
      </c>
      <c r="F71" s="322">
        <f t="shared" si="3"/>
        <v>5762.5247830687831</v>
      </c>
      <c r="G71" s="323">
        <f t="shared" si="0"/>
        <v>144472.70955343914</v>
      </c>
      <c r="H71" s="324">
        <f t="shared" si="4"/>
        <v>1444727.0955343898</v>
      </c>
    </row>
    <row r="72" spans="1:8" ht="15" customHeight="1">
      <c r="A72" s="320">
        <v>46</v>
      </c>
      <c r="B72" s="320"/>
      <c r="C72" s="320" t="s">
        <v>106</v>
      </c>
      <c r="D72" s="321">
        <f t="shared" ca="1" si="1"/>
        <v>45373</v>
      </c>
      <c r="E72" s="322">
        <f t="shared" si="2"/>
        <v>138710.18477037037</v>
      </c>
      <c r="F72" s="322">
        <f t="shared" si="3"/>
        <v>5762.5247830687831</v>
      </c>
      <c r="G72" s="323">
        <f t="shared" si="0"/>
        <v>144472.70955343914</v>
      </c>
      <c r="H72" s="324">
        <f t="shared" si="4"/>
        <v>1300254.3859809507</v>
      </c>
    </row>
    <row r="73" spans="1:8" ht="15" customHeight="1">
      <c r="A73" s="320">
        <v>47</v>
      </c>
      <c r="B73" s="320"/>
      <c r="C73" s="320" t="s">
        <v>107</v>
      </c>
      <c r="D73" s="321">
        <f t="shared" ca="1" si="1"/>
        <v>45404</v>
      </c>
      <c r="E73" s="322">
        <f t="shared" si="2"/>
        <v>138710.18477037037</v>
      </c>
      <c r="F73" s="322">
        <f t="shared" si="3"/>
        <v>5762.5247830687831</v>
      </c>
      <c r="G73" s="323">
        <f t="shared" si="0"/>
        <v>144472.70955343914</v>
      </c>
      <c r="H73" s="324">
        <f t="shared" si="4"/>
        <v>1155781.6764275115</v>
      </c>
    </row>
    <row r="74" spans="1:8" ht="15" customHeight="1">
      <c r="A74" s="320">
        <v>48</v>
      </c>
      <c r="B74" s="320"/>
      <c r="C74" s="320" t="s">
        <v>108</v>
      </c>
      <c r="D74" s="321">
        <f t="shared" ca="1" si="1"/>
        <v>45434</v>
      </c>
      <c r="E74" s="322">
        <f t="shared" si="2"/>
        <v>138710.18477037037</v>
      </c>
      <c r="F74" s="322">
        <f t="shared" si="3"/>
        <v>5762.5247830687831</v>
      </c>
      <c r="G74" s="323">
        <f t="shared" si="0"/>
        <v>144472.70955343914</v>
      </c>
      <c r="H74" s="324">
        <f t="shared" si="4"/>
        <v>1011308.9668740723</v>
      </c>
    </row>
    <row r="75" spans="1:8" ht="15" customHeight="1">
      <c r="A75" s="320">
        <v>49</v>
      </c>
      <c r="B75" s="320"/>
      <c r="C75" s="320" t="s">
        <v>109</v>
      </c>
      <c r="D75" s="321">
        <f t="shared" ca="1" si="1"/>
        <v>45465</v>
      </c>
      <c r="E75" s="322">
        <f t="shared" si="2"/>
        <v>138710.18477037037</v>
      </c>
      <c r="F75" s="322">
        <f t="shared" si="3"/>
        <v>5762.5247830687831</v>
      </c>
      <c r="G75" s="323">
        <f t="shared" si="0"/>
        <v>144472.70955343914</v>
      </c>
      <c r="H75" s="324">
        <f t="shared" si="4"/>
        <v>866836.25732063316</v>
      </c>
    </row>
    <row r="76" spans="1:8" ht="15" customHeight="1">
      <c r="A76" s="320">
        <v>50</v>
      </c>
      <c r="B76" s="320"/>
      <c r="C76" s="320" t="s">
        <v>110</v>
      </c>
      <c r="D76" s="321">
        <f t="shared" ca="1" si="1"/>
        <v>45495</v>
      </c>
      <c r="E76" s="322">
        <f t="shared" si="2"/>
        <v>138710.18477037037</v>
      </c>
      <c r="F76" s="322">
        <f t="shared" si="3"/>
        <v>5762.5247830687831</v>
      </c>
      <c r="G76" s="323">
        <f t="shared" si="0"/>
        <v>144472.70955343914</v>
      </c>
      <c r="H76" s="324">
        <f t="shared" si="4"/>
        <v>722363.54776719399</v>
      </c>
    </row>
    <row r="77" spans="1:8" ht="15" customHeight="1">
      <c r="A77" s="320">
        <v>51</v>
      </c>
      <c r="B77" s="320"/>
      <c r="C77" s="320" t="s">
        <v>111</v>
      </c>
      <c r="D77" s="321">
        <f t="shared" ca="1" si="1"/>
        <v>45526</v>
      </c>
      <c r="E77" s="322">
        <f t="shared" si="2"/>
        <v>138710.18477037037</v>
      </c>
      <c r="F77" s="322">
        <f t="shared" si="3"/>
        <v>5762.5247830687831</v>
      </c>
      <c r="G77" s="323">
        <f t="shared" si="0"/>
        <v>144472.70955343914</v>
      </c>
      <c r="H77" s="324">
        <f t="shared" si="4"/>
        <v>577890.83821375482</v>
      </c>
    </row>
    <row r="78" spans="1:8" ht="15" customHeight="1">
      <c r="A78" s="320">
        <v>52</v>
      </c>
      <c r="B78" s="320"/>
      <c r="C78" s="320" t="s">
        <v>112</v>
      </c>
      <c r="D78" s="321">
        <f t="shared" ca="1" si="1"/>
        <v>45557</v>
      </c>
      <c r="E78" s="322">
        <f t="shared" si="2"/>
        <v>138710.18477037037</v>
      </c>
      <c r="F78" s="322">
        <f t="shared" si="3"/>
        <v>5762.5247830687831</v>
      </c>
      <c r="G78" s="323">
        <f t="shared" si="0"/>
        <v>144472.70955343914</v>
      </c>
      <c r="H78" s="324">
        <f t="shared" si="4"/>
        <v>433418.12866031565</v>
      </c>
    </row>
    <row r="79" spans="1:8" ht="15" customHeight="1">
      <c r="A79" s="320">
        <v>53</v>
      </c>
      <c r="B79" s="320"/>
      <c r="C79" s="320" t="s">
        <v>113</v>
      </c>
      <c r="D79" s="321">
        <f t="shared" ca="1" si="1"/>
        <v>45587</v>
      </c>
      <c r="E79" s="322">
        <f t="shared" si="2"/>
        <v>138710.18477037037</v>
      </c>
      <c r="F79" s="322">
        <f t="shared" si="3"/>
        <v>5762.5247830687831</v>
      </c>
      <c r="G79" s="323">
        <f t="shared" si="0"/>
        <v>144472.70955343914</v>
      </c>
      <c r="H79" s="324">
        <f t="shared" si="4"/>
        <v>288945.41910687648</v>
      </c>
    </row>
    <row r="80" spans="1:8" ht="15" customHeight="1">
      <c r="A80" s="320">
        <v>54</v>
      </c>
      <c r="B80" s="320"/>
      <c r="C80" s="320" t="s">
        <v>114</v>
      </c>
      <c r="D80" s="321">
        <f t="shared" ca="1" si="1"/>
        <v>45618</v>
      </c>
      <c r="E80" s="322">
        <f t="shared" si="2"/>
        <v>138710.18477037037</v>
      </c>
      <c r="F80" s="322">
        <f t="shared" si="3"/>
        <v>5762.5247830687831</v>
      </c>
      <c r="G80" s="323">
        <f t="shared" si="0"/>
        <v>144472.70955343914</v>
      </c>
      <c r="H80" s="324">
        <f t="shared" si="4"/>
        <v>144472.70955343734</v>
      </c>
    </row>
    <row r="81" spans="1:8" ht="15" customHeight="1">
      <c r="A81" s="320">
        <v>55</v>
      </c>
      <c r="B81" s="320"/>
      <c r="C81" s="320" t="s">
        <v>115</v>
      </c>
      <c r="D81" s="321">
        <f t="shared" ca="1" si="1"/>
        <v>45648</v>
      </c>
      <c r="E81" s="322">
        <f>+D19-SUM(E25:E80)</f>
        <v>138710.18477038667</v>
      </c>
      <c r="F81" s="322">
        <f t="shared" si="3"/>
        <v>5762.5247830687831</v>
      </c>
      <c r="G81" s="323">
        <f t="shared" si="0"/>
        <v>144472.70955345544</v>
      </c>
      <c r="H81" s="324">
        <f t="shared" si="4"/>
        <v>-1.8102582544088364E-8</v>
      </c>
    </row>
    <row r="82" spans="1:8" s="326" customFormat="1" ht="15" customHeight="1">
      <c r="A82" s="446" t="s">
        <v>16</v>
      </c>
      <c r="B82" s="447"/>
      <c r="C82" s="447"/>
      <c r="D82" s="448"/>
      <c r="E82" s="284">
        <f>SUM(E25:E81)</f>
        <v>9362937.4719999991</v>
      </c>
      <c r="F82" s="284">
        <f>SUM(F25:F81)</f>
        <v>388970.4228571431</v>
      </c>
      <c r="G82" s="284">
        <f>SUM(G25:G81)</f>
        <v>9751907.8948571589</v>
      </c>
      <c r="H82" s="285"/>
    </row>
    <row r="83" spans="1:8" s="233" customFormat="1">
      <c r="B83" s="231"/>
      <c r="C83" s="287"/>
      <c r="D83" s="288"/>
      <c r="E83" s="289"/>
      <c r="F83" s="289"/>
      <c r="G83" s="289"/>
    </row>
    <row r="84" spans="1:8" s="233" customFormat="1">
      <c r="A84" s="439" t="s">
        <v>364</v>
      </c>
      <c r="B84" s="439"/>
      <c r="C84" s="439"/>
      <c r="D84" s="439"/>
      <c r="E84" s="439"/>
      <c r="F84" s="439"/>
      <c r="G84" s="439"/>
      <c r="H84" s="439"/>
    </row>
    <row r="85" spans="1:8" s="233" customFormat="1" ht="29.25" customHeight="1">
      <c r="A85" s="449" t="s">
        <v>365</v>
      </c>
      <c r="B85" s="449"/>
      <c r="C85" s="449"/>
      <c r="D85" s="449"/>
      <c r="E85" s="449"/>
      <c r="F85" s="449"/>
      <c r="G85" s="449"/>
      <c r="H85" s="449"/>
    </row>
    <row r="86" spans="1:8" s="233" customFormat="1" ht="16.5" customHeight="1">
      <c r="A86" s="439" t="s">
        <v>366</v>
      </c>
      <c r="B86" s="439"/>
      <c r="C86" s="439"/>
      <c r="D86" s="439"/>
      <c r="E86" s="439"/>
      <c r="F86" s="439"/>
      <c r="G86" s="439"/>
      <c r="H86" s="439"/>
    </row>
    <row r="87" spans="1:8" s="233" customFormat="1" ht="16.5" customHeight="1">
      <c r="A87" s="439" t="s">
        <v>367</v>
      </c>
      <c r="B87" s="439"/>
      <c r="C87" s="439"/>
      <c r="D87" s="439"/>
      <c r="E87" s="439"/>
      <c r="F87" s="439"/>
      <c r="G87" s="439"/>
      <c r="H87" s="439"/>
    </row>
    <row r="88" spans="1:8" s="233" customFormat="1" ht="16.5" customHeight="1">
      <c r="A88" s="439" t="s">
        <v>368</v>
      </c>
      <c r="B88" s="439"/>
      <c r="C88" s="439"/>
      <c r="D88" s="439"/>
      <c r="E88" s="439"/>
      <c r="F88" s="439"/>
      <c r="G88" s="439"/>
      <c r="H88" s="439"/>
    </row>
    <row r="89" spans="1:8" s="233" customFormat="1" ht="107.25" customHeight="1">
      <c r="A89" s="439" t="s">
        <v>369</v>
      </c>
      <c r="B89" s="439"/>
      <c r="C89" s="439"/>
      <c r="D89" s="439"/>
      <c r="E89" s="439"/>
      <c r="F89" s="439"/>
      <c r="G89" s="439"/>
      <c r="H89" s="439"/>
    </row>
    <row r="90" spans="1:8" s="233" customFormat="1" ht="44.25" customHeight="1">
      <c r="A90" s="439" t="s">
        <v>370</v>
      </c>
      <c r="B90" s="439"/>
      <c r="C90" s="439"/>
      <c r="D90" s="439"/>
      <c r="E90" s="439"/>
      <c r="F90" s="439"/>
      <c r="G90" s="439"/>
      <c r="H90" s="439"/>
    </row>
    <row r="91" spans="1:8" s="233" customFormat="1" ht="18.75" customHeight="1">
      <c r="A91" s="439" t="s">
        <v>371</v>
      </c>
      <c r="B91" s="439"/>
      <c r="C91" s="439"/>
      <c r="D91" s="439"/>
      <c r="E91" s="439"/>
      <c r="F91" s="439"/>
      <c r="G91" s="439"/>
      <c r="H91" s="439"/>
    </row>
    <row r="92" spans="1:8" s="233" customFormat="1">
      <c r="A92" s="439"/>
      <c r="B92" s="439"/>
      <c r="C92" s="439"/>
      <c r="D92" s="439"/>
      <c r="E92" s="439"/>
      <c r="F92" s="439"/>
      <c r="G92" s="439"/>
      <c r="H92" s="439"/>
    </row>
    <row r="93" spans="1:8" s="233" customFormat="1">
      <c r="A93" s="233" t="s">
        <v>17</v>
      </c>
      <c r="B93" s="231"/>
      <c r="D93" s="231"/>
      <c r="G93" s="230"/>
    </row>
    <row r="94" spans="1:8" s="233" customFormat="1">
      <c r="B94" s="231"/>
      <c r="D94" s="231"/>
      <c r="G94" s="230"/>
    </row>
    <row r="95" spans="1:8" s="233" customFormat="1" ht="15" customHeight="1">
      <c r="A95" s="290"/>
      <c r="B95" s="327"/>
      <c r="C95" s="290"/>
      <c r="D95" s="231"/>
      <c r="E95" s="290"/>
      <c r="F95" s="290"/>
      <c r="G95" s="291"/>
    </row>
    <row r="96" spans="1:8" s="233" customFormat="1">
      <c r="A96" s="452" t="s">
        <v>355</v>
      </c>
      <c r="B96" s="452"/>
      <c r="C96" s="452"/>
      <c r="D96" s="231"/>
      <c r="E96" s="452" t="s">
        <v>18</v>
      </c>
      <c r="F96" s="452"/>
      <c r="G96" s="452"/>
    </row>
  </sheetData>
  <sheetProtection password="CAF1" sheet="1" objects="1" scenarios="1" selectLockedCells="1"/>
  <mergeCells count="25">
    <mergeCell ref="A89:H89"/>
    <mergeCell ref="A90:H90"/>
    <mergeCell ref="A91:H91"/>
    <mergeCell ref="A92:H92"/>
    <mergeCell ref="A96:C96"/>
    <mergeCell ref="E96:G96"/>
    <mergeCell ref="H1:H2"/>
    <mergeCell ref="A6:B6"/>
    <mergeCell ref="A7:B7"/>
    <mergeCell ref="A8:B8"/>
    <mergeCell ref="A9:B9"/>
    <mergeCell ref="A82:D82"/>
    <mergeCell ref="A24:G24"/>
    <mergeCell ref="C5:H5"/>
    <mergeCell ref="C6:H6"/>
    <mergeCell ref="C7:H7"/>
    <mergeCell ref="C8:H8"/>
    <mergeCell ref="C9:H9"/>
    <mergeCell ref="C10:H10"/>
    <mergeCell ref="A10:B10"/>
    <mergeCell ref="A84:H84"/>
    <mergeCell ref="A85:H85"/>
    <mergeCell ref="A86:H86"/>
    <mergeCell ref="A87:H87"/>
    <mergeCell ref="A88:H88"/>
  </mergeCells>
  <hyperlinks>
    <hyperlink ref="J4" location="'DATA SHEET'!A1" display="Return to Data Sheet" xr:uid="{00000000-0004-0000-1100-000000000000}"/>
    <hyperlink ref="C1" location="'DATA SHEET'!A1" display="HIGHLANDS PRIME, INC." xr:uid="{00000000-0004-0000-1100-000001000000}"/>
  </hyperlinks>
  <printOptions horizontalCentered="1"/>
  <pageMargins left="0.7" right="0.7" top="0.75" bottom="0.5" header="0.3" footer="0.3"/>
  <pageSetup paperSize="14" scale="69" orientation="portrait" r:id="rId1"/>
  <headerFooter>
    <oddFooter>&amp;L&amp;8A project of HIGHLANDS PRIME, INC. Horizon Terraces HLURB License To Sell No. 032272&amp;R&amp;8Page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3">
    <tabColor rgb="FFF7941D"/>
    <pageSetUpPr fitToPage="1"/>
  </sheetPr>
  <dimension ref="A1:P67"/>
  <sheetViews>
    <sheetView showGridLines="0" zoomScale="93" zoomScaleNormal="93" workbookViewId="0">
      <selection activeCell="C15" sqref="C15"/>
    </sheetView>
  </sheetViews>
  <sheetFormatPr baseColWidth="10" defaultColWidth="0" defaultRowHeight="14"/>
  <cols>
    <col min="1" max="1" width="12.5" style="37" customWidth="1"/>
    <col min="2" max="2" width="11" style="37" customWidth="1"/>
    <col min="3" max="3" width="24.5" style="37" customWidth="1"/>
    <col min="4" max="4" width="12.5" style="38" bestFit="1" customWidth="1"/>
    <col min="5" max="5" width="12.5" style="37" bestFit="1" customWidth="1"/>
    <col min="6" max="6" width="14.5" style="37" bestFit="1" customWidth="1"/>
    <col min="7" max="7" width="13.5" style="37" bestFit="1" customWidth="1"/>
    <col min="8" max="8" width="17" style="37" bestFit="1" customWidth="1"/>
    <col min="9" max="12" width="9.1640625" style="37" customWidth="1"/>
    <col min="13" max="16" width="0" style="37" hidden="1" customWidth="1"/>
    <col min="17" max="16384" width="9.1640625" style="37" hidden="1"/>
  </cols>
  <sheetData>
    <row r="1" spans="1:16" ht="12.75" customHeight="1">
      <c r="C1" s="240" t="s">
        <v>35</v>
      </c>
      <c r="H1" s="478" t="s">
        <v>66</v>
      </c>
    </row>
    <row r="2" spans="1:16">
      <c r="C2" s="230" t="s">
        <v>348</v>
      </c>
      <c r="H2" s="478"/>
    </row>
    <row r="3" spans="1:16">
      <c r="C3" s="230" t="s">
        <v>36</v>
      </c>
    </row>
    <row r="4" spans="1:16">
      <c r="J4" s="311" t="s">
        <v>305</v>
      </c>
    </row>
    <row r="5" spans="1:16" s="326" customFormat="1" ht="14.25" customHeight="1">
      <c r="A5" s="242" t="s">
        <v>0</v>
      </c>
      <c r="B5" s="243"/>
      <c r="C5" s="434" t="str">
        <f>'DATA SHEET'!D10</f>
        <v xml:space="preserve"> </v>
      </c>
      <c r="D5" s="434"/>
      <c r="E5" s="434"/>
      <c r="F5" s="434"/>
      <c r="G5" s="434"/>
      <c r="H5" s="435"/>
    </row>
    <row r="6" spans="1:16">
      <c r="A6" s="479" t="s">
        <v>31</v>
      </c>
      <c r="B6" s="480"/>
      <c r="C6" s="456" t="str">
        <f>VLOOKUP('DATA SHEET'!$D$11,' Garden Suites PL'!C6:F28,1,FALSE)</f>
        <v>GA</v>
      </c>
      <c r="D6" s="456"/>
      <c r="E6" s="456"/>
      <c r="F6" s="456"/>
      <c r="G6" s="456"/>
      <c r="H6" s="457"/>
    </row>
    <row r="7" spans="1:16">
      <c r="A7" s="479" t="s">
        <v>37</v>
      </c>
      <c r="B7" s="480"/>
      <c r="C7" s="458">
        <f>VLOOKUP('DATA SHEET'!D11,' Garden Suites PL'!C6:F28,3,FALSE)</f>
        <v>67.900000000000006</v>
      </c>
      <c r="D7" s="458"/>
      <c r="E7" s="458"/>
      <c r="F7" s="458"/>
      <c r="G7" s="458"/>
      <c r="H7" s="459"/>
    </row>
    <row r="8" spans="1:16">
      <c r="A8" s="438" t="s">
        <v>352</v>
      </c>
      <c r="B8" s="436"/>
      <c r="C8" s="458" t="str">
        <f>VLOOKUP('DATA SHEET'!D11,' Garden Suites PL'!C6:D28,2,0)</f>
        <v>1-Bedroom Terrace Suite</v>
      </c>
      <c r="D8" s="458"/>
      <c r="E8" s="458"/>
      <c r="F8" s="458"/>
      <c r="G8" s="458"/>
      <c r="H8" s="459"/>
    </row>
    <row r="9" spans="1:16">
      <c r="A9" s="438" t="s">
        <v>356</v>
      </c>
      <c r="B9" s="436"/>
      <c r="C9" s="460">
        <f>VLOOKUP('DATA SHEET'!D11,' Garden Suites PL'!C6:G28,5,0)</f>
        <v>9961680</v>
      </c>
      <c r="D9" s="460"/>
      <c r="E9" s="460"/>
      <c r="F9" s="460"/>
      <c r="G9" s="460"/>
      <c r="H9" s="461"/>
    </row>
    <row r="10" spans="1:16">
      <c r="A10" s="476" t="s">
        <v>33</v>
      </c>
      <c r="B10" s="477"/>
      <c r="C10" s="474" t="str">
        <f>+'DATA SHEET'!B22</f>
        <v>10% DP, 10% over 24 months, 80% Lumpsum</v>
      </c>
      <c r="D10" s="474"/>
      <c r="E10" s="474"/>
      <c r="F10" s="474"/>
      <c r="G10" s="474"/>
      <c r="H10" s="475"/>
    </row>
    <row r="12" spans="1:16">
      <c r="A12" s="39" t="s">
        <v>55</v>
      </c>
      <c r="B12" s="39"/>
    </row>
    <row r="13" spans="1:16">
      <c r="A13" s="233" t="s">
        <v>359</v>
      </c>
      <c r="B13" s="233"/>
      <c r="D13" s="194">
        <f>(C9-650000)</f>
        <v>9311680</v>
      </c>
      <c r="E13" s="316" t="str">
        <f>LEFT(C8,9)</f>
        <v>1-Bedroom</v>
      </c>
      <c r="F13" s="316"/>
      <c r="G13" s="316"/>
      <c r="H13" s="194"/>
    </row>
    <row r="14" spans="1:16" s="233" customFormat="1">
      <c r="A14" s="228" t="s">
        <v>71</v>
      </c>
      <c r="B14" s="228"/>
      <c r="C14" s="368">
        <v>0.01</v>
      </c>
      <c r="D14" s="256">
        <f>IF(C14&lt;=1%,(D13*C14),"BEYOND MAX DISC.")</f>
        <v>93116.800000000003</v>
      </c>
      <c r="E14" s="257"/>
      <c r="F14" s="257"/>
      <c r="G14" s="257"/>
      <c r="H14" s="257"/>
      <c r="I14" s="257"/>
      <c r="J14" s="257"/>
      <c r="K14" s="257"/>
      <c r="L14" s="257"/>
      <c r="M14" s="257"/>
      <c r="N14" s="254"/>
      <c r="O14" s="254"/>
      <c r="P14" s="255"/>
    </row>
    <row r="15" spans="1:16" s="233" customFormat="1">
      <c r="A15" s="228" t="s">
        <v>378</v>
      </c>
      <c r="B15" s="228"/>
      <c r="C15" s="368">
        <v>0.02</v>
      </c>
      <c r="D15" s="256">
        <f>IF(C15&lt;=2%,((D13-D14)*C15),"BEYOND MAX DISC.")</f>
        <v>184371.264</v>
      </c>
      <c r="E15" s="257"/>
      <c r="F15" s="257"/>
      <c r="G15" s="257"/>
      <c r="H15" s="257"/>
      <c r="I15" s="257"/>
      <c r="J15" s="257"/>
      <c r="K15" s="257"/>
      <c r="L15" s="257"/>
      <c r="M15" s="257"/>
      <c r="N15" s="259"/>
      <c r="O15" s="254"/>
      <c r="P15" s="255"/>
    </row>
    <row r="16" spans="1:16" s="233" customFormat="1">
      <c r="A16" s="228" t="s">
        <v>379</v>
      </c>
      <c r="B16" s="228"/>
      <c r="C16" s="228"/>
      <c r="D16" s="328">
        <v>230000</v>
      </c>
      <c r="F16" s="257"/>
      <c r="G16" s="257"/>
      <c r="H16" s="257"/>
      <c r="I16" s="257"/>
      <c r="J16" s="257"/>
      <c r="K16" s="257"/>
      <c r="L16" s="257"/>
      <c r="M16" s="257"/>
      <c r="N16" s="259"/>
      <c r="O16" s="254"/>
      <c r="P16" s="255"/>
    </row>
    <row r="17" spans="1:12">
      <c r="A17" s="233" t="s">
        <v>360</v>
      </c>
      <c r="B17" s="233"/>
      <c r="C17" s="38"/>
      <c r="D17" s="194">
        <f>+D13-SUM(D14:D16)</f>
        <v>8804191.9360000007</v>
      </c>
      <c r="E17" s="329"/>
      <c r="F17" s="329"/>
      <c r="G17" s="329"/>
      <c r="H17" s="330"/>
    </row>
    <row r="18" spans="1:12">
      <c r="A18" s="264" t="s">
        <v>302</v>
      </c>
      <c r="B18" s="331"/>
      <c r="D18" s="51">
        <v>650000</v>
      </c>
      <c r="F18" s="329"/>
      <c r="G18" s="329"/>
      <c r="H18" s="330"/>
    </row>
    <row r="19" spans="1:12">
      <c r="A19" s="266" t="s">
        <v>362</v>
      </c>
      <c r="B19" s="266"/>
      <c r="C19" s="39"/>
      <c r="D19" s="318">
        <f>SUM(D17:D18)</f>
        <v>9454191.9360000007</v>
      </c>
      <c r="E19" s="38"/>
      <c r="F19" s="38"/>
      <c r="G19" s="38"/>
    </row>
    <row r="20" spans="1:12" s="233" customFormat="1">
      <c r="A20" s="267" t="s">
        <v>350</v>
      </c>
      <c r="B20" s="267"/>
      <c r="C20" s="229">
        <v>0.05</v>
      </c>
      <c r="D20" s="319">
        <f>(D17/1.12)*C20</f>
        <v>393044.28285714285</v>
      </c>
      <c r="E20" s="252"/>
      <c r="F20" s="252"/>
      <c r="G20" s="252"/>
      <c r="H20" s="252"/>
      <c r="I20" s="252"/>
      <c r="J20" s="254"/>
      <c r="K20" s="254"/>
      <c r="L20" s="255"/>
    </row>
    <row r="21" spans="1:12" s="233" customFormat="1" ht="15" thickBot="1">
      <c r="A21" s="230" t="s">
        <v>58</v>
      </c>
      <c r="B21" s="230"/>
      <c r="C21" s="230"/>
      <c r="D21" s="270">
        <f>+D19+D20</f>
        <v>9847236.2188571431</v>
      </c>
      <c r="E21" s="252"/>
      <c r="F21" s="252"/>
      <c r="G21" s="252"/>
      <c r="H21" s="252"/>
      <c r="I21" s="252"/>
      <c r="J21" s="254"/>
      <c r="K21" s="254"/>
      <c r="L21" s="255"/>
    </row>
    <row r="22" spans="1:12" ht="15" thickTop="1"/>
    <row r="23" spans="1:12">
      <c r="A23" s="271" t="s">
        <v>34</v>
      </c>
      <c r="B23" s="271" t="s">
        <v>347</v>
      </c>
      <c r="C23" s="271" t="s">
        <v>2</v>
      </c>
      <c r="D23" s="271" t="s">
        <v>343</v>
      </c>
      <c r="E23" s="271" t="s">
        <v>363</v>
      </c>
      <c r="F23" s="271" t="s">
        <v>344</v>
      </c>
      <c r="G23" s="272" t="s">
        <v>349</v>
      </c>
      <c r="H23" s="271" t="s">
        <v>345</v>
      </c>
    </row>
    <row r="24" spans="1:12">
      <c r="A24" s="453" t="s">
        <v>346</v>
      </c>
      <c r="B24" s="454"/>
      <c r="C24" s="454"/>
      <c r="D24" s="454"/>
      <c r="E24" s="454"/>
      <c r="F24" s="454"/>
      <c r="G24" s="455"/>
      <c r="H24" s="310">
        <f>+D21</f>
        <v>9847236.2188571431</v>
      </c>
    </row>
    <row r="25" spans="1:12">
      <c r="A25" s="320">
        <v>0</v>
      </c>
      <c r="B25" s="320"/>
      <c r="C25" s="320" t="s">
        <v>38</v>
      </c>
      <c r="D25" s="321">
        <f ca="1">'DATA SHEET'!D9</f>
        <v>43973</v>
      </c>
      <c r="E25" s="322">
        <f>IF(E13="1-Bedroom",50000,100000)</f>
        <v>50000</v>
      </c>
      <c r="F25" s="322"/>
      <c r="G25" s="323">
        <f>+SUM(E25:F25)</f>
        <v>50000</v>
      </c>
      <c r="H25" s="324">
        <f>D21-G25</f>
        <v>9797236.2188571431</v>
      </c>
    </row>
    <row r="26" spans="1:12">
      <c r="A26" s="320">
        <v>1</v>
      </c>
      <c r="B26" s="325">
        <v>0.1</v>
      </c>
      <c r="C26" s="320" t="s">
        <v>259</v>
      </c>
      <c r="D26" s="321">
        <f ca="1">EDATE(D25,1)</f>
        <v>44004</v>
      </c>
      <c r="E26" s="322">
        <f>(D19*10%)-E25</f>
        <v>895419.19360000012</v>
      </c>
      <c r="F26" s="322">
        <f>(D20*10%)-F25</f>
        <v>39304.42828571429</v>
      </c>
      <c r="G26" s="323">
        <f t="shared" ref="G26:G52" si="0">+SUM(E26:F26)</f>
        <v>934723.62188571435</v>
      </c>
      <c r="H26" s="324">
        <f>H25-G26</f>
        <v>8862512.596971428</v>
      </c>
    </row>
    <row r="27" spans="1:12">
      <c r="A27" s="320"/>
      <c r="B27" s="325">
        <v>0.1</v>
      </c>
      <c r="C27" s="320" t="s">
        <v>351</v>
      </c>
      <c r="D27" s="321"/>
      <c r="E27" s="322"/>
      <c r="F27" s="322"/>
      <c r="G27" s="323"/>
      <c r="H27" s="324"/>
    </row>
    <row r="28" spans="1:12">
      <c r="A28" s="320">
        <v>2</v>
      </c>
      <c r="B28" s="320"/>
      <c r="C28" s="320" t="s">
        <v>4</v>
      </c>
      <c r="D28" s="321">
        <f ca="1">EDATE(D26,1)</f>
        <v>44034</v>
      </c>
      <c r="E28" s="322">
        <f>($D$19*10%)/24</f>
        <v>39392.466400000005</v>
      </c>
      <c r="F28" s="322">
        <f>($D$20*10%)/24</f>
        <v>1637.6845119047621</v>
      </c>
      <c r="G28" s="323">
        <f t="shared" si="0"/>
        <v>41030.15091190477</v>
      </c>
      <c r="H28" s="324">
        <f>H26-G28</f>
        <v>8821482.4460595232</v>
      </c>
    </row>
    <row r="29" spans="1:12">
      <c r="A29" s="320">
        <v>3</v>
      </c>
      <c r="B29" s="320"/>
      <c r="C29" s="320" t="s">
        <v>5</v>
      </c>
      <c r="D29" s="321">
        <f t="shared" ref="D29:D52" ca="1" si="1">EDATE(D28,1)</f>
        <v>44065</v>
      </c>
      <c r="E29" s="322">
        <f t="shared" ref="E29:E51" si="2">($D$19*10%)/24</f>
        <v>39392.466400000005</v>
      </c>
      <c r="F29" s="322">
        <f t="shared" ref="F29:F51" si="3">($D$20*10%)/24</f>
        <v>1637.6845119047621</v>
      </c>
      <c r="G29" s="323">
        <f t="shared" si="0"/>
        <v>41030.15091190477</v>
      </c>
      <c r="H29" s="324">
        <f t="shared" ref="H29:H52" si="4">H28-G29</f>
        <v>8780452.2951476183</v>
      </c>
    </row>
    <row r="30" spans="1:12">
      <c r="A30" s="320">
        <v>4</v>
      </c>
      <c r="B30" s="320"/>
      <c r="C30" s="320" t="s">
        <v>6</v>
      </c>
      <c r="D30" s="321">
        <f t="shared" ca="1" si="1"/>
        <v>44096</v>
      </c>
      <c r="E30" s="322">
        <f t="shared" si="2"/>
        <v>39392.466400000005</v>
      </c>
      <c r="F30" s="322">
        <f t="shared" si="3"/>
        <v>1637.6845119047621</v>
      </c>
      <c r="G30" s="323">
        <f t="shared" si="0"/>
        <v>41030.15091190477</v>
      </c>
      <c r="H30" s="324">
        <f t="shared" si="4"/>
        <v>8739422.1442357134</v>
      </c>
    </row>
    <row r="31" spans="1:12">
      <c r="A31" s="320">
        <v>5</v>
      </c>
      <c r="B31" s="320"/>
      <c r="C31" s="320" t="s">
        <v>7</v>
      </c>
      <c r="D31" s="321">
        <f t="shared" ca="1" si="1"/>
        <v>44126</v>
      </c>
      <c r="E31" s="322">
        <f t="shared" si="2"/>
        <v>39392.466400000005</v>
      </c>
      <c r="F31" s="322">
        <f t="shared" si="3"/>
        <v>1637.6845119047621</v>
      </c>
      <c r="G31" s="323">
        <f t="shared" si="0"/>
        <v>41030.15091190477</v>
      </c>
      <c r="H31" s="324">
        <f t="shared" si="4"/>
        <v>8698391.9933238085</v>
      </c>
    </row>
    <row r="32" spans="1:12">
      <c r="A32" s="320">
        <v>6</v>
      </c>
      <c r="B32" s="320"/>
      <c r="C32" s="320" t="s">
        <v>8</v>
      </c>
      <c r="D32" s="321">
        <f t="shared" ca="1" si="1"/>
        <v>44157</v>
      </c>
      <c r="E32" s="322">
        <f t="shared" si="2"/>
        <v>39392.466400000005</v>
      </c>
      <c r="F32" s="322">
        <f t="shared" si="3"/>
        <v>1637.6845119047621</v>
      </c>
      <c r="G32" s="323">
        <f t="shared" si="0"/>
        <v>41030.15091190477</v>
      </c>
      <c r="H32" s="324">
        <f t="shared" si="4"/>
        <v>8657361.8424119037</v>
      </c>
    </row>
    <row r="33" spans="1:8">
      <c r="A33" s="320">
        <v>7</v>
      </c>
      <c r="B33" s="320"/>
      <c r="C33" s="320" t="s">
        <v>9</v>
      </c>
      <c r="D33" s="321">
        <f t="shared" ca="1" si="1"/>
        <v>44187</v>
      </c>
      <c r="E33" s="322">
        <f t="shared" si="2"/>
        <v>39392.466400000005</v>
      </c>
      <c r="F33" s="322">
        <f t="shared" si="3"/>
        <v>1637.6845119047621</v>
      </c>
      <c r="G33" s="323">
        <f t="shared" si="0"/>
        <v>41030.15091190477</v>
      </c>
      <c r="H33" s="324">
        <f t="shared" si="4"/>
        <v>8616331.6914999988</v>
      </c>
    </row>
    <row r="34" spans="1:8">
      <c r="A34" s="320">
        <v>8</v>
      </c>
      <c r="B34" s="320"/>
      <c r="C34" s="320" t="s">
        <v>10</v>
      </c>
      <c r="D34" s="321">
        <f t="shared" ca="1" si="1"/>
        <v>44218</v>
      </c>
      <c r="E34" s="322">
        <f t="shared" si="2"/>
        <v>39392.466400000005</v>
      </c>
      <c r="F34" s="322">
        <f t="shared" si="3"/>
        <v>1637.6845119047621</v>
      </c>
      <c r="G34" s="323">
        <f t="shared" si="0"/>
        <v>41030.15091190477</v>
      </c>
      <c r="H34" s="324">
        <f t="shared" si="4"/>
        <v>8575301.5405880939</v>
      </c>
    </row>
    <row r="35" spans="1:8">
      <c r="A35" s="320">
        <v>9</v>
      </c>
      <c r="B35" s="320"/>
      <c r="C35" s="320" t="s">
        <v>11</v>
      </c>
      <c r="D35" s="321">
        <f t="shared" ca="1" si="1"/>
        <v>44249</v>
      </c>
      <c r="E35" s="322">
        <f t="shared" si="2"/>
        <v>39392.466400000005</v>
      </c>
      <c r="F35" s="322">
        <f t="shared" si="3"/>
        <v>1637.6845119047621</v>
      </c>
      <c r="G35" s="323">
        <f t="shared" si="0"/>
        <v>41030.15091190477</v>
      </c>
      <c r="H35" s="324">
        <f t="shared" si="4"/>
        <v>8534271.3896761891</v>
      </c>
    </row>
    <row r="36" spans="1:8">
      <c r="A36" s="320">
        <v>10</v>
      </c>
      <c r="B36" s="320"/>
      <c r="C36" s="320" t="s">
        <v>12</v>
      </c>
      <c r="D36" s="321">
        <f t="shared" ca="1" si="1"/>
        <v>44277</v>
      </c>
      <c r="E36" s="322">
        <f t="shared" si="2"/>
        <v>39392.466400000005</v>
      </c>
      <c r="F36" s="322">
        <f t="shared" si="3"/>
        <v>1637.6845119047621</v>
      </c>
      <c r="G36" s="323">
        <f t="shared" si="0"/>
        <v>41030.15091190477</v>
      </c>
      <c r="H36" s="324">
        <f t="shared" si="4"/>
        <v>8493241.2387642842</v>
      </c>
    </row>
    <row r="37" spans="1:8">
      <c r="A37" s="320">
        <v>11</v>
      </c>
      <c r="B37" s="320"/>
      <c r="C37" s="320" t="s">
        <v>13</v>
      </c>
      <c r="D37" s="321">
        <f t="shared" ca="1" si="1"/>
        <v>44308</v>
      </c>
      <c r="E37" s="322">
        <f t="shared" si="2"/>
        <v>39392.466400000005</v>
      </c>
      <c r="F37" s="322">
        <f t="shared" si="3"/>
        <v>1637.6845119047621</v>
      </c>
      <c r="G37" s="323">
        <f t="shared" si="0"/>
        <v>41030.15091190477</v>
      </c>
      <c r="H37" s="324">
        <f t="shared" si="4"/>
        <v>8452211.0878523793</v>
      </c>
    </row>
    <row r="38" spans="1:8">
      <c r="A38" s="320">
        <v>12</v>
      </c>
      <c r="B38" s="320"/>
      <c r="C38" s="320" t="s">
        <v>14</v>
      </c>
      <c r="D38" s="321">
        <f t="shared" ca="1" si="1"/>
        <v>44338</v>
      </c>
      <c r="E38" s="322">
        <f t="shared" si="2"/>
        <v>39392.466400000005</v>
      </c>
      <c r="F38" s="322">
        <f t="shared" si="3"/>
        <v>1637.6845119047621</v>
      </c>
      <c r="G38" s="323">
        <f t="shared" si="0"/>
        <v>41030.15091190477</v>
      </c>
      <c r="H38" s="324">
        <f t="shared" si="4"/>
        <v>8411180.9369404744</v>
      </c>
    </row>
    <row r="39" spans="1:8">
      <c r="A39" s="320">
        <v>13</v>
      </c>
      <c r="B39" s="320"/>
      <c r="C39" s="320" t="s">
        <v>15</v>
      </c>
      <c r="D39" s="321">
        <f t="shared" ca="1" si="1"/>
        <v>44369</v>
      </c>
      <c r="E39" s="322">
        <f t="shared" si="2"/>
        <v>39392.466400000005</v>
      </c>
      <c r="F39" s="322">
        <f t="shared" si="3"/>
        <v>1637.6845119047621</v>
      </c>
      <c r="G39" s="323">
        <f t="shared" si="0"/>
        <v>41030.15091190477</v>
      </c>
      <c r="H39" s="324">
        <f t="shared" si="4"/>
        <v>8370150.7860285696</v>
      </c>
    </row>
    <row r="40" spans="1:8">
      <c r="A40" s="320">
        <v>14</v>
      </c>
      <c r="B40" s="320"/>
      <c r="C40" s="320" t="s">
        <v>19</v>
      </c>
      <c r="D40" s="321">
        <f t="shared" ca="1" si="1"/>
        <v>44399</v>
      </c>
      <c r="E40" s="322">
        <f t="shared" si="2"/>
        <v>39392.466400000005</v>
      </c>
      <c r="F40" s="322">
        <f t="shared" si="3"/>
        <v>1637.6845119047621</v>
      </c>
      <c r="G40" s="323">
        <f t="shared" si="0"/>
        <v>41030.15091190477</v>
      </c>
      <c r="H40" s="324">
        <f t="shared" si="4"/>
        <v>8329120.6351166647</v>
      </c>
    </row>
    <row r="41" spans="1:8">
      <c r="A41" s="320">
        <v>15</v>
      </c>
      <c r="B41" s="320"/>
      <c r="C41" s="320" t="s">
        <v>20</v>
      </c>
      <c r="D41" s="321">
        <f t="shared" ca="1" si="1"/>
        <v>44430</v>
      </c>
      <c r="E41" s="322">
        <f t="shared" si="2"/>
        <v>39392.466400000005</v>
      </c>
      <c r="F41" s="322">
        <f t="shared" si="3"/>
        <v>1637.6845119047621</v>
      </c>
      <c r="G41" s="323">
        <f t="shared" si="0"/>
        <v>41030.15091190477</v>
      </c>
      <c r="H41" s="324">
        <f t="shared" si="4"/>
        <v>8288090.4842047598</v>
      </c>
    </row>
    <row r="42" spans="1:8">
      <c r="A42" s="320">
        <v>16</v>
      </c>
      <c r="B42" s="320"/>
      <c r="C42" s="320" t="s">
        <v>21</v>
      </c>
      <c r="D42" s="321">
        <f t="shared" ca="1" si="1"/>
        <v>44461</v>
      </c>
      <c r="E42" s="322">
        <f t="shared" si="2"/>
        <v>39392.466400000005</v>
      </c>
      <c r="F42" s="322">
        <f t="shared" si="3"/>
        <v>1637.6845119047621</v>
      </c>
      <c r="G42" s="323">
        <f t="shared" si="0"/>
        <v>41030.15091190477</v>
      </c>
      <c r="H42" s="324">
        <f t="shared" si="4"/>
        <v>8247060.3332928549</v>
      </c>
    </row>
    <row r="43" spans="1:8">
      <c r="A43" s="320">
        <v>17</v>
      </c>
      <c r="B43" s="320"/>
      <c r="C43" s="320" t="s">
        <v>22</v>
      </c>
      <c r="D43" s="321">
        <f t="shared" ca="1" si="1"/>
        <v>44491</v>
      </c>
      <c r="E43" s="322">
        <f t="shared" si="2"/>
        <v>39392.466400000005</v>
      </c>
      <c r="F43" s="322">
        <f t="shared" si="3"/>
        <v>1637.6845119047621</v>
      </c>
      <c r="G43" s="323">
        <f t="shared" si="0"/>
        <v>41030.15091190477</v>
      </c>
      <c r="H43" s="324">
        <f t="shared" si="4"/>
        <v>8206030.1823809501</v>
      </c>
    </row>
    <row r="44" spans="1:8">
      <c r="A44" s="320">
        <v>18</v>
      </c>
      <c r="B44" s="320"/>
      <c r="C44" s="320" t="s">
        <v>23</v>
      </c>
      <c r="D44" s="321">
        <f t="shared" ca="1" si="1"/>
        <v>44522</v>
      </c>
      <c r="E44" s="322">
        <f t="shared" si="2"/>
        <v>39392.466400000005</v>
      </c>
      <c r="F44" s="322">
        <f t="shared" si="3"/>
        <v>1637.6845119047621</v>
      </c>
      <c r="G44" s="323">
        <f t="shared" si="0"/>
        <v>41030.15091190477</v>
      </c>
      <c r="H44" s="324">
        <f t="shared" si="4"/>
        <v>8165000.0314690452</v>
      </c>
    </row>
    <row r="45" spans="1:8">
      <c r="A45" s="320">
        <v>19</v>
      </c>
      <c r="B45" s="320"/>
      <c r="C45" s="320" t="s">
        <v>24</v>
      </c>
      <c r="D45" s="321">
        <f t="shared" ca="1" si="1"/>
        <v>44552</v>
      </c>
      <c r="E45" s="322">
        <f t="shared" si="2"/>
        <v>39392.466400000005</v>
      </c>
      <c r="F45" s="322">
        <f t="shared" si="3"/>
        <v>1637.6845119047621</v>
      </c>
      <c r="G45" s="323">
        <f t="shared" si="0"/>
        <v>41030.15091190477</v>
      </c>
      <c r="H45" s="324">
        <f t="shared" si="4"/>
        <v>8123969.8805571403</v>
      </c>
    </row>
    <row r="46" spans="1:8">
      <c r="A46" s="320">
        <v>20</v>
      </c>
      <c r="B46" s="320"/>
      <c r="C46" s="320" t="s">
        <v>25</v>
      </c>
      <c r="D46" s="321">
        <f t="shared" ca="1" si="1"/>
        <v>44583</v>
      </c>
      <c r="E46" s="322">
        <f t="shared" si="2"/>
        <v>39392.466400000005</v>
      </c>
      <c r="F46" s="322">
        <f t="shared" si="3"/>
        <v>1637.6845119047621</v>
      </c>
      <c r="G46" s="323">
        <f t="shared" si="0"/>
        <v>41030.15091190477</v>
      </c>
      <c r="H46" s="324">
        <f t="shared" si="4"/>
        <v>8082939.7296452355</v>
      </c>
    </row>
    <row r="47" spans="1:8">
      <c r="A47" s="320">
        <v>21</v>
      </c>
      <c r="B47" s="320"/>
      <c r="C47" s="320" t="s">
        <v>26</v>
      </c>
      <c r="D47" s="321">
        <f t="shared" ca="1" si="1"/>
        <v>44614</v>
      </c>
      <c r="E47" s="322">
        <f t="shared" si="2"/>
        <v>39392.466400000005</v>
      </c>
      <c r="F47" s="322">
        <f t="shared" si="3"/>
        <v>1637.6845119047621</v>
      </c>
      <c r="G47" s="323">
        <f t="shared" si="0"/>
        <v>41030.15091190477</v>
      </c>
      <c r="H47" s="324">
        <f t="shared" si="4"/>
        <v>8041909.5787333306</v>
      </c>
    </row>
    <row r="48" spans="1:8">
      <c r="A48" s="320">
        <v>22</v>
      </c>
      <c r="B48" s="320"/>
      <c r="C48" s="320" t="s">
        <v>27</v>
      </c>
      <c r="D48" s="321">
        <f t="shared" ca="1" si="1"/>
        <v>44642</v>
      </c>
      <c r="E48" s="322">
        <f t="shared" si="2"/>
        <v>39392.466400000005</v>
      </c>
      <c r="F48" s="322">
        <f t="shared" si="3"/>
        <v>1637.6845119047621</v>
      </c>
      <c r="G48" s="323">
        <f t="shared" si="0"/>
        <v>41030.15091190477</v>
      </c>
      <c r="H48" s="324">
        <f t="shared" si="4"/>
        <v>8000879.4278214257</v>
      </c>
    </row>
    <row r="49" spans="1:8">
      <c r="A49" s="320">
        <v>23</v>
      </c>
      <c r="B49" s="320"/>
      <c r="C49" s="320" t="s">
        <v>28</v>
      </c>
      <c r="D49" s="321">
        <f t="shared" ca="1" si="1"/>
        <v>44673</v>
      </c>
      <c r="E49" s="322">
        <f t="shared" si="2"/>
        <v>39392.466400000005</v>
      </c>
      <c r="F49" s="322">
        <f t="shared" si="3"/>
        <v>1637.6845119047621</v>
      </c>
      <c r="G49" s="323">
        <f t="shared" si="0"/>
        <v>41030.15091190477</v>
      </c>
      <c r="H49" s="324">
        <f t="shared" si="4"/>
        <v>7959849.2769095208</v>
      </c>
    </row>
    <row r="50" spans="1:8">
      <c r="A50" s="320">
        <v>24</v>
      </c>
      <c r="B50" s="320"/>
      <c r="C50" s="320" t="s">
        <v>29</v>
      </c>
      <c r="D50" s="321">
        <f t="shared" ca="1" si="1"/>
        <v>44703</v>
      </c>
      <c r="E50" s="322">
        <f t="shared" si="2"/>
        <v>39392.466400000005</v>
      </c>
      <c r="F50" s="322">
        <f t="shared" si="3"/>
        <v>1637.6845119047621</v>
      </c>
      <c r="G50" s="323">
        <f t="shared" si="0"/>
        <v>41030.15091190477</v>
      </c>
      <c r="H50" s="324">
        <f t="shared" si="4"/>
        <v>7918819.125997616</v>
      </c>
    </row>
    <row r="51" spans="1:8">
      <c r="A51" s="320">
        <v>25</v>
      </c>
      <c r="B51" s="320"/>
      <c r="C51" s="320" t="s">
        <v>30</v>
      </c>
      <c r="D51" s="321">
        <f t="shared" ca="1" si="1"/>
        <v>44734</v>
      </c>
      <c r="E51" s="322">
        <f t="shared" si="2"/>
        <v>39392.466400000005</v>
      </c>
      <c r="F51" s="322">
        <f t="shared" si="3"/>
        <v>1637.6845119047621</v>
      </c>
      <c r="G51" s="323">
        <f t="shared" si="0"/>
        <v>41030.15091190477</v>
      </c>
      <c r="H51" s="324">
        <f t="shared" si="4"/>
        <v>7877788.9750857111</v>
      </c>
    </row>
    <row r="52" spans="1:8">
      <c r="A52" s="320">
        <v>26</v>
      </c>
      <c r="B52" s="325">
        <v>0.8</v>
      </c>
      <c r="C52" s="320" t="s">
        <v>258</v>
      </c>
      <c r="D52" s="321">
        <f t="shared" ca="1" si="1"/>
        <v>44764</v>
      </c>
      <c r="E52" s="322">
        <f>+D19*80%</f>
        <v>7563353.5488000009</v>
      </c>
      <c r="F52" s="322">
        <f>D20*80%</f>
        <v>314435.42628571432</v>
      </c>
      <c r="G52" s="323">
        <f t="shared" si="0"/>
        <v>7877788.9750857148</v>
      </c>
      <c r="H52" s="324">
        <f t="shared" si="4"/>
        <v>0</v>
      </c>
    </row>
    <row r="53" spans="1:8">
      <c r="A53" s="481" t="s">
        <v>16</v>
      </c>
      <c r="B53" s="482"/>
      <c r="C53" s="482"/>
      <c r="D53" s="483"/>
      <c r="E53" s="332">
        <f>SUM(E25:E52)</f>
        <v>9454191.9360000025</v>
      </c>
      <c r="F53" s="332">
        <f>SUM(F25:F52)</f>
        <v>393044.28285714297</v>
      </c>
      <c r="G53" s="332">
        <f>SUM(G25:G52)</f>
        <v>9847236.2188571468</v>
      </c>
      <c r="H53" s="333"/>
    </row>
    <row r="54" spans="1:8" s="233" customFormat="1">
      <c r="C54" s="287"/>
      <c r="D54" s="288"/>
      <c r="E54" s="289"/>
      <c r="F54" s="289"/>
      <c r="G54" s="289"/>
    </row>
    <row r="55" spans="1:8" s="233" customFormat="1">
      <c r="A55" s="439" t="s">
        <v>364</v>
      </c>
      <c r="B55" s="439"/>
      <c r="C55" s="439"/>
      <c r="D55" s="439"/>
      <c r="E55" s="439"/>
      <c r="F55" s="439"/>
      <c r="G55" s="439"/>
      <c r="H55" s="439"/>
    </row>
    <row r="56" spans="1:8" s="233" customFormat="1" ht="29.25" customHeight="1">
      <c r="A56" s="449" t="s">
        <v>365</v>
      </c>
      <c r="B56" s="449"/>
      <c r="C56" s="449"/>
      <c r="D56" s="449"/>
      <c r="E56" s="449"/>
      <c r="F56" s="449"/>
      <c r="G56" s="449"/>
      <c r="H56" s="449"/>
    </row>
    <row r="57" spans="1:8" s="233" customFormat="1" ht="16.5" customHeight="1">
      <c r="A57" s="439" t="s">
        <v>366</v>
      </c>
      <c r="B57" s="439"/>
      <c r="C57" s="439"/>
      <c r="D57" s="439"/>
      <c r="E57" s="439"/>
      <c r="F57" s="439"/>
      <c r="G57" s="439"/>
      <c r="H57" s="439"/>
    </row>
    <row r="58" spans="1:8" s="233" customFormat="1" ht="16.5" customHeight="1">
      <c r="A58" s="439" t="s">
        <v>367</v>
      </c>
      <c r="B58" s="439"/>
      <c r="C58" s="439"/>
      <c r="D58" s="439"/>
      <c r="E58" s="439"/>
      <c r="F58" s="439"/>
      <c r="G58" s="439"/>
      <c r="H58" s="439"/>
    </row>
    <row r="59" spans="1:8" s="233" customFormat="1" ht="16.5" customHeight="1">
      <c r="A59" s="439" t="s">
        <v>368</v>
      </c>
      <c r="B59" s="439"/>
      <c r="C59" s="439"/>
      <c r="D59" s="439"/>
      <c r="E59" s="439"/>
      <c r="F59" s="439"/>
      <c r="G59" s="439"/>
      <c r="H59" s="439"/>
    </row>
    <row r="60" spans="1:8" s="233" customFormat="1" ht="122.25" customHeight="1">
      <c r="A60" s="439" t="s">
        <v>369</v>
      </c>
      <c r="B60" s="439"/>
      <c r="C60" s="439"/>
      <c r="D60" s="439"/>
      <c r="E60" s="439"/>
      <c r="F60" s="439"/>
      <c r="G60" s="439"/>
      <c r="H60" s="439"/>
    </row>
    <row r="61" spans="1:8" s="233" customFormat="1" ht="44.25" customHeight="1">
      <c r="A61" s="439" t="s">
        <v>370</v>
      </c>
      <c r="B61" s="439"/>
      <c r="C61" s="439"/>
      <c r="D61" s="439"/>
      <c r="E61" s="439"/>
      <c r="F61" s="439"/>
      <c r="G61" s="439"/>
      <c r="H61" s="439"/>
    </row>
    <row r="62" spans="1:8" s="233" customFormat="1" ht="32.25" customHeight="1">
      <c r="A62" s="439" t="s">
        <v>371</v>
      </c>
      <c r="B62" s="439"/>
      <c r="C62" s="439"/>
      <c r="D62" s="439"/>
      <c r="E62" s="439"/>
      <c r="F62" s="439"/>
      <c r="G62" s="439"/>
      <c r="H62" s="439"/>
    </row>
    <row r="63" spans="1:8" s="233" customFormat="1">
      <c r="A63" s="439"/>
      <c r="B63" s="439"/>
      <c r="C63" s="439"/>
      <c r="D63" s="439"/>
      <c r="E63" s="439"/>
      <c r="F63" s="439"/>
      <c r="G63" s="439"/>
      <c r="H63" s="439"/>
    </row>
    <row r="64" spans="1:8" s="233" customFormat="1">
      <c r="A64" s="233" t="s">
        <v>17</v>
      </c>
      <c r="D64" s="231"/>
      <c r="G64" s="230"/>
    </row>
    <row r="65" spans="1:7" s="233" customFormat="1">
      <c r="D65" s="231"/>
      <c r="G65" s="230"/>
    </row>
    <row r="66" spans="1:7" s="233" customFormat="1" ht="15" customHeight="1">
      <c r="A66" s="290"/>
      <c r="B66" s="290"/>
      <c r="C66" s="290"/>
      <c r="D66" s="231"/>
      <c r="E66" s="290"/>
      <c r="F66" s="290"/>
      <c r="G66" s="291"/>
    </row>
    <row r="67" spans="1:7" s="233" customFormat="1">
      <c r="A67" s="452" t="s">
        <v>355</v>
      </c>
      <c r="B67" s="452"/>
      <c r="C67" s="452"/>
      <c r="D67" s="231"/>
      <c r="E67" s="452" t="s">
        <v>18</v>
      </c>
      <c r="F67" s="452"/>
      <c r="G67" s="452"/>
    </row>
  </sheetData>
  <sheetProtection password="CAF1" sheet="1" objects="1" scenarios="1" selectLockedCells="1"/>
  <mergeCells count="25">
    <mergeCell ref="A60:H60"/>
    <mergeCell ref="A61:H61"/>
    <mergeCell ref="A62:H62"/>
    <mergeCell ref="A63:H63"/>
    <mergeCell ref="A67:C67"/>
    <mergeCell ref="E67:G67"/>
    <mergeCell ref="H1:H2"/>
    <mergeCell ref="A6:B6"/>
    <mergeCell ref="A7:B7"/>
    <mergeCell ref="A8:B8"/>
    <mergeCell ref="A9:B9"/>
    <mergeCell ref="C5:H5"/>
    <mergeCell ref="C6:H6"/>
    <mergeCell ref="C7:H7"/>
    <mergeCell ref="C8:H8"/>
    <mergeCell ref="C9:H9"/>
    <mergeCell ref="A56:H56"/>
    <mergeCell ref="A57:H57"/>
    <mergeCell ref="A58:H58"/>
    <mergeCell ref="A59:H59"/>
    <mergeCell ref="C10:H10"/>
    <mergeCell ref="A24:G24"/>
    <mergeCell ref="A53:D53"/>
    <mergeCell ref="A10:B10"/>
    <mergeCell ref="A55:H55"/>
  </mergeCells>
  <hyperlinks>
    <hyperlink ref="J4" location="'DATA SHEET'!A1" display="Return to Data Sheet" xr:uid="{00000000-0004-0000-1200-000000000000}"/>
    <hyperlink ref="C1" location="'DATA SHEET'!A1" display="HIGHLANDS PRIME, INC." xr:uid="{00000000-0004-0000-1200-000001000000}"/>
  </hyperlinks>
  <printOptions horizontalCentered="1"/>
  <pageMargins left="0.7" right="0.7" top="0.5" bottom="0.75" header="0.05" footer="0.3"/>
  <pageSetup scale="75" orientation="portrait" r:id="rId1"/>
  <headerFooter alignWithMargins="0">
    <oddFooter>&amp;L&amp;8A project of HIGHLANDS PRIME, INC. Horizon Terraces HLURB License To Sell No. 032272&amp;R&amp;8Page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O53"/>
  <sheetViews>
    <sheetView workbookViewId="0">
      <selection activeCell="C20" sqref="C20"/>
    </sheetView>
  </sheetViews>
  <sheetFormatPr baseColWidth="10" defaultColWidth="9.1640625" defaultRowHeight="15"/>
  <cols>
    <col min="1" max="1" width="9.1640625" style="205"/>
    <col min="2" max="3" width="23.33203125" style="205" customWidth="1"/>
    <col min="4" max="4" width="26.83203125" style="205" bestFit="1" customWidth="1"/>
    <col min="5" max="5" width="28.5" style="205" customWidth="1"/>
    <col min="6" max="6" width="19.33203125" style="205" customWidth="1"/>
    <col min="7" max="7" width="19.33203125" style="218" customWidth="1"/>
    <col min="8" max="8" width="9.1640625" style="205"/>
    <col min="9" max="9" width="9.1640625" style="205" customWidth="1"/>
    <col min="10" max="10" width="17.1640625" style="205" customWidth="1"/>
    <col min="11" max="11" width="17" style="205" customWidth="1"/>
    <col min="12" max="12" width="20" style="205" customWidth="1"/>
    <col min="13" max="13" width="16.6640625" style="205" customWidth="1"/>
    <col min="14" max="14" width="19" style="205" customWidth="1"/>
    <col min="15" max="15" width="16" style="205" customWidth="1"/>
    <col min="16" max="16" width="4.6640625" style="205" customWidth="1"/>
    <col min="17" max="16384" width="9.1640625" style="205"/>
  </cols>
  <sheetData>
    <row r="2" spans="2:15" ht="16">
      <c r="B2" s="201" t="s">
        <v>133</v>
      </c>
      <c r="C2" s="202"/>
      <c r="D2" s="202"/>
      <c r="E2" s="202"/>
      <c r="F2" s="202"/>
      <c r="G2" s="203"/>
      <c r="H2" s="204"/>
    </row>
    <row r="3" spans="2:15" ht="16">
      <c r="B3" s="201" t="s">
        <v>137</v>
      </c>
      <c r="C3" s="202"/>
      <c r="D3" s="202"/>
      <c r="E3" s="202"/>
      <c r="F3" s="202"/>
      <c r="G3" s="203"/>
      <c r="H3" s="204"/>
    </row>
    <row r="4" spans="2:15">
      <c r="B4" s="206"/>
      <c r="C4" s="202"/>
      <c r="D4" s="202"/>
      <c r="E4" s="202"/>
      <c r="F4" s="207" t="s">
        <v>134</v>
      </c>
      <c r="G4" s="208"/>
      <c r="H4" s="204"/>
    </row>
    <row r="5" spans="2:15" ht="28">
      <c r="B5" s="209" t="s">
        <v>40</v>
      </c>
      <c r="C5" s="209" t="s">
        <v>138</v>
      </c>
      <c r="D5" s="209" t="s">
        <v>41</v>
      </c>
      <c r="E5" s="210" t="s">
        <v>135</v>
      </c>
      <c r="F5" s="210" t="s">
        <v>136</v>
      </c>
      <c r="G5" s="211" t="s">
        <v>233</v>
      </c>
      <c r="H5" s="212"/>
      <c r="I5" s="209"/>
      <c r="J5" s="209" t="s">
        <v>40</v>
      </c>
      <c r="K5" s="209" t="s">
        <v>138</v>
      </c>
      <c r="L5" s="209" t="s">
        <v>41</v>
      </c>
      <c r="M5" s="210" t="s">
        <v>135</v>
      </c>
      <c r="N5" s="210" t="s">
        <v>136</v>
      </c>
      <c r="O5" s="211" t="s">
        <v>233</v>
      </c>
    </row>
    <row r="6" spans="2:15">
      <c r="B6" s="419" t="s">
        <v>145</v>
      </c>
      <c r="C6" s="202" t="s">
        <v>139</v>
      </c>
      <c r="D6" s="202" t="s">
        <v>140</v>
      </c>
      <c r="E6" s="213">
        <f>VLOOKUP(C6,'[6]garden suites'!$D$7:$AS$61,3,0)</f>
        <v>67.900000000000006</v>
      </c>
      <c r="F6" s="214">
        <f xml:space="preserve"> '[7]garden suites'!$G$7</f>
        <v>10061680</v>
      </c>
      <c r="G6" s="203">
        <v>0.03</v>
      </c>
      <c r="H6" s="204"/>
      <c r="J6" s="421" t="s">
        <v>145</v>
      </c>
      <c r="K6" s="202" t="s">
        <v>146</v>
      </c>
      <c r="L6" s="202" t="s">
        <v>147</v>
      </c>
      <c r="M6" s="213">
        <f>VLOOKUP(K6,'[6]garden suites'!$D$7:$AS$61,3,0)</f>
        <v>65.599999999999994</v>
      </c>
      <c r="N6" s="214">
        <f>'[7]garden suites'!$G$13</f>
        <v>9934000</v>
      </c>
      <c r="O6" s="203">
        <v>0.05</v>
      </c>
    </row>
    <row r="7" spans="2:15">
      <c r="B7" s="419"/>
      <c r="C7" s="202" t="s">
        <v>141</v>
      </c>
      <c r="D7" s="202" t="s">
        <v>140</v>
      </c>
      <c r="E7" s="213">
        <f>VLOOKUP(C7,'[6]garden suites'!$D$7:$AS$61,3,0)</f>
        <v>67.900000000000006</v>
      </c>
      <c r="F7" s="214">
        <f>'[7]garden suites'!$G$8</f>
        <v>9150000</v>
      </c>
      <c r="G7" s="203">
        <v>0.03</v>
      </c>
      <c r="H7" s="204"/>
      <c r="J7" s="421"/>
      <c r="K7" s="202" t="s">
        <v>148</v>
      </c>
      <c r="L7" s="202" t="s">
        <v>149</v>
      </c>
      <c r="M7" s="213">
        <f>VLOOKUP(K7,'[6]garden suites'!$D$7:$AS$61,3,0)</f>
        <v>43.12</v>
      </c>
      <c r="N7" s="214">
        <f>'[7]garden suites'!$G$14</f>
        <v>6546000</v>
      </c>
      <c r="O7" s="203">
        <v>0.05</v>
      </c>
    </row>
    <row r="8" spans="2:15">
      <c r="B8" s="419"/>
      <c r="C8" s="202" t="s">
        <v>142</v>
      </c>
      <c r="D8" s="202" t="s">
        <v>140</v>
      </c>
      <c r="E8" s="213">
        <f>VLOOKUP(C8,'[6]garden suites'!$D$7:$AS$61,3,0)</f>
        <v>67.900000000000006</v>
      </c>
      <c r="F8" s="214">
        <f>'[7]garden suites'!$G$9</f>
        <v>9150000</v>
      </c>
      <c r="G8" s="203">
        <v>0.03</v>
      </c>
      <c r="H8" s="204"/>
      <c r="J8" s="421"/>
      <c r="K8" s="202" t="s">
        <v>150</v>
      </c>
      <c r="L8" s="202" t="s">
        <v>149</v>
      </c>
      <c r="M8" s="213">
        <f>VLOOKUP(K8,'[6]garden suites'!$D$7:$AS$61,3,0)</f>
        <v>49.85</v>
      </c>
      <c r="N8" s="214">
        <f>'[7]garden suites'!$G$15</f>
        <v>7114960</v>
      </c>
      <c r="O8" s="203">
        <v>0.05</v>
      </c>
    </row>
    <row r="9" spans="2:15">
      <c r="B9" s="419"/>
      <c r="C9" s="202" t="s">
        <v>143</v>
      </c>
      <c r="D9" s="202" t="s">
        <v>140</v>
      </c>
      <c r="E9" s="213">
        <f>VLOOKUP(C9,'[6]garden suites'!$D$7:$AS$61,3,0)</f>
        <v>67.900000000000006</v>
      </c>
      <c r="F9" s="214">
        <f>'[7]garden suites'!$G$10</f>
        <v>9150000</v>
      </c>
      <c r="G9" s="203">
        <v>0.03</v>
      </c>
      <c r="H9" s="204"/>
      <c r="J9" s="421"/>
      <c r="K9" s="202" t="s">
        <v>151</v>
      </c>
      <c r="L9" s="202" t="s">
        <v>149</v>
      </c>
      <c r="M9" s="213">
        <f>VLOOKUP(K9,'[6]garden suites'!$D$7:$AS$61,3,0)</f>
        <v>43.12</v>
      </c>
      <c r="N9" s="214">
        <f>'[7]garden suites'!$G$16</f>
        <v>6546000</v>
      </c>
      <c r="O9" s="203">
        <v>0.05</v>
      </c>
    </row>
    <row r="10" spans="2:15">
      <c r="B10" s="419"/>
      <c r="C10" s="202" t="s">
        <v>144</v>
      </c>
      <c r="D10" s="202" t="s">
        <v>140</v>
      </c>
      <c r="E10" s="213">
        <f>VLOOKUP(C10,'[6]garden suites'!$D$7:$AS$61,3,0)</f>
        <v>67.900000000000006</v>
      </c>
      <c r="F10" s="214">
        <f>'[7]garden suites'!$G$11</f>
        <v>9150000</v>
      </c>
      <c r="G10" s="203">
        <v>0.03</v>
      </c>
      <c r="H10" s="204"/>
      <c r="J10" s="421"/>
      <c r="K10" s="202" t="s">
        <v>152</v>
      </c>
      <c r="L10" s="202" t="s">
        <v>147</v>
      </c>
      <c r="M10" s="213">
        <f>VLOOKUP(K10,'[6]garden suites'!$D$7:$AS$61,3,0)</f>
        <v>65.599999999999994</v>
      </c>
      <c r="N10" s="214">
        <f>'[7]garden suites'!$G$17</f>
        <v>9566640</v>
      </c>
      <c r="O10" s="203">
        <v>0.05</v>
      </c>
    </row>
    <row r="11" spans="2:15">
      <c r="B11" s="419"/>
      <c r="C11" s="202" t="s">
        <v>145</v>
      </c>
      <c r="D11" s="202" t="s">
        <v>140</v>
      </c>
      <c r="E11" s="213">
        <f>VLOOKUP(C11,'[6]garden suites'!$D$7:$AS$61,3,0)</f>
        <v>67.900000000000006</v>
      </c>
      <c r="F11" s="214">
        <f>'[7]garden suites'!$G$12</f>
        <v>10617200</v>
      </c>
      <c r="G11" s="203">
        <v>0.03</v>
      </c>
      <c r="H11" s="204"/>
      <c r="J11" s="421" t="s">
        <v>262</v>
      </c>
      <c r="K11" s="202" t="s">
        <v>155</v>
      </c>
      <c r="L11" s="202" t="s">
        <v>147</v>
      </c>
      <c r="M11" s="213">
        <f>VLOOKUP(K11,'[6]garden suites'!$D$7:$AS$61,3,0)</f>
        <v>65.599999999999994</v>
      </c>
      <c r="N11" s="214">
        <f>'[7]garden suites'!$G$23</f>
        <v>11624080</v>
      </c>
      <c r="O11" s="203">
        <v>0.05</v>
      </c>
    </row>
    <row r="12" spans="2:15" ht="33" customHeight="1">
      <c r="B12" s="419" t="s">
        <v>153</v>
      </c>
      <c r="C12" s="202" t="s">
        <v>131</v>
      </c>
      <c r="D12" s="202" t="s">
        <v>147</v>
      </c>
      <c r="E12" s="213">
        <f>VLOOKUP(C12,'[6]garden suites'!$D$7:$AS$61,3,0)</f>
        <v>68.349999999999994</v>
      </c>
      <c r="F12" s="214">
        <f>'[7]garden suites'!$G$18</f>
        <v>12233360</v>
      </c>
      <c r="G12" s="203">
        <v>0.03</v>
      </c>
      <c r="H12" s="204"/>
      <c r="J12" s="421"/>
      <c r="K12" s="202" t="s">
        <v>44</v>
      </c>
      <c r="L12" s="202" t="s">
        <v>149</v>
      </c>
      <c r="M12" s="213">
        <f>VLOOKUP(K12,'[6]garden suites'!$D$7:$AS$61,3,0)</f>
        <v>43.12</v>
      </c>
      <c r="N12" s="214">
        <f>'[7]garden suites'!$G$24</f>
        <v>6642320</v>
      </c>
      <c r="O12" s="203">
        <v>0.05</v>
      </c>
    </row>
    <row r="13" spans="2:15">
      <c r="B13" s="419"/>
      <c r="C13" s="202" t="s">
        <v>42</v>
      </c>
      <c r="D13" s="202" t="s">
        <v>149</v>
      </c>
      <c r="E13" s="213">
        <f>VLOOKUP(C13,'[6]garden suites'!$D$7:$AS$61,3,0)</f>
        <v>43.12</v>
      </c>
      <c r="F13" s="214">
        <f>'[7]garden suites'!$G$19</f>
        <v>7657040</v>
      </c>
      <c r="G13" s="203">
        <v>0.03</v>
      </c>
      <c r="H13" s="204"/>
      <c r="J13" s="421"/>
      <c r="K13" s="202" t="s">
        <v>45</v>
      </c>
      <c r="L13" s="202" t="s">
        <v>149</v>
      </c>
      <c r="M13" s="213">
        <f>VLOOKUP(K13,'[6]garden suites'!$D$7:$AS$61,3,0)</f>
        <v>49.85</v>
      </c>
      <c r="N13" s="214">
        <f>'[7]garden suites'!$G$25</f>
        <v>7226960</v>
      </c>
      <c r="O13" s="203">
        <v>0.05</v>
      </c>
    </row>
    <row r="14" spans="2:15">
      <c r="B14" s="419"/>
      <c r="C14" s="202" t="s">
        <v>43</v>
      </c>
      <c r="D14" s="202" t="s">
        <v>149</v>
      </c>
      <c r="E14" s="213">
        <f>VLOOKUP(C14,'[6]garden suites'!$D$7:$AS$61,3,0)</f>
        <v>43.12</v>
      </c>
      <c r="F14" s="214">
        <f>'[7]garden suites'!$G$20</f>
        <v>7657040</v>
      </c>
      <c r="G14" s="203">
        <v>0.03</v>
      </c>
      <c r="H14" s="204"/>
      <c r="J14" s="421"/>
      <c r="K14" s="202" t="s">
        <v>156</v>
      </c>
      <c r="L14" s="202" t="s">
        <v>149</v>
      </c>
      <c r="M14" s="213">
        <f>VLOOKUP(K14,'[6]garden suites'!$D$7:$AS$61,3,0)</f>
        <v>49.85</v>
      </c>
      <c r="N14" s="214">
        <f>'[7]garden suites'!$G$26</f>
        <v>7226960</v>
      </c>
      <c r="O14" s="203">
        <v>0.05</v>
      </c>
    </row>
    <row r="15" spans="2:15">
      <c r="B15" s="419"/>
      <c r="C15" s="202" t="s">
        <v>132</v>
      </c>
      <c r="D15" s="202" t="s">
        <v>149</v>
      </c>
      <c r="E15" s="213">
        <f>VLOOKUP(C15,'[6]garden suites'!$D$7:$AS$61,3,0)</f>
        <v>43.12</v>
      </c>
      <c r="F15" s="214">
        <f>'[7]garden suites'!$G$21</f>
        <v>7657040</v>
      </c>
      <c r="G15" s="203">
        <v>0.03</v>
      </c>
      <c r="H15" s="204"/>
      <c r="J15" s="421"/>
      <c r="K15" s="202" t="s">
        <v>157</v>
      </c>
      <c r="L15" s="202" t="s">
        <v>149</v>
      </c>
      <c r="M15" s="213">
        <f>VLOOKUP(K15,'[6]garden suites'!$D$7:$AS$61,3,0)</f>
        <v>43.12</v>
      </c>
      <c r="N15" s="214">
        <f>'[7]garden suites'!$G$27</f>
        <v>6642320</v>
      </c>
      <c r="O15" s="203">
        <v>0.05</v>
      </c>
    </row>
    <row r="16" spans="2:15">
      <c r="B16" s="419"/>
      <c r="C16" s="202" t="s">
        <v>154</v>
      </c>
      <c r="D16" s="202" t="s">
        <v>147</v>
      </c>
      <c r="E16" s="213">
        <f>VLOOKUP(C16,'[6]garden suites'!$D$7:$AS$61,3,0)</f>
        <v>68.349999999999994</v>
      </c>
      <c r="F16" s="214">
        <f>'[7]garden suites'!$G$22</f>
        <v>12846000</v>
      </c>
      <c r="G16" s="203">
        <v>0.03</v>
      </c>
      <c r="H16" s="204"/>
      <c r="J16" s="421"/>
      <c r="K16" s="202" t="s">
        <v>158</v>
      </c>
      <c r="L16" s="202" t="s">
        <v>147</v>
      </c>
      <c r="M16" s="213">
        <f>VLOOKUP(K16,'[6]garden suites'!$D$7:$AS$61,3,0)</f>
        <v>65.599999999999994</v>
      </c>
      <c r="N16" s="214">
        <f>'[7]garden suites'!$G$28</f>
        <v>11256720</v>
      </c>
      <c r="O16" s="203">
        <v>0.05</v>
      </c>
    </row>
    <row r="17" spans="2:15" ht="16.5" customHeight="1">
      <c r="B17" s="419" t="s">
        <v>263</v>
      </c>
      <c r="C17" s="202" t="s">
        <v>159</v>
      </c>
      <c r="D17" s="202" t="s">
        <v>147</v>
      </c>
      <c r="E17" s="213">
        <f>VLOOKUP(C17,'[6]garden suites'!$D$7:$AS$61,3,0)</f>
        <v>68.349999999999994</v>
      </c>
      <c r="F17" s="214">
        <f>'[7]garden suites'!$G$29</f>
        <v>12462960</v>
      </c>
      <c r="G17" s="203">
        <v>0.03</v>
      </c>
      <c r="H17" s="204"/>
      <c r="J17" s="421" t="s">
        <v>263</v>
      </c>
      <c r="K17" s="202" t="s">
        <v>161</v>
      </c>
      <c r="L17" s="202" t="s">
        <v>147</v>
      </c>
      <c r="M17" s="213">
        <f>VLOOKUP(K17,'[6]garden suites'!$D$7:$AS$61,3,0)</f>
        <v>65.599999999999994</v>
      </c>
      <c r="N17" s="214">
        <f>'[7]garden suites'!$G$34</f>
        <v>11770800</v>
      </c>
      <c r="O17" s="203">
        <v>0.05</v>
      </c>
    </row>
    <row r="18" spans="2:15">
      <c r="B18" s="419"/>
      <c r="C18" s="202" t="s">
        <v>160</v>
      </c>
      <c r="D18" s="202" t="s">
        <v>149</v>
      </c>
      <c r="E18" s="213">
        <f>VLOOKUP(C18,'[6]garden suites'!$D$7:$AS$61,3,0)</f>
        <v>43.12</v>
      </c>
      <c r="F18" s="214">
        <f>'[7]garden suites'!$G$30</f>
        <v>7801520</v>
      </c>
      <c r="G18" s="203">
        <v>0.03</v>
      </c>
      <c r="H18" s="204"/>
      <c r="J18" s="421"/>
      <c r="K18" s="202" t="s">
        <v>162</v>
      </c>
      <c r="L18" s="202" t="s">
        <v>149</v>
      </c>
      <c r="M18" s="213">
        <f>VLOOKUP(K18,'[6]garden suites'!$D$7:$AS$61,3,0)</f>
        <v>43.12</v>
      </c>
      <c r="N18" s="214">
        <f>'[7]garden suites'!$G$35</f>
        <v>6738640</v>
      </c>
      <c r="O18" s="203">
        <v>0.05</v>
      </c>
    </row>
    <row r="19" spans="2:15">
      <c r="B19" s="419"/>
      <c r="C19" s="202" t="s">
        <v>260</v>
      </c>
      <c r="D19" s="202" t="s">
        <v>149</v>
      </c>
      <c r="E19" s="213">
        <v>43.12</v>
      </c>
      <c r="F19" s="214">
        <v>7801520</v>
      </c>
      <c r="G19" s="203">
        <v>0.03</v>
      </c>
      <c r="H19" s="204"/>
      <c r="J19" s="421"/>
      <c r="K19" s="202" t="s">
        <v>46</v>
      </c>
      <c r="L19" s="202" t="s">
        <v>149</v>
      </c>
      <c r="M19" s="213">
        <f>VLOOKUP(K19,'[6]garden suites'!$D$7:$AS$61,3,0)</f>
        <v>49.85</v>
      </c>
      <c r="N19" s="214">
        <f>'[7]garden suites'!$G$36</f>
        <v>7338960</v>
      </c>
      <c r="O19" s="203">
        <v>0.05</v>
      </c>
    </row>
    <row r="20" spans="2:15">
      <c r="B20" s="419"/>
      <c r="C20" s="202" t="s">
        <v>162</v>
      </c>
      <c r="D20" s="202" t="s">
        <v>149</v>
      </c>
      <c r="E20" s="213">
        <v>43.12</v>
      </c>
      <c r="F20" s="214">
        <v>6638640</v>
      </c>
      <c r="G20" s="203"/>
      <c r="H20" s="204"/>
      <c r="J20" s="421"/>
      <c r="K20" s="202"/>
      <c r="L20" s="202"/>
      <c r="M20" s="213"/>
      <c r="N20" s="214"/>
      <c r="O20" s="203"/>
    </row>
    <row r="21" spans="2:15">
      <c r="B21" s="419" t="s">
        <v>264</v>
      </c>
      <c r="C21" s="202" t="s">
        <v>47</v>
      </c>
      <c r="D21" s="202" t="s">
        <v>147</v>
      </c>
      <c r="E21" s="213">
        <f>VLOOKUP(C21,'[6]garden suites'!$D$7:$AS$61,3,0)</f>
        <v>68.349999999999994</v>
      </c>
      <c r="F21" s="214">
        <f>'[7]garden suites'!$G$40</f>
        <v>12692560</v>
      </c>
      <c r="G21" s="203">
        <v>0.03</v>
      </c>
      <c r="H21" s="204"/>
      <c r="J21" s="421"/>
      <c r="K21" s="202" t="s">
        <v>163</v>
      </c>
      <c r="L21" s="202" t="s">
        <v>149</v>
      </c>
      <c r="M21" s="213">
        <f>VLOOKUP(K21,'[6]garden suites'!$D$7:$AS$61,3,0)</f>
        <v>49.85</v>
      </c>
      <c r="N21" s="214">
        <f>'[7]garden suites'!$G$37</f>
        <v>7338960</v>
      </c>
      <c r="O21" s="203">
        <v>0.05</v>
      </c>
    </row>
    <row r="22" spans="2:15">
      <c r="B22" s="419"/>
      <c r="C22" s="202" t="s">
        <v>166</v>
      </c>
      <c r="D22" s="202" t="s">
        <v>149</v>
      </c>
      <c r="E22" s="213">
        <f>VLOOKUP(C22,'[6]garden suites'!$D$7:$AS$61,3,0)</f>
        <v>43.12</v>
      </c>
      <c r="F22" s="214">
        <f>'[7]garden suites'!$G$41</f>
        <v>7946000</v>
      </c>
      <c r="G22" s="203">
        <v>0.03</v>
      </c>
      <c r="H22" s="204"/>
      <c r="J22" s="421"/>
      <c r="K22" s="202" t="s">
        <v>164</v>
      </c>
      <c r="L22" s="202" t="s">
        <v>149</v>
      </c>
      <c r="M22" s="213">
        <f>VLOOKUP(K22,'[6]garden suites'!$D$7:$AS$61,3,0)</f>
        <v>43.12</v>
      </c>
      <c r="N22" s="214">
        <f>'[7]garden suites'!$G$38</f>
        <v>6738640</v>
      </c>
      <c r="O22" s="203">
        <v>0.05</v>
      </c>
    </row>
    <row r="23" spans="2:15">
      <c r="B23" s="215" t="s">
        <v>265</v>
      </c>
      <c r="C23" s="202" t="s">
        <v>172</v>
      </c>
      <c r="D23" s="202" t="s">
        <v>147</v>
      </c>
      <c r="E23" s="213">
        <f>VLOOKUP(C23,'[6]garden suites'!$D$7:$AS$61,3,0)</f>
        <v>68.349999999999994</v>
      </c>
      <c r="F23" s="214">
        <f>'[7]garden suites'!$G$51</f>
        <v>12922160</v>
      </c>
      <c r="G23" s="203">
        <v>0.03</v>
      </c>
      <c r="H23" s="204"/>
      <c r="J23" s="421"/>
      <c r="K23" s="202" t="s">
        <v>165</v>
      </c>
      <c r="L23" s="202" t="s">
        <v>147</v>
      </c>
      <c r="M23" s="213">
        <f>VLOOKUP(K23,'[6]garden suites'!$D$7:$AS$61,3,0)</f>
        <v>65.599999999999994</v>
      </c>
      <c r="N23" s="214">
        <f>'[7]garden suites'!$G$39</f>
        <v>11403440</v>
      </c>
      <c r="O23" s="203">
        <v>0.05</v>
      </c>
    </row>
    <row r="24" spans="2:15">
      <c r="B24" s="216"/>
      <c r="C24" s="202"/>
      <c r="D24" s="202"/>
      <c r="E24" s="213"/>
      <c r="F24" s="214"/>
      <c r="G24" s="203"/>
      <c r="H24" s="204"/>
      <c r="J24" s="421" t="s">
        <v>264</v>
      </c>
      <c r="K24" s="202" t="s">
        <v>167</v>
      </c>
      <c r="L24" s="202" t="s">
        <v>149</v>
      </c>
      <c r="M24" s="213">
        <f>VLOOKUP(K24,'[6]garden suites'!$D$7:$AS$61,3,0)</f>
        <v>43.12</v>
      </c>
      <c r="N24" s="214">
        <f>'[7]garden suites'!$G$46</f>
        <v>6836080</v>
      </c>
      <c r="O24" s="203">
        <v>0.05</v>
      </c>
    </row>
    <row r="25" spans="2:15">
      <c r="B25" s="216"/>
      <c r="C25" s="202"/>
      <c r="D25" s="202"/>
      <c r="E25" s="213"/>
      <c r="F25" s="214"/>
      <c r="G25" s="203"/>
      <c r="H25" s="204"/>
      <c r="J25" s="421"/>
      <c r="K25" s="202" t="s">
        <v>168</v>
      </c>
      <c r="L25" s="202" t="s">
        <v>149</v>
      </c>
      <c r="M25" s="213">
        <f>VLOOKUP(K25,'[6]garden suites'!$D$7:$AS$61,3,0)</f>
        <v>49.85</v>
      </c>
      <c r="N25" s="214">
        <f>'[7]garden suites'!$G$47</f>
        <v>7449840</v>
      </c>
      <c r="O25" s="203">
        <v>0.05</v>
      </c>
    </row>
    <row r="26" spans="2:15">
      <c r="B26" s="216"/>
      <c r="C26" s="202"/>
      <c r="D26" s="202"/>
      <c r="E26" s="213"/>
      <c r="F26" s="214"/>
      <c r="G26" s="203"/>
      <c r="H26" s="204"/>
      <c r="J26" s="421"/>
      <c r="K26" s="202" t="s">
        <v>169</v>
      </c>
      <c r="L26" s="202" t="s">
        <v>149</v>
      </c>
      <c r="M26" s="213">
        <f>VLOOKUP(K26,'[6]garden suites'!$D$7:$AS$61,3,0)</f>
        <v>49.85</v>
      </c>
      <c r="N26" s="214">
        <f>'[7]garden suites'!$G$48</f>
        <v>7449840</v>
      </c>
      <c r="O26" s="203">
        <v>0.05</v>
      </c>
    </row>
    <row r="27" spans="2:15">
      <c r="B27" s="216"/>
      <c r="C27" s="202"/>
      <c r="D27" s="202"/>
      <c r="E27" s="213"/>
      <c r="F27" s="214"/>
      <c r="G27" s="203"/>
      <c r="H27" s="204"/>
      <c r="J27" s="421"/>
      <c r="K27" s="202" t="s">
        <v>170</v>
      </c>
      <c r="L27" s="202" t="s">
        <v>149</v>
      </c>
      <c r="M27" s="213">
        <f>VLOOKUP(K27,'[6]garden suites'!$D$7:$AS$61,3,0)</f>
        <v>43.12</v>
      </c>
      <c r="N27" s="214">
        <f>'[7]garden suites'!$G$49</f>
        <v>6836080</v>
      </c>
      <c r="O27" s="203">
        <v>0.05</v>
      </c>
    </row>
    <row r="28" spans="2:15">
      <c r="B28" s="216"/>
      <c r="C28" s="202"/>
      <c r="D28" s="202"/>
      <c r="E28" s="213"/>
      <c r="F28" s="214"/>
      <c r="G28" s="203"/>
      <c r="H28" s="204"/>
      <c r="J28" s="421"/>
      <c r="K28" s="202" t="s">
        <v>171</v>
      </c>
      <c r="L28" s="202" t="s">
        <v>147</v>
      </c>
      <c r="M28" s="213">
        <f>VLOOKUP(K28,'[6]garden suites'!$D$7:$AS$61,3,0)</f>
        <v>65.599999999999994</v>
      </c>
      <c r="N28" s="214">
        <f>'[7]garden suites'!$G$50</f>
        <v>11551280</v>
      </c>
      <c r="O28" s="203">
        <v>0.05</v>
      </c>
    </row>
    <row r="29" spans="2:15" ht="16.5" customHeight="1">
      <c r="B29" s="420"/>
      <c r="C29" s="202"/>
      <c r="D29" s="202"/>
      <c r="E29" s="213"/>
      <c r="F29" s="214"/>
      <c r="G29" s="203"/>
      <c r="H29" s="204"/>
      <c r="J29" s="421" t="s">
        <v>265</v>
      </c>
      <c r="K29" s="202" t="s">
        <v>173</v>
      </c>
      <c r="L29" s="202" t="s">
        <v>149</v>
      </c>
      <c r="M29" s="213">
        <f>VLOOKUP(K29,'[6]garden suites'!$D$7:$AS$61,3,0)</f>
        <v>43.12</v>
      </c>
      <c r="N29" s="214">
        <f>'[7]garden suites'!$G$57</f>
        <v>6932400</v>
      </c>
      <c r="O29" s="203">
        <v>0.05</v>
      </c>
    </row>
    <row r="30" spans="2:15">
      <c r="B30" s="420"/>
      <c r="C30" s="202"/>
      <c r="D30" s="202"/>
      <c r="E30" s="213"/>
      <c r="F30" s="214"/>
      <c r="G30" s="203"/>
      <c r="H30" s="204"/>
      <c r="J30" s="421"/>
      <c r="K30" s="202" t="s">
        <v>174</v>
      </c>
      <c r="L30" s="202" t="s">
        <v>149</v>
      </c>
      <c r="M30" s="213">
        <f>VLOOKUP(K30,'[6]garden suites'!$D$7:$AS$61,3,0)</f>
        <v>49.85</v>
      </c>
      <c r="N30" s="214">
        <f>'[7]garden suites'!$G$58</f>
        <v>7561840</v>
      </c>
      <c r="O30" s="203">
        <v>0.05</v>
      </c>
    </row>
    <row r="31" spans="2:15">
      <c r="B31" s="420"/>
      <c r="C31" s="202"/>
      <c r="D31" s="202"/>
      <c r="E31" s="213"/>
      <c r="F31" s="214"/>
      <c r="G31" s="203"/>
      <c r="H31" s="204"/>
      <c r="J31" s="421"/>
      <c r="K31" s="202" t="s">
        <v>175</v>
      </c>
      <c r="L31" s="202" t="s">
        <v>149</v>
      </c>
      <c r="M31" s="213">
        <f>VLOOKUP(K31,'[6]garden suites'!$D$7:$AS$61,3,0)</f>
        <v>49.85</v>
      </c>
      <c r="N31" s="214">
        <f>'[7]garden suites'!$G$59</f>
        <v>7561840</v>
      </c>
      <c r="O31" s="203">
        <v>0.05</v>
      </c>
    </row>
    <row r="32" spans="2:15">
      <c r="B32" s="420"/>
      <c r="C32" s="202"/>
      <c r="D32" s="202"/>
      <c r="E32" s="213"/>
      <c r="F32" s="214"/>
      <c r="G32" s="203"/>
      <c r="H32" s="204"/>
      <c r="J32" s="421"/>
      <c r="K32" s="202" t="s">
        <v>176</v>
      </c>
      <c r="L32" s="202" t="s">
        <v>147</v>
      </c>
      <c r="M32" s="213">
        <f>'[7]garden suites'!$F$61</f>
        <v>65.599999999999994</v>
      </c>
      <c r="N32" s="214">
        <f>'[7]garden suites'!$G$61</f>
        <v>11698000</v>
      </c>
      <c r="O32" s="203">
        <v>0.05</v>
      </c>
    </row>
    <row r="33" spans="2:8">
      <c r="B33" s="420"/>
      <c r="C33" s="202"/>
      <c r="D33" s="202"/>
      <c r="E33" s="213"/>
      <c r="F33" s="214"/>
      <c r="G33" s="203"/>
      <c r="H33" s="204"/>
    </row>
    <row r="34" spans="2:8">
      <c r="B34" s="420"/>
      <c r="C34" s="202"/>
      <c r="D34" s="202"/>
      <c r="E34" s="213"/>
      <c r="F34" s="214"/>
      <c r="G34" s="203"/>
      <c r="H34" s="204"/>
    </row>
    <row r="35" spans="2:8" ht="15" customHeight="1">
      <c r="B35" s="420"/>
      <c r="C35" s="202"/>
      <c r="D35" s="202"/>
      <c r="E35" s="213"/>
      <c r="F35" s="214"/>
      <c r="G35" s="203"/>
      <c r="H35" s="204"/>
    </row>
    <row r="36" spans="2:8">
      <c r="B36" s="420"/>
      <c r="C36" s="202"/>
      <c r="D36" s="202"/>
      <c r="E36" s="213"/>
      <c r="F36" s="214"/>
      <c r="G36" s="203"/>
      <c r="H36" s="204"/>
    </row>
    <row r="37" spans="2:8">
      <c r="B37" s="420"/>
      <c r="C37" s="202"/>
      <c r="D37" s="202"/>
      <c r="E37" s="213"/>
      <c r="F37" s="214"/>
      <c r="G37" s="203"/>
      <c r="H37" s="204"/>
    </row>
    <row r="38" spans="2:8">
      <c r="B38" s="420"/>
      <c r="C38" s="202"/>
      <c r="D38" s="202"/>
      <c r="E38" s="213"/>
      <c r="F38" s="214"/>
      <c r="G38" s="203"/>
      <c r="H38" s="204"/>
    </row>
    <row r="39" spans="2:8">
      <c r="B39" s="420"/>
      <c r="C39" s="202"/>
      <c r="D39" s="202"/>
      <c r="E39" s="213"/>
      <c r="F39" s="214"/>
      <c r="G39" s="203"/>
      <c r="H39" s="204"/>
    </row>
    <row r="40" spans="2:8">
      <c r="B40" s="420"/>
      <c r="C40" s="202"/>
      <c r="D40" s="202"/>
      <c r="E40" s="213"/>
      <c r="F40" s="214"/>
      <c r="G40" s="203"/>
      <c r="H40" s="204"/>
    </row>
    <row r="41" spans="2:8">
      <c r="B41" s="420"/>
      <c r="C41" s="202"/>
      <c r="D41" s="202"/>
      <c r="E41" s="213"/>
      <c r="F41" s="214"/>
      <c r="G41" s="203"/>
      <c r="H41" s="204"/>
    </row>
    <row r="42" spans="2:8">
      <c r="B42" s="420"/>
      <c r="C42" s="202"/>
      <c r="D42" s="202"/>
      <c r="E42" s="213"/>
      <c r="F42" s="214"/>
      <c r="G42" s="203"/>
      <c r="H42" s="204"/>
    </row>
    <row r="43" spans="2:8">
      <c r="B43" s="420"/>
      <c r="C43" s="202"/>
      <c r="D43" s="202"/>
      <c r="E43" s="213"/>
      <c r="F43" s="214"/>
      <c r="G43" s="203"/>
      <c r="H43" s="204"/>
    </row>
    <row r="44" spans="2:8">
      <c r="B44" s="420"/>
      <c r="C44" s="202"/>
      <c r="D44" s="202"/>
      <c r="E44" s="213"/>
      <c r="F44" s="214"/>
      <c r="G44" s="203"/>
      <c r="H44" s="204"/>
    </row>
    <row r="45" spans="2:8">
      <c r="B45" s="418"/>
      <c r="C45" s="202"/>
      <c r="D45" s="202"/>
      <c r="E45" s="202"/>
      <c r="F45" s="202"/>
      <c r="G45" s="203"/>
      <c r="H45" s="204"/>
    </row>
    <row r="46" spans="2:8">
      <c r="B46" s="418"/>
      <c r="C46" s="217"/>
      <c r="D46" s="217"/>
      <c r="E46" s="217"/>
      <c r="F46" s="217"/>
      <c r="G46" s="217"/>
      <c r="H46" s="204"/>
    </row>
    <row r="47" spans="2:8">
      <c r="B47" s="418"/>
      <c r="C47" s="202"/>
      <c r="D47" s="202"/>
      <c r="E47" s="202"/>
      <c r="F47" s="202"/>
      <c r="G47" s="203"/>
      <c r="H47" s="204"/>
    </row>
    <row r="48" spans="2:8">
      <c r="B48" s="418"/>
      <c r="C48" s="204"/>
      <c r="D48" s="204"/>
      <c r="E48" s="204"/>
      <c r="F48" s="214">
        <v>1000000</v>
      </c>
      <c r="G48" s="203"/>
      <c r="H48" s="204"/>
    </row>
    <row r="49" spans="2:8">
      <c r="B49" s="418"/>
      <c r="H49" s="204"/>
    </row>
    <row r="50" spans="2:8">
      <c r="B50" s="202"/>
      <c r="H50" s="204"/>
    </row>
    <row r="51" spans="2:8" ht="21" customHeight="1">
      <c r="B51" s="219" t="s">
        <v>177</v>
      </c>
      <c r="H51" s="217"/>
    </row>
    <row r="52" spans="2:8">
      <c r="B52" s="202"/>
      <c r="H52" s="204"/>
    </row>
    <row r="53" spans="2:8">
      <c r="B53" s="204" t="s">
        <v>178</v>
      </c>
      <c r="H53" s="204"/>
    </row>
  </sheetData>
  <sheetProtection algorithmName="SHA-512" hashValue="PWxa2R9WlSRzBvPHUqjdq9QExftHj1tl8g9dwwTD5yAXXXdQITa7cnqRS7H4jUad7EDOf3X9lmR8fWEOMt6eJw==" saltValue="+gHHfhR7AV3VtRgsu9PaWw==" spinCount="100000" sheet="1" objects="1" scenarios="1"/>
  <mergeCells count="12">
    <mergeCell ref="J6:J10"/>
    <mergeCell ref="J11:J16"/>
    <mergeCell ref="J17:J23"/>
    <mergeCell ref="J24:J28"/>
    <mergeCell ref="J29:J32"/>
    <mergeCell ref="B45:B49"/>
    <mergeCell ref="B17:B20"/>
    <mergeCell ref="B6:B11"/>
    <mergeCell ref="B12:B16"/>
    <mergeCell ref="B21:B22"/>
    <mergeCell ref="B29:B37"/>
    <mergeCell ref="B38:B4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rgb="FFF7941D"/>
    <pageSetUpPr fitToPage="1"/>
  </sheetPr>
  <dimension ref="A1:O67"/>
  <sheetViews>
    <sheetView showGridLines="0" topLeftCell="A4" zoomScale="93" zoomScaleNormal="93" workbookViewId="0">
      <selection activeCell="C15" sqref="C15"/>
    </sheetView>
  </sheetViews>
  <sheetFormatPr baseColWidth="10" defaultColWidth="0" defaultRowHeight="14"/>
  <cols>
    <col min="1" max="1" width="12.5" style="37" customWidth="1"/>
    <col min="2" max="2" width="11.33203125" style="38" customWidth="1"/>
    <col min="3" max="3" width="24.83203125" style="38" customWidth="1"/>
    <col min="4" max="4" width="12.83203125" style="37" bestFit="1" customWidth="1"/>
    <col min="5" max="5" width="13.5" style="37" bestFit="1" customWidth="1"/>
    <col min="6" max="6" width="15.6640625" style="37" customWidth="1"/>
    <col min="7" max="7" width="14.5" style="37" bestFit="1" customWidth="1"/>
    <col min="8" max="8" width="17" style="37" bestFit="1" customWidth="1"/>
    <col min="9" max="12" width="9.1640625" style="37" customWidth="1"/>
    <col min="13" max="15" width="0" style="37" hidden="1" customWidth="1"/>
    <col min="16" max="16384" width="9.1640625" style="37" hidden="1"/>
  </cols>
  <sheetData>
    <row r="1" spans="1:15" ht="12.75" customHeight="1">
      <c r="C1" s="240" t="s">
        <v>35</v>
      </c>
      <c r="H1" s="478" t="s">
        <v>66</v>
      </c>
    </row>
    <row r="2" spans="1:15">
      <c r="C2" s="230" t="s">
        <v>348</v>
      </c>
      <c r="H2" s="478"/>
    </row>
    <row r="3" spans="1:15">
      <c r="C3" s="230" t="s">
        <v>36</v>
      </c>
    </row>
    <row r="4" spans="1:15">
      <c r="J4" s="311" t="s">
        <v>305</v>
      </c>
    </row>
    <row r="5" spans="1:15" s="326" customFormat="1" ht="14.25" customHeight="1">
      <c r="A5" s="242" t="s">
        <v>0</v>
      </c>
      <c r="B5" s="334"/>
      <c r="C5" s="484" t="str">
        <f>'DATA SHEET'!D10</f>
        <v xml:space="preserve"> </v>
      </c>
      <c r="D5" s="484"/>
      <c r="E5" s="484"/>
      <c r="F5" s="484"/>
      <c r="G5" s="484"/>
      <c r="H5" s="485"/>
    </row>
    <row r="6" spans="1:15">
      <c r="A6" s="335" t="s">
        <v>31</v>
      </c>
      <c r="B6" s="336"/>
      <c r="C6" s="456" t="str">
        <f>VLOOKUP('DATA SHEET'!$D$11,' Garden Suites PL'!C6:F28,1,FALSE)</f>
        <v>GA</v>
      </c>
      <c r="D6" s="456"/>
      <c r="E6" s="456"/>
      <c r="F6" s="456"/>
      <c r="G6" s="456"/>
      <c r="H6" s="457"/>
    </row>
    <row r="7" spans="1:15">
      <c r="A7" s="335" t="s">
        <v>37</v>
      </c>
      <c r="B7" s="337"/>
      <c r="C7" s="458">
        <f>VLOOKUP('DATA SHEET'!D11,' Garden Suites PL'!C6:F28,3,FALSE)</f>
        <v>67.900000000000006</v>
      </c>
      <c r="D7" s="458"/>
      <c r="E7" s="458"/>
      <c r="F7" s="458"/>
      <c r="G7" s="458"/>
      <c r="H7" s="459"/>
    </row>
    <row r="8" spans="1:15">
      <c r="A8" s="438" t="s">
        <v>352</v>
      </c>
      <c r="B8" s="436"/>
      <c r="C8" s="458" t="str">
        <f>VLOOKUP('DATA SHEET'!D11,' Garden Suites PL'!C6:D28,2,0)</f>
        <v>1-Bedroom Terrace Suite</v>
      </c>
      <c r="D8" s="458"/>
      <c r="E8" s="458"/>
      <c r="F8" s="458"/>
      <c r="G8" s="458"/>
      <c r="H8" s="459"/>
    </row>
    <row r="9" spans="1:15">
      <c r="A9" s="438" t="s">
        <v>356</v>
      </c>
      <c r="B9" s="436"/>
      <c r="C9" s="460">
        <f>VLOOKUP('DATA SHEET'!D11,' Garden Suites PL'!C6:G28,5,0)</f>
        <v>9961680</v>
      </c>
      <c r="D9" s="460"/>
      <c r="E9" s="460"/>
      <c r="F9" s="460"/>
      <c r="G9" s="460"/>
      <c r="H9" s="461"/>
    </row>
    <row r="10" spans="1:15">
      <c r="A10" s="338" t="s">
        <v>33</v>
      </c>
      <c r="B10" s="339"/>
      <c r="C10" s="474" t="str">
        <f>+'DATA SHEET'!B23</f>
        <v>5% DP, 15% over 24 months, 80% Lumpsum</v>
      </c>
      <c r="D10" s="474"/>
      <c r="E10" s="474"/>
      <c r="F10" s="474"/>
      <c r="G10" s="474"/>
      <c r="H10" s="475"/>
    </row>
    <row r="11" spans="1:15">
      <c r="C11" s="37"/>
      <c r="D11" s="38"/>
    </row>
    <row r="12" spans="1:15">
      <c r="A12" s="39" t="s">
        <v>55</v>
      </c>
      <c r="C12" s="37"/>
      <c r="D12" s="38"/>
    </row>
    <row r="13" spans="1:15">
      <c r="A13" s="233" t="s">
        <v>359</v>
      </c>
      <c r="C13" s="37"/>
      <c r="D13" s="194">
        <f>(C9-650000)</f>
        <v>9311680</v>
      </c>
      <c r="E13" s="316" t="str">
        <f>LEFT(C8,9)</f>
        <v>1-Bedroom</v>
      </c>
      <c r="F13" s="316"/>
      <c r="G13" s="316"/>
    </row>
    <row r="14" spans="1:15" s="233" customFormat="1">
      <c r="A14" s="228" t="s">
        <v>71</v>
      </c>
      <c r="B14" s="231"/>
      <c r="C14" s="368">
        <v>5.0000000000000001E-3</v>
      </c>
      <c r="D14" s="256">
        <f>IF(C14&lt;=0.5%,(D13*C14),"BEYOND MAX DISC.")</f>
        <v>46558.400000000001</v>
      </c>
      <c r="E14" s="257"/>
      <c r="F14" s="257"/>
      <c r="G14" s="257"/>
      <c r="H14" s="257"/>
      <c r="I14" s="257"/>
      <c r="J14" s="257"/>
      <c r="K14" s="257"/>
      <c r="L14" s="257"/>
      <c r="M14" s="254"/>
      <c r="N14" s="254"/>
      <c r="O14" s="255"/>
    </row>
    <row r="15" spans="1:15" s="233" customFormat="1">
      <c r="A15" s="228" t="s">
        <v>378</v>
      </c>
      <c r="B15" s="231"/>
      <c r="C15" s="368">
        <v>0.01</v>
      </c>
      <c r="D15" s="256">
        <f>IF(C15&lt;=1%,((D13-D14)*C15),"BEYOND MAX DISC.")</f>
        <v>92651.216</v>
      </c>
      <c r="E15" s="257"/>
      <c r="F15" s="257"/>
      <c r="G15" s="257"/>
      <c r="H15" s="257"/>
      <c r="I15" s="257"/>
      <c r="J15" s="257"/>
      <c r="K15" s="257"/>
      <c r="L15" s="257"/>
      <c r="M15" s="259"/>
      <c r="N15" s="254"/>
      <c r="O15" s="255"/>
    </row>
    <row r="16" spans="1:15" s="233" customFormat="1">
      <c r="A16" s="228" t="s">
        <v>379</v>
      </c>
      <c r="B16" s="231"/>
      <c r="C16" s="228"/>
      <c r="D16" s="328">
        <v>230000</v>
      </c>
      <c r="F16" s="257"/>
      <c r="G16" s="257"/>
      <c r="H16" s="257"/>
      <c r="I16" s="257"/>
      <c r="J16" s="257"/>
      <c r="K16" s="257"/>
      <c r="L16" s="257"/>
      <c r="M16" s="259"/>
      <c r="N16" s="254"/>
      <c r="O16" s="255"/>
    </row>
    <row r="17" spans="1:11">
      <c r="A17" s="233" t="s">
        <v>360</v>
      </c>
      <c r="D17" s="194">
        <f>+D13-SUM(D14:D16)</f>
        <v>8942470.3839999996</v>
      </c>
      <c r="E17" s="329"/>
      <c r="F17" s="329"/>
      <c r="G17" s="329"/>
    </row>
    <row r="18" spans="1:11">
      <c r="A18" s="264" t="s">
        <v>302</v>
      </c>
      <c r="C18" s="37"/>
      <c r="D18" s="51">
        <v>650000</v>
      </c>
      <c r="E18" s="38"/>
      <c r="F18" s="38"/>
      <c r="G18" s="38"/>
    </row>
    <row r="19" spans="1:11">
      <c r="A19" s="266" t="s">
        <v>362</v>
      </c>
      <c r="C19" s="39"/>
      <c r="D19" s="318">
        <f>+SUM(D17:D18)</f>
        <v>9592470.3839999996</v>
      </c>
      <c r="E19" s="38"/>
      <c r="F19" s="38"/>
      <c r="G19" s="38"/>
    </row>
    <row r="20" spans="1:11" s="233" customFormat="1">
      <c r="A20" s="267" t="s">
        <v>350</v>
      </c>
      <c r="B20" s="231"/>
      <c r="C20" s="229">
        <v>0.05</v>
      </c>
      <c r="D20" s="319">
        <f>(D17/1.12)*C20</f>
        <v>399217.42785714281</v>
      </c>
      <c r="E20" s="252"/>
      <c r="F20" s="252"/>
      <c r="G20" s="252"/>
      <c r="H20" s="252"/>
      <c r="I20" s="254"/>
      <c r="J20" s="254"/>
      <c r="K20" s="255"/>
    </row>
    <row r="21" spans="1:11" s="233" customFormat="1" ht="15" thickBot="1">
      <c r="A21" s="230" t="s">
        <v>58</v>
      </c>
      <c r="B21" s="231"/>
      <c r="C21" s="230"/>
      <c r="D21" s="270">
        <f>+D19+D20</f>
        <v>9991687.8118571416</v>
      </c>
      <c r="E21" s="252"/>
      <c r="F21" s="252"/>
      <c r="G21" s="252"/>
      <c r="H21" s="252"/>
      <c r="I21" s="254"/>
      <c r="J21" s="254"/>
      <c r="K21" s="255"/>
    </row>
    <row r="22" spans="1:11" ht="15" thickTop="1"/>
    <row r="23" spans="1:11">
      <c r="A23" s="271" t="s">
        <v>34</v>
      </c>
      <c r="B23" s="271" t="s">
        <v>347</v>
      </c>
      <c r="C23" s="271" t="s">
        <v>2</v>
      </c>
      <c r="D23" s="271" t="s">
        <v>343</v>
      </c>
      <c r="E23" s="271" t="s">
        <v>363</v>
      </c>
      <c r="F23" s="271" t="s">
        <v>344</v>
      </c>
      <c r="G23" s="272" t="s">
        <v>349</v>
      </c>
      <c r="H23" s="271" t="s">
        <v>345</v>
      </c>
    </row>
    <row r="24" spans="1:11">
      <c r="A24" s="453" t="s">
        <v>346</v>
      </c>
      <c r="B24" s="454"/>
      <c r="C24" s="454"/>
      <c r="D24" s="454"/>
      <c r="E24" s="454"/>
      <c r="F24" s="454"/>
      <c r="G24" s="455"/>
      <c r="H24" s="310">
        <f>+D21</f>
        <v>9991687.8118571416</v>
      </c>
    </row>
    <row r="25" spans="1:11">
      <c r="A25" s="320">
        <v>0</v>
      </c>
      <c r="B25" s="320"/>
      <c r="C25" s="320" t="s">
        <v>38</v>
      </c>
      <c r="D25" s="321">
        <f ca="1">'DATA SHEET'!D9</f>
        <v>43973</v>
      </c>
      <c r="E25" s="322">
        <f>IF(E13="1-Bedroom",50000,100000)</f>
        <v>50000</v>
      </c>
      <c r="F25" s="322"/>
      <c r="G25" s="323">
        <f>+SUM(E25:F25)</f>
        <v>50000</v>
      </c>
      <c r="H25" s="324">
        <f>D21-G25</f>
        <v>9941687.8118571416</v>
      </c>
    </row>
    <row r="26" spans="1:11">
      <c r="A26" s="320">
        <v>1</v>
      </c>
      <c r="B26" s="325">
        <v>0.05</v>
      </c>
      <c r="C26" s="320" t="s">
        <v>259</v>
      </c>
      <c r="D26" s="321">
        <f ca="1">EDATE(D25,1)</f>
        <v>44004</v>
      </c>
      <c r="E26" s="322">
        <f>(D19*5%)-E25</f>
        <v>429623.51919999998</v>
      </c>
      <c r="F26" s="322">
        <f>(D20*5%)</f>
        <v>19960.871392857141</v>
      </c>
      <c r="G26" s="323">
        <f t="shared" ref="G26:G52" si="0">+SUM(E26:F26)</f>
        <v>449584.39059285715</v>
      </c>
      <c r="H26" s="324">
        <f>H25-G26</f>
        <v>9492103.4212642852</v>
      </c>
    </row>
    <row r="27" spans="1:11">
      <c r="A27" s="320"/>
      <c r="B27" s="325">
        <v>0.15</v>
      </c>
      <c r="C27" s="320" t="s">
        <v>351</v>
      </c>
      <c r="D27" s="321"/>
      <c r="E27" s="322"/>
      <c r="F27" s="322"/>
      <c r="G27" s="323"/>
      <c r="H27" s="324"/>
    </row>
    <row r="28" spans="1:11">
      <c r="A28" s="320">
        <v>2</v>
      </c>
      <c r="B28" s="320"/>
      <c r="C28" s="320" t="s">
        <v>4</v>
      </c>
      <c r="D28" s="321">
        <f ca="1">EDATE(D26,1)</f>
        <v>44034</v>
      </c>
      <c r="E28" s="322">
        <f>(D19*15%)/24</f>
        <v>59952.939899999998</v>
      </c>
      <c r="F28" s="322">
        <f>(D20*15%)/24</f>
        <v>2495.1089241071427</v>
      </c>
      <c r="G28" s="323">
        <f t="shared" si="0"/>
        <v>62448.048824107143</v>
      </c>
      <c r="H28" s="324">
        <f>H26-G28</f>
        <v>9429655.3724401779</v>
      </c>
    </row>
    <row r="29" spans="1:11">
      <c r="A29" s="320">
        <v>3</v>
      </c>
      <c r="B29" s="320"/>
      <c r="C29" s="320" t="s">
        <v>5</v>
      </c>
      <c r="D29" s="321">
        <f t="shared" ref="D29:D52" ca="1" si="1">EDATE(D28,1)</f>
        <v>44065</v>
      </c>
      <c r="E29" s="322">
        <f>E28</f>
        <v>59952.939899999998</v>
      </c>
      <c r="F29" s="322">
        <f t="shared" ref="F29:F51" si="2">+$F$28</f>
        <v>2495.1089241071427</v>
      </c>
      <c r="G29" s="323">
        <f t="shared" si="0"/>
        <v>62448.048824107143</v>
      </c>
      <c r="H29" s="324">
        <f t="shared" ref="H29:H52" si="3">H28-G29</f>
        <v>9367207.3236160707</v>
      </c>
    </row>
    <row r="30" spans="1:11">
      <c r="A30" s="320">
        <v>4</v>
      </c>
      <c r="B30" s="320"/>
      <c r="C30" s="320" t="s">
        <v>6</v>
      </c>
      <c r="D30" s="321">
        <f t="shared" ca="1" si="1"/>
        <v>44096</v>
      </c>
      <c r="E30" s="322">
        <f>E29</f>
        <v>59952.939899999998</v>
      </c>
      <c r="F30" s="322">
        <f t="shared" si="2"/>
        <v>2495.1089241071427</v>
      </c>
      <c r="G30" s="323">
        <f t="shared" si="0"/>
        <v>62448.048824107143</v>
      </c>
      <c r="H30" s="324">
        <f t="shared" si="3"/>
        <v>9304759.2747919634</v>
      </c>
    </row>
    <row r="31" spans="1:11">
      <c r="A31" s="320">
        <v>5</v>
      </c>
      <c r="B31" s="320"/>
      <c r="C31" s="320" t="s">
        <v>7</v>
      </c>
      <c r="D31" s="321">
        <f t="shared" ca="1" si="1"/>
        <v>44126</v>
      </c>
      <c r="E31" s="322">
        <f t="shared" ref="E31:E51" si="4">E30</f>
        <v>59952.939899999998</v>
      </c>
      <c r="F31" s="322">
        <f t="shared" si="2"/>
        <v>2495.1089241071427</v>
      </c>
      <c r="G31" s="323">
        <f t="shared" si="0"/>
        <v>62448.048824107143</v>
      </c>
      <c r="H31" s="324">
        <f t="shared" si="3"/>
        <v>9242311.2259678561</v>
      </c>
    </row>
    <row r="32" spans="1:11">
      <c r="A32" s="320">
        <v>6</v>
      </c>
      <c r="B32" s="320"/>
      <c r="C32" s="320" t="s">
        <v>8</v>
      </c>
      <c r="D32" s="321">
        <f t="shared" ca="1" si="1"/>
        <v>44157</v>
      </c>
      <c r="E32" s="322">
        <f t="shared" si="4"/>
        <v>59952.939899999998</v>
      </c>
      <c r="F32" s="322">
        <f t="shared" si="2"/>
        <v>2495.1089241071427</v>
      </c>
      <c r="G32" s="323">
        <f t="shared" si="0"/>
        <v>62448.048824107143</v>
      </c>
      <c r="H32" s="324">
        <f t="shared" si="3"/>
        <v>9179863.1771437488</v>
      </c>
    </row>
    <row r="33" spans="1:8">
      <c r="A33" s="320">
        <v>7</v>
      </c>
      <c r="B33" s="320"/>
      <c r="C33" s="320" t="s">
        <v>9</v>
      </c>
      <c r="D33" s="321">
        <f t="shared" ca="1" si="1"/>
        <v>44187</v>
      </c>
      <c r="E33" s="322">
        <f t="shared" si="4"/>
        <v>59952.939899999998</v>
      </c>
      <c r="F33" s="322">
        <f t="shared" si="2"/>
        <v>2495.1089241071427</v>
      </c>
      <c r="G33" s="323">
        <f t="shared" si="0"/>
        <v>62448.048824107143</v>
      </c>
      <c r="H33" s="324">
        <f t="shared" si="3"/>
        <v>9117415.1283196416</v>
      </c>
    </row>
    <row r="34" spans="1:8">
      <c r="A34" s="320">
        <v>8</v>
      </c>
      <c r="B34" s="320"/>
      <c r="C34" s="320" t="s">
        <v>10</v>
      </c>
      <c r="D34" s="321">
        <f t="shared" ca="1" si="1"/>
        <v>44218</v>
      </c>
      <c r="E34" s="322">
        <f t="shared" si="4"/>
        <v>59952.939899999998</v>
      </c>
      <c r="F34" s="322">
        <f t="shared" si="2"/>
        <v>2495.1089241071427</v>
      </c>
      <c r="G34" s="323">
        <f t="shared" si="0"/>
        <v>62448.048824107143</v>
      </c>
      <c r="H34" s="324">
        <f t="shared" si="3"/>
        <v>9054967.0794955343</v>
      </c>
    </row>
    <row r="35" spans="1:8">
      <c r="A35" s="320">
        <v>9</v>
      </c>
      <c r="B35" s="320"/>
      <c r="C35" s="320" t="s">
        <v>11</v>
      </c>
      <c r="D35" s="321">
        <f t="shared" ca="1" si="1"/>
        <v>44249</v>
      </c>
      <c r="E35" s="322">
        <f t="shared" si="4"/>
        <v>59952.939899999998</v>
      </c>
      <c r="F35" s="322">
        <f t="shared" si="2"/>
        <v>2495.1089241071427</v>
      </c>
      <c r="G35" s="323">
        <f t="shared" si="0"/>
        <v>62448.048824107143</v>
      </c>
      <c r="H35" s="324">
        <f t="shared" si="3"/>
        <v>8992519.030671427</v>
      </c>
    </row>
    <row r="36" spans="1:8">
      <c r="A36" s="320">
        <v>10</v>
      </c>
      <c r="B36" s="320"/>
      <c r="C36" s="320" t="s">
        <v>12</v>
      </c>
      <c r="D36" s="321">
        <f t="shared" ca="1" si="1"/>
        <v>44277</v>
      </c>
      <c r="E36" s="322">
        <f t="shared" si="4"/>
        <v>59952.939899999998</v>
      </c>
      <c r="F36" s="322">
        <f t="shared" si="2"/>
        <v>2495.1089241071427</v>
      </c>
      <c r="G36" s="323">
        <f t="shared" si="0"/>
        <v>62448.048824107143</v>
      </c>
      <c r="H36" s="324">
        <f t="shared" si="3"/>
        <v>8930070.9818473198</v>
      </c>
    </row>
    <row r="37" spans="1:8">
      <c r="A37" s="320">
        <v>11</v>
      </c>
      <c r="B37" s="320"/>
      <c r="C37" s="320" t="s">
        <v>13</v>
      </c>
      <c r="D37" s="321">
        <f t="shared" ca="1" si="1"/>
        <v>44308</v>
      </c>
      <c r="E37" s="322">
        <f t="shared" si="4"/>
        <v>59952.939899999998</v>
      </c>
      <c r="F37" s="322">
        <f t="shared" si="2"/>
        <v>2495.1089241071427</v>
      </c>
      <c r="G37" s="323">
        <f t="shared" si="0"/>
        <v>62448.048824107143</v>
      </c>
      <c r="H37" s="324">
        <f t="shared" si="3"/>
        <v>8867622.9330232125</v>
      </c>
    </row>
    <row r="38" spans="1:8">
      <c r="A38" s="320">
        <v>12</v>
      </c>
      <c r="B38" s="320"/>
      <c r="C38" s="320" t="s">
        <v>14</v>
      </c>
      <c r="D38" s="321">
        <f t="shared" ca="1" si="1"/>
        <v>44338</v>
      </c>
      <c r="E38" s="322">
        <f t="shared" si="4"/>
        <v>59952.939899999998</v>
      </c>
      <c r="F38" s="322">
        <f t="shared" si="2"/>
        <v>2495.1089241071427</v>
      </c>
      <c r="G38" s="323">
        <f t="shared" si="0"/>
        <v>62448.048824107143</v>
      </c>
      <c r="H38" s="324">
        <f t="shared" si="3"/>
        <v>8805174.8841991052</v>
      </c>
    </row>
    <row r="39" spans="1:8">
      <c r="A39" s="320">
        <v>13</v>
      </c>
      <c r="B39" s="320"/>
      <c r="C39" s="320" t="s">
        <v>15</v>
      </c>
      <c r="D39" s="321">
        <f t="shared" ca="1" si="1"/>
        <v>44369</v>
      </c>
      <c r="E39" s="322">
        <f t="shared" si="4"/>
        <v>59952.939899999998</v>
      </c>
      <c r="F39" s="322">
        <f t="shared" si="2"/>
        <v>2495.1089241071427</v>
      </c>
      <c r="G39" s="323">
        <f t="shared" si="0"/>
        <v>62448.048824107143</v>
      </c>
      <c r="H39" s="324">
        <f t="shared" si="3"/>
        <v>8742726.8353749979</v>
      </c>
    </row>
    <row r="40" spans="1:8">
      <c r="A40" s="320">
        <v>14</v>
      </c>
      <c r="B40" s="320"/>
      <c r="C40" s="320" t="s">
        <v>19</v>
      </c>
      <c r="D40" s="321">
        <f t="shared" ca="1" si="1"/>
        <v>44399</v>
      </c>
      <c r="E40" s="322">
        <f t="shared" si="4"/>
        <v>59952.939899999998</v>
      </c>
      <c r="F40" s="322">
        <f t="shared" si="2"/>
        <v>2495.1089241071427</v>
      </c>
      <c r="G40" s="323">
        <f t="shared" si="0"/>
        <v>62448.048824107143</v>
      </c>
      <c r="H40" s="324">
        <f t="shared" si="3"/>
        <v>8680278.7865508907</v>
      </c>
    </row>
    <row r="41" spans="1:8">
      <c r="A41" s="320">
        <v>15</v>
      </c>
      <c r="B41" s="320"/>
      <c r="C41" s="320" t="s">
        <v>20</v>
      </c>
      <c r="D41" s="321">
        <f t="shared" ca="1" si="1"/>
        <v>44430</v>
      </c>
      <c r="E41" s="322">
        <f t="shared" si="4"/>
        <v>59952.939899999998</v>
      </c>
      <c r="F41" s="322">
        <f t="shared" si="2"/>
        <v>2495.1089241071427</v>
      </c>
      <c r="G41" s="323">
        <f t="shared" si="0"/>
        <v>62448.048824107143</v>
      </c>
      <c r="H41" s="324">
        <f t="shared" si="3"/>
        <v>8617830.7377267834</v>
      </c>
    </row>
    <row r="42" spans="1:8">
      <c r="A42" s="320">
        <v>16</v>
      </c>
      <c r="B42" s="320"/>
      <c r="C42" s="320" t="s">
        <v>21</v>
      </c>
      <c r="D42" s="321">
        <f t="shared" ca="1" si="1"/>
        <v>44461</v>
      </c>
      <c r="E42" s="322">
        <f t="shared" si="4"/>
        <v>59952.939899999998</v>
      </c>
      <c r="F42" s="322">
        <f t="shared" si="2"/>
        <v>2495.1089241071427</v>
      </c>
      <c r="G42" s="323">
        <f t="shared" si="0"/>
        <v>62448.048824107143</v>
      </c>
      <c r="H42" s="324">
        <f t="shared" si="3"/>
        <v>8555382.6889026761</v>
      </c>
    </row>
    <row r="43" spans="1:8">
      <c r="A43" s="320">
        <v>17</v>
      </c>
      <c r="B43" s="320"/>
      <c r="C43" s="320" t="s">
        <v>22</v>
      </c>
      <c r="D43" s="321">
        <f t="shared" ca="1" si="1"/>
        <v>44491</v>
      </c>
      <c r="E43" s="322">
        <f t="shared" si="4"/>
        <v>59952.939899999998</v>
      </c>
      <c r="F43" s="322">
        <f t="shared" si="2"/>
        <v>2495.1089241071427</v>
      </c>
      <c r="G43" s="323">
        <f t="shared" si="0"/>
        <v>62448.048824107143</v>
      </c>
      <c r="H43" s="324">
        <f t="shared" si="3"/>
        <v>8492934.6400785688</v>
      </c>
    </row>
    <row r="44" spans="1:8">
      <c r="A44" s="320">
        <v>18</v>
      </c>
      <c r="B44" s="320"/>
      <c r="C44" s="320" t="s">
        <v>23</v>
      </c>
      <c r="D44" s="321">
        <f t="shared" ca="1" si="1"/>
        <v>44522</v>
      </c>
      <c r="E44" s="322">
        <f t="shared" si="4"/>
        <v>59952.939899999998</v>
      </c>
      <c r="F44" s="322">
        <f t="shared" si="2"/>
        <v>2495.1089241071427</v>
      </c>
      <c r="G44" s="323">
        <f t="shared" si="0"/>
        <v>62448.048824107143</v>
      </c>
      <c r="H44" s="324">
        <f t="shared" si="3"/>
        <v>8430486.5912544616</v>
      </c>
    </row>
    <row r="45" spans="1:8">
      <c r="A45" s="320">
        <v>19</v>
      </c>
      <c r="B45" s="320"/>
      <c r="C45" s="320" t="s">
        <v>24</v>
      </c>
      <c r="D45" s="321">
        <f t="shared" ca="1" si="1"/>
        <v>44552</v>
      </c>
      <c r="E45" s="322">
        <f t="shared" si="4"/>
        <v>59952.939899999998</v>
      </c>
      <c r="F45" s="322">
        <f t="shared" si="2"/>
        <v>2495.1089241071427</v>
      </c>
      <c r="G45" s="323">
        <f t="shared" si="0"/>
        <v>62448.048824107143</v>
      </c>
      <c r="H45" s="324">
        <f t="shared" si="3"/>
        <v>8368038.5424303543</v>
      </c>
    </row>
    <row r="46" spans="1:8">
      <c r="A46" s="320">
        <v>20</v>
      </c>
      <c r="B46" s="320"/>
      <c r="C46" s="320" t="s">
        <v>25</v>
      </c>
      <c r="D46" s="321">
        <f t="shared" ca="1" si="1"/>
        <v>44583</v>
      </c>
      <c r="E46" s="322">
        <f t="shared" si="4"/>
        <v>59952.939899999998</v>
      </c>
      <c r="F46" s="322">
        <f t="shared" si="2"/>
        <v>2495.1089241071427</v>
      </c>
      <c r="G46" s="323">
        <f t="shared" si="0"/>
        <v>62448.048824107143</v>
      </c>
      <c r="H46" s="324">
        <f t="shared" si="3"/>
        <v>8305590.493606247</v>
      </c>
    </row>
    <row r="47" spans="1:8">
      <c r="A47" s="320">
        <v>21</v>
      </c>
      <c r="B47" s="320"/>
      <c r="C47" s="320" t="s">
        <v>26</v>
      </c>
      <c r="D47" s="321">
        <f t="shared" ca="1" si="1"/>
        <v>44614</v>
      </c>
      <c r="E47" s="322">
        <f t="shared" si="4"/>
        <v>59952.939899999998</v>
      </c>
      <c r="F47" s="322">
        <f t="shared" si="2"/>
        <v>2495.1089241071427</v>
      </c>
      <c r="G47" s="323">
        <f t="shared" si="0"/>
        <v>62448.048824107143</v>
      </c>
      <c r="H47" s="324">
        <f t="shared" si="3"/>
        <v>8243142.4447821397</v>
      </c>
    </row>
    <row r="48" spans="1:8">
      <c r="A48" s="320">
        <v>22</v>
      </c>
      <c r="B48" s="320"/>
      <c r="C48" s="320" t="s">
        <v>27</v>
      </c>
      <c r="D48" s="321">
        <f t="shared" ca="1" si="1"/>
        <v>44642</v>
      </c>
      <c r="E48" s="322">
        <f t="shared" si="4"/>
        <v>59952.939899999998</v>
      </c>
      <c r="F48" s="322">
        <f t="shared" si="2"/>
        <v>2495.1089241071427</v>
      </c>
      <c r="G48" s="323">
        <f t="shared" si="0"/>
        <v>62448.048824107143</v>
      </c>
      <c r="H48" s="324">
        <f t="shared" si="3"/>
        <v>8180694.3959580325</v>
      </c>
    </row>
    <row r="49" spans="1:8">
      <c r="A49" s="320">
        <v>23</v>
      </c>
      <c r="B49" s="320"/>
      <c r="C49" s="320" t="s">
        <v>28</v>
      </c>
      <c r="D49" s="321">
        <f t="shared" ca="1" si="1"/>
        <v>44673</v>
      </c>
      <c r="E49" s="322">
        <f t="shared" si="4"/>
        <v>59952.939899999998</v>
      </c>
      <c r="F49" s="322">
        <f t="shared" si="2"/>
        <v>2495.1089241071427</v>
      </c>
      <c r="G49" s="323">
        <f t="shared" si="0"/>
        <v>62448.048824107143</v>
      </c>
      <c r="H49" s="324">
        <f t="shared" si="3"/>
        <v>8118246.3471339252</v>
      </c>
    </row>
    <row r="50" spans="1:8">
      <c r="A50" s="320">
        <v>24</v>
      </c>
      <c r="B50" s="320"/>
      <c r="C50" s="320" t="s">
        <v>29</v>
      </c>
      <c r="D50" s="321">
        <f t="shared" ca="1" si="1"/>
        <v>44703</v>
      </c>
      <c r="E50" s="322">
        <f t="shared" si="4"/>
        <v>59952.939899999998</v>
      </c>
      <c r="F50" s="322">
        <f t="shared" si="2"/>
        <v>2495.1089241071427</v>
      </c>
      <c r="G50" s="323">
        <f t="shared" si="0"/>
        <v>62448.048824107143</v>
      </c>
      <c r="H50" s="324">
        <f t="shared" si="3"/>
        <v>8055798.2983098179</v>
      </c>
    </row>
    <row r="51" spans="1:8">
      <c r="A51" s="320">
        <v>25</v>
      </c>
      <c r="B51" s="320"/>
      <c r="C51" s="320" t="s">
        <v>30</v>
      </c>
      <c r="D51" s="321">
        <f t="shared" ca="1" si="1"/>
        <v>44734</v>
      </c>
      <c r="E51" s="322">
        <f t="shared" si="4"/>
        <v>59952.939899999998</v>
      </c>
      <c r="F51" s="322">
        <f t="shared" si="2"/>
        <v>2495.1089241071427</v>
      </c>
      <c r="G51" s="323">
        <f t="shared" si="0"/>
        <v>62448.048824107143</v>
      </c>
      <c r="H51" s="324">
        <f t="shared" si="3"/>
        <v>7993350.2494857106</v>
      </c>
    </row>
    <row r="52" spans="1:8">
      <c r="A52" s="320">
        <v>50</v>
      </c>
      <c r="B52" s="325">
        <v>0.8</v>
      </c>
      <c r="C52" s="320" t="s">
        <v>258</v>
      </c>
      <c r="D52" s="321">
        <f t="shared" ca="1" si="1"/>
        <v>44764</v>
      </c>
      <c r="E52" s="322">
        <f>D19*0.8</f>
        <v>7673976.3071999997</v>
      </c>
      <c r="F52" s="322">
        <f>D20*0.8</f>
        <v>319373.94228571426</v>
      </c>
      <c r="G52" s="323">
        <f t="shared" si="0"/>
        <v>7993350.2494857144</v>
      </c>
      <c r="H52" s="324">
        <f t="shared" si="3"/>
        <v>0</v>
      </c>
    </row>
    <row r="53" spans="1:8">
      <c r="A53" s="481" t="s">
        <v>16</v>
      </c>
      <c r="B53" s="482"/>
      <c r="C53" s="482"/>
      <c r="D53" s="483"/>
      <c r="E53" s="332">
        <f>SUM(E25:E52)</f>
        <v>9592470.3840000015</v>
      </c>
      <c r="F53" s="332">
        <f>SUM(F25:F52)</f>
        <v>399217.42785714287</v>
      </c>
      <c r="G53" s="332">
        <f>SUM(G25:G52)</f>
        <v>9991687.8118571416</v>
      </c>
      <c r="H53" s="333"/>
    </row>
    <row r="54" spans="1:8" s="233" customFormat="1">
      <c r="C54" s="287"/>
      <c r="D54" s="288"/>
      <c r="E54" s="289"/>
      <c r="F54" s="289"/>
      <c r="G54" s="289"/>
    </row>
    <row r="55" spans="1:8" s="233" customFormat="1">
      <c r="A55" s="439" t="s">
        <v>364</v>
      </c>
      <c r="B55" s="439"/>
      <c r="C55" s="439"/>
      <c r="D55" s="439"/>
      <c r="E55" s="439"/>
      <c r="F55" s="439"/>
      <c r="G55" s="439"/>
      <c r="H55" s="439"/>
    </row>
    <row r="56" spans="1:8" s="233" customFormat="1" ht="29.25" customHeight="1">
      <c r="A56" s="449" t="s">
        <v>365</v>
      </c>
      <c r="B56" s="449"/>
      <c r="C56" s="449"/>
      <c r="D56" s="449"/>
      <c r="E56" s="449"/>
      <c r="F56" s="449"/>
      <c r="G56" s="449"/>
      <c r="H56" s="449"/>
    </row>
    <row r="57" spans="1:8" s="233" customFormat="1" ht="16.5" customHeight="1">
      <c r="A57" s="439" t="s">
        <v>366</v>
      </c>
      <c r="B57" s="439"/>
      <c r="C57" s="439"/>
      <c r="D57" s="439"/>
      <c r="E57" s="439"/>
      <c r="F57" s="439"/>
      <c r="G57" s="439"/>
      <c r="H57" s="439"/>
    </row>
    <row r="58" spans="1:8" s="233" customFormat="1" ht="16.5" customHeight="1">
      <c r="A58" s="439" t="s">
        <v>367</v>
      </c>
      <c r="B58" s="439"/>
      <c r="C58" s="439"/>
      <c r="D58" s="439"/>
      <c r="E58" s="439"/>
      <c r="F58" s="439"/>
      <c r="G58" s="439"/>
      <c r="H58" s="439"/>
    </row>
    <row r="59" spans="1:8" s="233" customFormat="1" ht="16.5" customHeight="1">
      <c r="A59" s="439" t="s">
        <v>368</v>
      </c>
      <c r="B59" s="439"/>
      <c r="C59" s="439"/>
      <c r="D59" s="439"/>
      <c r="E59" s="439"/>
      <c r="F59" s="439"/>
      <c r="G59" s="439"/>
      <c r="H59" s="439"/>
    </row>
    <row r="60" spans="1:8" s="233" customFormat="1" ht="107.25" customHeight="1">
      <c r="A60" s="439" t="s">
        <v>369</v>
      </c>
      <c r="B60" s="439"/>
      <c r="C60" s="439"/>
      <c r="D60" s="439"/>
      <c r="E60" s="439"/>
      <c r="F60" s="439"/>
      <c r="G60" s="439"/>
      <c r="H60" s="439"/>
    </row>
    <row r="61" spans="1:8" s="233" customFormat="1" ht="44.25" customHeight="1">
      <c r="A61" s="439" t="s">
        <v>370</v>
      </c>
      <c r="B61" s="439"/>
      <c r="C61" s="439"/>
      <c r="D61" s="439"/>
      <c r="E61" s="439"/>
      <c r="F61" s="439"/>
      <c r="G61" s="439"/>
      <c r="H61" s="439"/>
    </row>
    <row r="62" spans="1:8" s="233" customFormat="1" ht="18.75" customHeight="1">
      <c r="A62" s="439" t="s">
        <v>371</v>
      </c>
      <c r="B62" s="439"/>
      <c r="C62" s="439"/>
      <c r="D62" s="439"/>
      <c r="E62" s="439"/>
      <c r="F62" s="439"/>
      <c r="G62" s="439"/>
      <c r="H62" s="439"/>
    </row>
    <row r="63" spans="1:8" s="233" customFormat="1">
      <c r="A63" s="439"/>
      <c r="B63" s="439"/>
      <c r="C63" s="439"/>
      <c r="D63" s="439"/>
      <c r="E63" s="439"/>
      <c r="F63" s="439"/>
      <c r="G63" s="439"/>
      <c r="H63" s="439"/>
    </row>
    <row r="64" spans="1:8" s="233" customFormat="1">
      <c r="A64" s="233" t="s">
        <v>17</v>
      </c>
      <c r="D64" s="231"/>
      <c r="G64" s="230"/>
    </row>
    <row r="65" spans="1:7" s="233" customFormat="1">
      <c r="D65" s="231"/>
      <c r="G65" s="230"/>
    </row>
    <row r="66" spans="1:7" s="233" customFormat="1" ht="15" customHeight="1">
      <c r="A66" s="290"/>
      <c r="B66" s="290"/>
      <c r="C66" s="290"/>
      <c r="D66" s="231"/>
      <c r="E66" s="290"/>
      <c r="F66" s="290"/>
      <c r="G66" s="291"/>
    </row>
    <row r="67" spans="1:7" s="233" customFormat="1">
      <c r="A67" s="452" t="s">
        <v>355</v>
      </c>
      <c r="B67" s="452"/>
      <c r="C67" s="452"/>
      <c r="D67" s="231"/>
      <c r="E67" s="452" t="s">
        <v>18</v>
      </c>
      <c r="F67" s="452"/>
      <c r="G67" s="452"/>
    </row>
  </sheetData>
  <sheetProtection password="CAF1" sheet="1" objects="1" scenarios="1" selectLockedCells="1"/>
  <mergeCells count="22">
    <mergeCell ref="A61:H61"/>
    <mergeCell ref="A62:H62"/>
    <mergeCell ref="A63:H63"/>
    <mergeCell ref="A67:C67"/>
    <mergeCell ref="E67:G67"/>
    <mergeCell ref="H1:H2"/>
    <mergeCell ref="A9:B9"/>
    <mergeCell ref="A8:B8"/>
    <mergeCell ref="A53:D53"/>
    <mergeCell ref="A24:G24"/>
    <mergeCell ref="C5:H5"/>
    <mergeCell ref="C6:H6"/>
    <mergeCell ref="C7:H7"/>
    <mergeCell ref="C8:H8"/>
    <mergeCell ref="C9:H9"/>
    <mergeCell ref="C10:H10"/>
    <mergeCell ref="A60:H60"/>
    <mergeCell ref="A55:H55"/>
    <mergeCell ref="A56:H56"/>
    <mergeCell ref="A57:H57"/>
    <mergeCell ref="A58:H58"/>
    <mergeCell ref="A59:H59"/>
  </mergeCells>
  <hyperlinks>
    <hyperlink ref="J4" location="'DATA SHEET'!A1" display="Return to Data Sheet" xr:uid="{00000000-0004-0000-1300-000000000000}"/>
    <hyperlink ref="C1" location="'DATA SHEET'!A1" display="HIGHLANDS PRIME, INC." xr:uid="{00000000-0004-0000-1300-000001000000}"/>
  </hyperlinks>
  <printOptions horizontalCentered="1"/>
  <pageMargins left="0.7" right="0.7" top="0.5" bottom="0.75" header="0.05" footer="0.3"/>
  <pageSetup scale="75" orientation="portrait" r:id="rId1"/>
  <headerFooter alignWithMargins="0">
    <oddFooter>&amp;L&amp;8A project of HIGHLANDS PRIME, INC. Horizon Terraces HLURB License To Sell No. 032272&amp;R&amp;8Page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3">
    <tabColor rgb="FFF7941D"/>
    <pageSetUpPr fitToPage="1"/>
  </sheetPr>
  <dimension ref="A1:R65"/>
  <sheetViews>
    <sheetView showGridLines="0" zoomScaleNormal="100" workbookViewId="0">
      <selection activeCell="C14" sqref="C14"/>
    </sheetView>
  </sheetViews>
  <sheetFormatPr baseColWidth="10" defaultColWidth="0" defaultRowHeight="14"/>
  <cols>
    <col min="1" max="1" width="12.1640625" style="37" customWidth="1"/>
    <col min="2" max="2" width="10.83203125" style="37" customWidth="1"/>
    <col min="3" max="3" width="23.5" style="37" customWidth="1"/>
    <col min="4" max="4" width="12.83203125" style="38" bestFit="1" customWidth="1"/>
    <col min="5" max="5" width="12.5" style="37" bestFit="1" customWidth="1"/>
    <col min="6" max="6" width="13.6640625" style="37" bestFit="1" customWidth="1"/>
    <col min="7" max="7" width="13.5" style="37" bestFit="1" customWidth="1"/>
    <col min="8" max="8" width="16.5" style="37" bestFit="1" customWidth="1"/>
    <col min="9" max="12" width="9.1640625" style="37" customWidth="1"/>
    <col min="13" max="18" width="0" style="37" hidden="1" customWidth="1"/>
    <col min="19" max="16384" width="9.1640625" style="37" hidden="1"/>
  </cols>
  <sheetData>
    <row r="1" spans="1:18" ht="12.75" customHeight="1">
      <c r="C1" s="240" t="s">
        <v>35</v>
      </c>
      <c r="H1" s="478" t="s">
        <v>66</v>
      </c>
    </row>
    <row r="2" spans="1:18" ht="12.75" customHeight="1">
      <c r="C2" s="230" t="s">
        <v>348</v>
      </c>
      <c r="H2" s="478"/>
    </row>
    <row r="3" spans="1:18">
      <c r="C3" s="230" t="s">
        <v>36</v>
      </c>
    </row>
    <row r="4" spans="1:18">
      <c r="J4" s="311" t="s">
        <v>305</v>
      </c>
    </row>
    <row r="5" spans="1:18">
      <c r="A5" s="488" t="s">
        <v>0</v>
      </c>
      <c r="B5" s="468"/>
      <c r="C5" s="489" t="str">
        <f>'DATA SHEET'!D10</f>
        <v xml:space="preserve"> </v>
      </c>
      <c r="D5" s="489"/>
      <c r="E5" s="489"/>
      <c r="F5" s="489"/>
      <c r="G5" s="489"/>
      <c r="H5" s="490"/>
      <c r="I5" s="314"/>
    </row>
    <row r="6" spans="1:18">
      <c r="A6" s="335" t="s">
        <v>31</v>
      </c>
      <c r="B6" s="314"/>
      <c r="C6" s="436" t="str">
        <f>VLOOKUP('DATA SHEET'!$D$11,' Garden Suites PL'!C6:F28,1,FALSE)</f>
        <v>GA</v>
      </c>
      <c r="D6" s="436"/>
      <c r="E6" s="436"/>
      <c r="F6" s="436"/>
      <c r="G6" s="436"/>
      <c r="H6" s="437"/>
    </row>
    <row r="7" spans="1:18">
      <c r="A7" s="335" t="s">
        <v>37</v>
      </c>
      <c r="B7" s="314"/>
      <c r="C7" s="491">
        <f>VLOOKUP('DATA SHEET'!D11,' Garden Suites PL'!C6:F28,3,0)</f>
        <v>67.900000000000006</v>
      </c>
      <c r="D7" s="491"/>
      <c r="E7" s="491"/>
      <c r="F7" s="491"/>
      <c r="G7" s="491"/>
      <c r="H7" s="492"/>
    </row>
    <row r="8" spans="1:18">
      <c r="A8" s="438" t="s">
        <v>352</v>
      </c>
      <c r="B8" s="436"/>
      <c r="C8" s="440" t="str">
        <f>VLOOKUP('DATA SHEET'!D11,' Garden Suites PL'!C6:D28,2,0)</f>
        <v>1-Bedroom Terrace Suite</v>
      </c>
      <c r="D8" s="440"/>
      <c r="E8" s="440"/>
      <c r="F8" s="440"/>
      <c r="G8" s="440"/>
      <c r="H8" s="441"/>
    </row>
    <row r="9" spans="1:18">
      <c r="A9" s="438" t="s">
        <v>356</v>
      </c>
      <c r="B9" s="436"/>
      <c r="C9" s="493">
        <f>VLOOKUP('DATA SHEET'!D11,' Garden Suites PL'!C6:G28,5,0)</f>
        <v>9961680</v>
      </c>
      <c r="D9" s="493"/>
      <c r="E9" s="493"/>
      <c r="F9" s="493"/>
      <c r="G9" s="493"/>
      <c r="H9" s="494"/>
    </row>
    <row r="10" spans="1:18">
      <c r="A10" s="338" t="s">
        <v>33</v>
      </c>
      <c r="B10" s="75"/>
      <c r="C10" s="486" t="str">
        <f>+'DATA SHEET'!B24</f>
        <v>25% over 24 months, 75% Lumpsum</v>
      </c>
      <c r="D10" s="486"/>
      <c r="E10" s="486"/>
      <c r="F10" s="486"/>
      <c r="G10" s="486"/>
      <c r="H10" s="487"/>
    </row>
    <row r="12" spans="1:18">
      <c r="A12" s="39" t="s">
        <v>55</v>
      </c>
      <c r="B12" s="39"/>
    </row>
    <row r="13" spans="1:18">
      <c r="A13" s="233" t="s">
        <v>359</v>
      </c>
      <c r="D13" s="194">
        <f>(C9-650000)</f>
        <v>9311680</v>
      </c>
      <c r="E13" s="316" t="str">
        <f>LEFT(C8,9)</f>
        <v>1-Bedroom</v>
      </c>
      <c r="F13" s="316"/>
      <c r="G13" s="316"/>
    </row>
    <row r="14" spans="1:18" s="233" customFormat="1">
      <c r="A14" s="228" t="s">
        <v>378</v>
      </c>
      <c r="B14" s="228"/>
      <c r="C14" s="368">
        <v>0.01</v>
      </c>
      <c r="D14" s="256">
        <f>IF(C14&lt;=1%,((D13)*C14),"BEYOND MAX DISC.")</f>
        <v>93116.800000000003</v>
      </c>
      <c r="E14" s="257"/>
      <c r="F14" s="257"/>
      <c r="G14" s="257"/>
      <c r="H14" s="257"/>
      <c r="I14" s="257"/>
      <c r="J14" s="257"/>
      <c r="K14" s="257"/>
      <c r="L14" s="257"/>
      <c r="M14" s="257"/>
      <c r="N14" s="257"/>
      <c r="O14" s="257"/>
      <c r="P14" s="259"/>
      <c r="Q14" s="254"/>
      <c r="R14" s="255"/>
    </row>
    <row r="15" spans="1:18" s="233" customFormat="1">
      <c r="A15" s="228" t="s">
        <v>379</v>
      </c>
      <c r="B15" s="228"/>
      <c r="C15" s="231"/>
      <c r="D15" s="328">
        <v>230000</v>
      </c>
      <c r="G15" s="257"/>
      <c r="H15" s="257"/>
      <c r="I15" s="257"/>
      <c r="J15" s="257"/>
      <c r="K15" s="257"/>
      <c r="L15" s="257"/>
      <c r="M15" s="257"/>
      <c r="N15" s="259"/>
      <c r="O15" s="254"/>
      <c r="P15" s="255"/>
    </row>
    <row r="16" spans="1:18">
      <c r="A16" s="233" t="s">
        <v>360</v>
      </c>
      <c r="B16" s="233"/>
      <c r="C16" s="227"/>
      <c r="D16" s="194">
        <f>+D13-SUM(D14:D15)</f>
        <v>8988563.1999999993</v>
      </c>
      <c r="E16" s="316"/>
      <c r="F16" s="316"/>
      <c r="G16" s="316"/>
    </row>
    <row r="17" spans="1:14" ht="12.75" customHeight="1">
      <c r="A17" s="331" t="s">
        <v>302</v>
      </c>
      <c r="B17" s="331"/>
      <c r="C17" s="232"/>
      <c r="D17" s="194">
        <v>650000</v>
      </c>
      <c r="E17" s="38"/>
      <c r="F17" s="38"/>
      <c r="G17" s="38"/>
    </row>
    <row r="18" spans="1:14" ht="12.75" customHeight="1">
      <c r="A18" s="266" t="s">
        <v>362</v>
      </c>
      <c r="B18" s="266"/>
      <c r="C18" s="39"/>
      <c r="D18" s="318">
        <f>+SUM(D16:D17)</f>
        <v>9638563.1999999993</v>
      </c>
      <c r="E18" s="38"/>
      <c r="F18" s="38"/>
      <c r="G18" s="38"/>
    </row>
    <row r="19" spans="1:14" s="233" customFormat="1">
      <c r="A19" s="267" t="s">
        <v>350</v>
      </c>
      <c r="B19" s="267"/>
      <c r="C19" s="229">
        <v>0.05</v>
      </c>
      <c r="D19" s="319">
        <f>(D16/1.12)*C19</f>
        <v>401275.14285714278</v>
      </c>
      <c r="E19" s="252"/>
      <c r="F19" s="252"/>
      <c r="G19" s="252"/>
      <c r="H19" s="252"/>
      <c r="I19" s="252"/>
      <c r="J19" s="252"/>
      <c r="K19" s="252"/>
      <c r="L19" s="254"/>
      <c r="M19" s="254"/>
      <c r="N19" s="255"/>
    </row>
    <row r="20" spans="1:14" s="233" customFormat="1" ht="15" thickBot="1">
      <c r="A20" s="230" t="s">
        <v>58</v>
      </c>
      <c r="B20" s="230"/>
      <c r="C20" s="230"/>
      <c r="D20" s="270">
        <f>+D18+D19</f>
        <v>10039838.342857143</v>
      </c>
      <c r="E20" s="252"/>
      <c r="F20" s="252"/>
      <c r="G20" s="252"/>
      <c r="H20" s="252"/>
      <c r="I20" s="252"/>
      <c r="J20" s="252"/>
      <c r="K20" s="252"/>
      <c r="L20" s="254"/>
      <c r="M20" s="254"/>
      <c r="N20" s="255"/>
    </row>
    <row r="21" spans="1:14" ht="15" thickTop="1"/>
    <row r="22" spans="1:14">
      <c r="A22" s="271" t="s">
        <v>34</v>
      </c>
      <c r="B22" s="271" t="s">
        <v>347</v>
      </c>
      <c r="C22" s="271" t="s">
        <v>2</v>
      </c>
      <c r="D22" s="271" t="s">
        <v>343</v>
      </c>
      <c r="E22" s="271" t="s">
        <v>363</v>
      </c>
      <c r="F22" s="271" t="s">
        <v>344</v>
      </c>
      <c r="G22" s="272" t="s">
        <v>349</v>
      </c>
      <c r="H22" s="271" t="s">
        <v>345</v>
      </c>
    </row>
    <row r="23" spans="1:14">
      <c r="A23" s="453" t="s">
        <v>346</v>
      </c>
      <c r="B23" s="454"/>
      <c r="C23" s="454"/>
      <c r="D23" s="454"/>
      <c r="E23" s="454"/>
      <c r="F23" s="454"/>
      <c r="G23" s="455"/>
      <c r="H23" s="310">
        <f>+D20</f>
        <v>10039838.342857143</v>
      </c>
    </row>
    <row r="24" spans="1:14" ht="13.5" customHeight="1">
      <c r="A24" s="320">
        <v>0</v>
      </c>
      <c r="B24" s="320"/>
      <c r="C24" s="320" t="s">
        <v>38</v>
      </c>
      <c r="D24" s="321">
        <f ca="1">'DATA SHEET'!D9</f>
        <v>43973</v>
      </c>
      <c r="E24" s="322">
        <f>IF(E13="1-Bedroom",50000,100000)</f>
        <v>50000</v>
      </c>
      <c r="F24" s="322"/>
      <c r="G24" s="323">
        <f>+SUM(E24:F24)</f>
        <v>50000</v>
      </c>
      <c r="H24" s="324">
        <f>D20-G24</f>
        <v>9989838.3428571429</v>
      </c>
    </row>
    <row r="25" spans="1:14" ht="13.5" customHeight="1">
      <c r="A25" s="320"/>
      <c r="B25" s="325">
        <v>0.25</v>
      </c>
      <c r="C25" s="320" t="s">
        <v>351</v>
      </c>
      <c r="D25" s="321"/>
      <c r="E25" s="322"/>
      <c r="F25" s="322"/>
      <c r="G25" s="323"/>
      <c r="H25" s="324"/>
    </row>
    <row r="26" spans="1:14">
      <c r="A26" s="320">
        <v>1</v>
      </c>
      <c r="B26" s="320"/>
      <c r="C26" s="320" t="s">
        <v>309</v>
      </c>
      <c r="D26" s="321">
        <f ca="1">EDATE(D24,1)</f>
        <v>44004</v>
      </c>
      <c r="E26" s="322">
        <f t="shared" ref="E26:E49" si="0">(($D$18*25%)-$E$24)/24</f>
        <v>98318.366666666654</v>
      </c>
      <c r="F26" s="322">
        <f>(($D$19*25%))/24</f>
        <v>4179.9494047619037</v>
      </c>
      <c r="G26" s="323">
        <f t="shared" ref="G26:G50" si="1">+SUM(E26:F26)</f>
        <v>102498.31607142856</v>
      </c>
      <c r="H26" s="324">
        <f>H24-G26</f>
        <v>9887340.0267857146</v>
      </c>
    </row>
    <row r="27" spans="1:14">
      <c r="A27" s="320">
        <v>2</v>
      </c>
      <c r="B27" s="320"/>
      <c r="C27" s="320" t="s">
        <v>310</v>
      </c>
      <c r="D27" s="321">
        <f t="shared" ref="D27:D50" ca="1" si="2">EDATE(D26,1)</f>
        <v>44034</v>
      </c>
      <c r="E27" s="322">
        <f t="shared" si="0"/>
        <v>98318.366666666654</v>
      </c>
      <c r="F27" s="322">
        <f t="shared" ref="F27:F49" si="3">(($D$19*25%))/24</f>
        <v>4179.9494047619037</v>
      </c>
      <c r="G27" s="323">
        <f t="shared" si="1"/>
        <v>102498.31607142856</v>
      </c>
      <c r="H27" s="324">
        <f t="shared" ref="H27:H49" si="4">H26-G27</f>
        <v>9784841.7107142862</v>
      </c>
    </row>
    <row r="28" spans="1:14">
      <c r="A28" s="320">
        <v>3</v>
      </c>
      <c r="B28" s="320"/>
      <c r="C28" s="320" t="s">
        <v>311</v>
      </c>
      <c r="D28" s="321">
        <f t="shared" ca="1" si="2"/>
        <v>44065</v>
      </c>
      <c r="E28" s="322">
        <f t="shared" si="0"/>
        <v>98318.366666666654</v>
      </c>
      <c r="F28" s="322">
        <f t="shared" si="3"/>
        <v>4179.9494047619037</v>
      </c>
      <c r="G28" s="323">
        <f t="shared" si="1"/>
        <v>102498.31607142856</v>
      </c>
      <c r="H28" s="324">
        <f t="shared" si="4"/>
        <v>9682343.3946428578</v>
      </c>
    </row>
    <row r="29" spans="1:14">
      <c r="A29" s="320">
        <v>4</v>
      </c>
      <c r="B29" s="320"/>
      <c r="C29" s="320" t="s">
        <v>312</v>
      </c>
      <c r="D29" s="321">
        <f t="shared" ca="1" si="2"/>
        <v>44096</v>
      </c>
      <c r="E29" s="322">
        <f t="shared" si="0"/>
        <v>98318.366666666654</v>
      </c>
      <c r="F29" s="322">
        <f t="shared" si="3"/>
        <v>4179.9494047619037</v>
      </c>
      <c r="G29" s="323">
        <f t="shared" si="1"/>
        <v>102498.31607142856</v>
      </c>
      <c r="H29" s="324">
        <f t="shared" si="4"/>
        <v>9579845.0785714295</v>
      </c>
    </row>
    <row r="30" spans="1:14">
      <c r="A30" s="320">
        <v>5</v>
      </c>
      <c r="B30" s="320"/>
      <c r="C30" s="320" t="s">
        <v>313</v>
      </c>
      <c r="D30" s="321">
        <f t="shared" ca="1" si="2"/>
        <v>44126</v>
      </c>
      <c r="E30" s="322">
        <f t="shared" si="0"/>
        <v>98318.366666666654</v>
      </c>
      <c r="F30" s="322">
        <f t="shared" si="3"/>
        <v>4179.9494047619037</v>
      </c>
      <c r="G30" s="323">
        <f t="shared" si="1"/>
        <v>102498.31607142856</v>
      </c>
      <c r="H30" s="324">
        <f t="shared" si="4"/>
        <v>9477346.7625000011</v>
      </c>
    </row>
    <row r="31" spans="1:14">
      <c r="A31" s="320">
        <v>6</v>
      </c>
      <c r="B31" s="320"/>
      <c r="C31" s="320" t="s">
        <v>314</v>
      </c>
      <c r="D31" s="321">
        <f t="shared" ca="1" si="2"/>
        <v>44157</v>
      </c>
      <c r="E31" s="322">
        <f t="shared" si="0"/>
        <v>98318.366666666654</v>
      </c>
      <c r="F31" s="322">
        <f t="shared" si="3"/>
        <v>4179.9494047619037</v>
      </c>
      <c r="G31" s="323">
        <f t="shared" si="1"/>
        <v>102498.31607142856</v>
      </c>
      <c r="H31" s="324">
        <f t="shared" si="4"/>
        <v>9374848.4464285728</v>
      </c>
    </row>
    <row r="32" spans="1:14">
      <c r="A32" s="320">
        <v>7</v>
      </c>
      <c r="B32" s="320"/>
      <c r="C32" s="320" t="s">
        <v>315</v>
      </c>
      <c r="D32" s="321">
        <f t="shared" ca="1" si="2"/>
        <v>44187</v>
      </c>
      <c r="E32" s="322">
        <f t="shared" si="0"/>
        <v>98318.366666666654</v>
      </c>
      <c r="F32" s="322">
        <f t="shared" si="3"/>
        <v>4179.9494047619037</v>
      </c>
      <c r="G32" s="323">
        <f t="shared" si="1"/>
        <v>102498.31607142856</v>
      </c>
      <c r="H32" s="324">
        <f t="shared" si="4"/>
        <v>9272350.1303571444</v>
      </c>
    </row>
    <row r="33" spans="1:8">
      <c r="A33" s="320">
        <v>8</v>
      </c>
      <c r="B33" s="320"/>
      <c r="C33" s="320" t="s">
        <v>316</v>
      </c>
      <c r="D33" s="321">
        <f t="shared" ca="1" si="2"/>
        <v>44218</v>
      </c>
      <c r="E33" s="322">
        <f t="shared" si="0"/>
        <v>98318.366666666654</v>
      </c>
      <c r="F33" s="322">
        <f t="shared" si="3"/>
        <v>4179.9494047619037</v>
      </c>
      <c r="G33" s="323">
        <f t="shared" si="1"/>
        <v>102498.31607142856</v>
      </c>
      <c r="H33" s="324">
        <f t="shared" si="4"/>
        <v>9169851.814285716</v>
      </c>
    </row>
    <row r="34" spans="1:8">
      <c r="A34" s="320">
        <v>9</v>
      </c>
      <c r="B34" s="320"/>
      <c r="C34" s="320" t="s">
        <v>317</v>
      </c>
      <c r="D34" s="321">
        <f t="shared" ca="1" si="2"/>
        <v>44249</v>
      </c>
      <c r="E34" s="322">
        <f t="shared" si="0"/>
        <v>98318.366666666654</v>
      </c>
      <c r="F34" s="322">
        <f t="shared" si="3"/>
        <v>4179.9494047619037</v>
      </c>
      <c r="G34" s="323">
        <f t="shared" si="1"/>
        <v>102498.31607142856</v>
      </c>
      <c r="H34" s="324">
        <f t="shared" si="4"/>
        <v>9067353.4982142877</v>
      </c>
    </row>
    <row r="35" spans="1:8">
      <c r="A35" s="320">
        <v>10</v>
      </c>
      <c r="B35" s="320"/>
      <c r="C35" s="320" t="s">
        <v>318</v>
      </c>
      <c r="D35" s="321">
        <f t="shared" ca="1" si="2"/>
        <v>44277</v>
      </c>
      <c r="E35" s="322">
        <f t="shared" si="0"/>
        <v>98318.366666666654</v>
      </c>
      <c r="F35" s="322">
        <f t="shared" si="3"/>
        <v>4179.9494047619037</v>
      </c>
      <c r="G35" s="323">
        <f t="shared" si="1"/>
        <v>102498.31607142856</v>
      </c>
      <c r="H35" s="324">
        <f t="shared" si="4"/>
        <v>8964855.1821428593</v>
      </c>
    </row>
    <row r="36" spans="1:8">
      <c r="A36" s="320">
        <v>11</v>
      </c>
      <c r="B36" s="320"/>
      <c r="C36" s="320" t="s">
        <v>319</v>
      </c>
      <c r="D36" s="321">
        <f t="shared" ca="1" si="2"/>
        <v>44308</v>
      </c>
      <c r="E36" s="322">
        <f t="shared" si="0"/>
        <v>98318.366666666654</v>
      </c>
      <c r="F36" s="322">
        <f t="shared" si="3"/>
        <v>4179.9494047619037</v>
      </c>
      <c r="G36" s="323">
        <f t="shared" si="1"/>
        <v>102498.31607142856</v>
      </c>
      <c r="H36" s="324">
        <f t="shared" si="4"/>
        <v>8862356.866071431</v>
      </c>
    </row>
    <row r="37" spans="1:8">
      <c r="A37" s="320">
        <v>12</v>
      </c>
      <c r="B37" s="320"/>
      <c r="C37" s="320" t="s">
        <v>320</v>
      </c>
      <c r="D37" s="321">
        <f t="shared" ca="1" si="2"/>
        <v>44338</v>
      </c>
      <c r="E37" s="322">
        <f t="shared" si="0"/>
        <v>98318.366666666654</v>
      </c>
      <c r="F37" s="322">
        <f t="shared" si="3"/>
        <v>4179.9494047619037</v>
      </c>
      <c r="G37" s="323">
        <f t="shared" si="1"/>
        <v>102498.31607142856</v>
      </c>
      <c r="H37" s="324">
        <f t="shared" si="4"/>
        <v>8759858.5500000026</v>
      </c>
    </row>
    <row r="38" spans="1:8">
      <c r="A38" s="320">
        <v>13</v>
      </c>
      <c r="B38" s="320"/>
      <c r="C38" s="320" t="s">
        <v>321</v>
      </c>
      <c r="D38" s="321">
        <f t="shared" ca="1" si="2"/>
        <v>44369</v>
      </c>
      <c r="E38" s="322">
        <f t="shared" si="0"/>
        <v>98318.366666666654</v>
      </c>
      <c r="F38" s="322">
        <f t="shared" si="3"/>
        <v>4179.9494047619037</v>
      </c>
      <c r="G38" s="323">
        <f t="shared" si="1"/>
        <v>102498.31607142856</v>
      </c>
      <c r="H38" s="324">
        <f t="shared" si="4"/>
        <v>8657360.2339285742</v>
      </c>
    </row>
    <row r="39" spans="1:8">
      <c r="A39" s="320">
        <v>14</v>
      </c>
      <c r="B39" s="320"/>
      <c r="C39" s="320" t="s">
        <v>322</v>
      </c>
      <c r="D39" s="321">
        <f t="shared" ca="1" si="2"/>
        <v>44399</v>
      </c>
      <c r="E39" s="322">
        <f t="shared" si="0"/>
        <v>98318.366666666654</v>
      </c>
      <c r="F39" s="322">
        <f t="shared" si="3"/>
        <v>4179.9494047619037</v>
      </c>
      <c r="G39" s="323">
        <f t="shared" si="1"/>
        <v>102498.31607142856</v>
      </c>
      <c r="H39" s="324">
        <f t="shared" si="4"/>
        <v>8554861.9178571459</v>
      </c>
    </row>
    <row r="40" spans="1:8">
      <c r="A40" s="320">
        <v>15</v>
      </c>
      <c r="B40" s="320"/>
      <c r="C40" s="320" t="s">
        <v>323</v>
      </c>
      <c r="D40" s="321">
        <f t="shared" ca="1" si="2"/>
        <v>44430</v>
      </c>
      <c r="E40" s="322">
        <f t="shared" si="0"/>
        <v>98318.366666666654</v>
      </c>
      <c r="F40" s="322">
        <f t="shared" si="3"/>
        <v>4179.9494047619037</v>
      </c>
      <c r="G40" s="323">
        <f t="shared" si="1"/>
        <v>102498.31607142856</v>
      </c>
      <c r="H40" s="324">
        <f t="shared" si="4"/>
        <v>8452363.6017857175</v>
      </c>
    </row>
    <row r="41" spans="1:8">
      <c r="A41" s="320">
        <v>16</v>
      </c>
      <c r="B41" s="320"/>
      <c r="C41" s="320" t="s">
        <v>324</v>
      </c>
      <c r="D41" s="321">
        <f t="shared" ca="1" si="2"/>
        <v>44461</v>
      </c>
      <c r="E41" s="322">
        <f t="shared" si="0"/>
        <v>98318.366666666654</v>
      </c>
      <c r="F41" s="322">
        <f t="shared" si="3"/>
        <v>4179.9494047619037</v>
      </c>
      <c r="G41" s="323">
        <f t="shared" si="1"/>
        <v>102498.31607142856</v>
      </c>
      <c r="H41" s="324">
        <f t="shared" si="4"/>
        <v>8349865.2857142892</v>
      </c>
    </row>
    <row r="42" spans="1:8">
      <c r="A42" s="320">
        <v>17</v>
      </c>
      <c r="B42" s="320"/>
      <c r="C42" s="320" t="s">
        <v>325</v>
      </c>
      <c r="D42" s="321">
        <f t="shared" ca="1" si="2"/>
        <v>44491</v>
      </c>
      <c r="E42" s="322">
        <f t="shared" si="0"/>
        <v>98318.366666666654</v>
      </c>
      <c r="F42" s="322">
        <f t="shared" si="3"/>
        <v>4179.9494047619037</v>
      </c>
      <c r="G42" s="323">
        <f t="shared" si="1"/>
        <v>102498.31607142856</v>
      </c>
      <c r="H42" s="324">
        <f t="shared" si="4"/>
        <v>8247366.9696428608</v>
      </c>
    </row>
    <row r="43" spans="1:8">
      <c r="A43" s="320">
        <v>18</v>
      </c>
      <c r="B43" s="320"/>
      <c r="C43" s="320" t="s">
        <v>326</v>
      </c>
      <c r="D43" s="321">
        <f t="shared" ca="1" si="2"/>
        <v>44522</v>
      </c>
      <c r="E43" s="322">
        <f t="shared" si="0"/>
        <v>98318.366666666654</v>
      </c>
      <c r="F43" s="322">
        <f t="shared" si="3"/>
        <v>4179.9494047619037</v>
      </c>
      <c r="G43" s="323">
        <f t="shared" si="1"/>
        <v>102498.31607142856</v>
      </c>
      <c r="H43" s="324">
        <f t="shared" si="4"/>
        <v>8144868.6535714325</v>
      </c>
    </row>
    <row r="44" spans="1:8">
      <c r="A44" s="320">
        <v>19</v>
      </c>
      <c r="B44" s="320"/>
      <c r="C44" s="320" t="s">
        <v>327</v>
      </c>
      <c r="D44" s="321">
        <f t="shared" ca="1" si="2"/>
        <v>44552</v>
      </c>
      <c r="E44" s="322">
        <f t="shared" si="0"/>
        <v>98318.366666666654</v>
      </c>
      <c r="F44" s="322">
        <f t="shared" si="3"/>
        <v>4179.9494047619037</v>
      </c>
      <c r="G44" s="323">
        <f t="shared" si="1"/>
        <v>102498.31607142856</v>
      </c>
      <c r="H44" s="324">
        <f t="shared" si="4"/>
        <v>8042370.3375000041</v>
      </c>
    </row>
    <row r="45" spans="1:8">
      <c r="A45" s="320">
        <v>20</v>
      </c>
      <c r="B45" s="320"/>
      <c r="C45" s="320" t="s">
        <v>328</v>
      </c>
      <c r="D45" s="321">
        <f t="shared" ca="1" si="2"/>
        <v>44583</v>
      </c>
      <c r="E45" s="322">
        <f t="shared" si="0"/>
        <v>98318.366666666654</v>
      </c>
      <c r="F45" s="322">
        <f t="shared" si="3"/>
        <v>4179.9494047619037</v>
      </c>
      <c r="G45" s="323">
        <f t="shared" si="1"/>
        <v>102498.31607142856</v>
      </c>
      <c r="H45" s="324">
        <f t="shared" si="4"/>
        <v>7939872.0214285757</v>
      </c>
    </row>
    <row r="46" spans="1:8">
      <c r="A46" s="320">
        <v>21</v>
      </c>
      <c r="B46" s="320"/>
      <c r="C46" s="320" t="s">
        <v>329</v>
      </c>
      <c r="D46" s="321">
        <f t="shared" ca="1" si="2"/>
        <v>44614</v>
      </c>
      <c r="E46" s="322">
        <f t="shared" si="0"/>
        <v>98318.366666666654</v>
      </c>
      <c r="F46" s="322">
        <f t="shared" si="3"/>
        <v>4179.9494047619037</v>
      </c>
      <c r="G46" s="323">
        <f t="shared" si="1"/>
        <v>102498.31607142856</v>
      </c>
      <c r="H46" s="324">
        <f t="shared" si="4"/>
        <v>7837373.7053571474</v>
      </c>
    </row>
    <row r="47" spans="1:8">
      <c r="A47" s="320">
        <v>22</v>
      </c>
      <c r="B47" s="320"/>
      <c r="C47" s="320" t="s">
        <v>330</v>
      </c>
      <c r="D47" s="321">
        <f t="shared" ca="1" si="2"/>
        <v>44642</v>
      </c>
      <c r="E47" s="322">
        <f t="shared" si="0"/>
        <v>98318.366666666654</v>
      </c>
      <c r="F47" s="322">
        <f t="shared" si="3"/>
        <v>4179.9494047619037</v>
      </c>
      <c r="G47" s="323">
        <f t="shared" si="1"/>
        <v>102498.31607142856</v>
      </c>
      <c r="H47" s="324">
        <f t="shared" si="4"/>
        <v>7734875.389285719</v>
      </c>
    </row>
    <row r="48" spans="1:8">
      <c r="A48" s="320">
        <v>23</v>
      </c>
      <c r="B48" s="320"/>
      <c r="C48" s="320" t="s">
        <v>331</v>
      </c>
      <c r="D48" s="321">
        <f t="shared" ca="1" si="2"/>
        <v>44673</v>
      </c>
      <c r="E48" s="322">
        <f t="shared" si="0"/>
        <v>98318.366666666654</v>
      </c>
      <c r="F48" s="322">
        <f t="shared" si="3"/>
        <v>4179.9494047619037</v>
      </c>
      <c r="G48" s="323">
        <f t="shared" si="1"/>
        <v>102498.31607142856</v>
      </c>
      <c r="H48" s="324">
        <f t="shared" si="4"/>
        <v>7632377.0732142907</v>
      </c>
    </row>
    <row r="49" spans="1:8">
      <c r="A49" s="320">
        <v>24</v>
      </c>
      <c r="B49" s="320"/>
      <c r="C49" s="320" t="s">
        <v>332</v>
      </c>
      <c r="D49" s="321">
        <f t="shared" ca="1" si="2"/>
        <v>44703</v>
      </c>
      <c r="E49" s="322">
        <f t="shared" si="0"/>
        <v>98318.366666666654</v>
      </c>
      <c r="F49" s="322">
        <f t="shared" si="3"/>
        <v>4179.9494047619037</v>
      </c>
      <c r="G49" s="323">
        <f t="shared" si="1"/>
        <v>102498.31607142856</v>
      </c>
      <c r="H49" s="324">
        <f t="shared" si="4"/>
        <v>7529878.7571428623</v>
      </c>
    </row>
    <row r="50" spans="1:8">
      <c r="A50" s="320">
        <v>31</v>
      </c>
      <c r="B50" s="325">
        <v>0.75</v>
      </c>
      <c r="C50" s="320" t="s">
        <v>180</v>
      </c>
      <c r="D50" s="321">
        <f t="shared" ca="1" si="2"/>
        <v>44734</v>
      </c>
      <c r="E50" s="322">
        <f>D18*75%</f>
        <v>7228922.3999999994</v>
      </c>
      <c r="F50" s="322">
        <f>D19*75%</f>
        <v>300956.3571428571</v>
      </c>
      <c r="G50" s="323">
        <f t="shared" si="1"/>
        <v>7529878.7571428567</v>
      </c>
      <c r="H50" s="324">
        <f>H49-G50</f>
        <v>0</v>
      </c>
    </row>
    <row r="51" spans="1:8">
      <c r="A51" s="481" t="s">
        <v>16</v>
      </c>
      <c r="B51" s="482"/>
      <c r="C51" s="482"/>
      <c r="D51" s="483"/>
      <c r="E51" s="332">
        <f>SUM(E24:E50)</f>
        <v>9638563.1999999993</v>
      </c>
      <c r="F51" s="332">
        <f>SUM(F24:F50)</f>
        <v>401275.14285714284</v>
      </c>
      <c r="G51" s="332">
        <f>SUM(G24:G50)</f>
        <v>10039838.342857141</v>
      </c>
      <c r="H51" s="333"/>
    </row>
    <row r="52" spans="1:8" s="233" customFormat="1">
      <c r="C52" s="287"/>
      <c r="D52" s="288"/>
      <c r="E52" s="289"/>
      <c r="F52" s="289"/>
      <c r="G52" s="289"/>
    </row>
    <row r="53" spans="1:8" s="233" customFormat="1">
      <c r="A53" s="439" t="s">
        <v>364</v>
      </c>
      <c r="B53" s="439"/>
      <c r="C53" s="439"/>
      <c r="D53" s="439"/>
      <c r="E53" s="439"/>
      <c r="F53" s="439"/>
      <c r="G53" s="439"/>
      <c r="H53" s="439"/>
    </row>
    <row r="54" spans="1:8" s="233" customFormat="1" ht="29.25" customHeight="1">
      <c r="A54" s="449" t="s">
        <v>365</v>
      </c>
      <c r="B54" s="449"/>
      <c r="C54" s="449"/>
      <c r="D54" s="449"/>
      <c r="E54" s="449"/>
      <c r="F54" s="449"/>
      <c r="G54" s="449"/>
      <c r="H54" s="449"/>
    </row>
    <row r="55" spans="1:8" s="233" customFormat="1" ht="16.5" customHeight="1">
      <c r="A55" s="439" t="s">
        <v>366</v>
      </c>
      <c r="B55" s="439"/>
      <c r="C55" s="439"/>
      <c r="D55" s="439"/>
      <c r="E55" s="439"/>
      <c r="F55" s="439"/>
      <c r="G55" s="439"/>
      <c r="H55" s="439"/>
    </row>
    <row r="56" spans="1:8" s="233" customFormat="1" ht="16.5" customHeight="1">
      <c r="A56" s="439" t="s">
        <v>367</v>
      </c>
      <c r="B56" s="439"/>
      <c r="C56" s="439"/>
      <c r="D56" s="439"/>
      <c r="E56" s="439"/>
      <c r="F56" s="439"/>
      <c r="G56" s="439"/>
      <c r="H56" s="439"/>
    </row>
    <row r="57" spans="1:8" s="233" customFormat="1" ht="16.5" customHeight="1">
      <c r="A57" s="439" t="s">
        <v>368</v>
      </c>
      <c r="B57" s="439"/>
      <c r="C57" s="439"/>
      <c r="D57" s="439"/>
      <c r="E57" s="439"/>
      <c r="F57" s="439"/>
      <c r="G57" s="439"/>
      <c r="H57" s="439"/>
    </row>
    <row r="58" spans="1:8" s="233" customFormat="1" ht="107.25" customHeight="1">
      <c r="A58" s="439" t="s">
        <v>369</v>
      </c>
      <c r="B58" s="439"/>
      <c r="C58" s="439"/>
      <c r="D58" s="439"/>
      <c r="E58" s="439"/>
      <c r="F58" s="439"/>
      <c r="G58" s="439"/>
      <c r="H58" s="439"/>
    </row>
    <row r="59" spans="1:8" s="233" customFormat="1" ht="44.25" customHeight="1">
      <c r="A59" s="439" t="s">
        <v>370</v>
      </c>
      <c r="B59" s="439"/>
      <c r="C59" s="439"/>
      <c r="D59" s="439"/>
      <c r="E59" s="439"/>
      <c r="F59" s="439"/>
      <c r="G59" s="439"/>
      <c r="H59" s="439"/>
    </row>
    <row r="60" spans="1:8" s="233" customFormat="1" ht="18.75" customHeight="1">
      <c r="A60" s="439" t="s">
        <v>371</v>
      </c>
      <c r="B60" s="439"/>
      <c r="C60" s="439"/>
      <c r="D60" s="439"/>
      <c r="E60" s="439"/>
      <c r="F60" s="439"/>
      <c r="G60" s="439"/>
      <c r="H60" s="439"/>
    </row>
    <row r="61" spans="1:8" s="233" customFormat="1">
      <c r="A61" s="439"/>
      <c r="B61" s="439"/>
      <c r="C61" s="439"/>
      <c r="D61" s="439"/>
      <c r="E61" s="439"/>
      <c r="F61" s="439"/>
      <c r="G61" s="439"/>
      <c r="H61" s="439"/>
    </row>
    <row r="62" spans="1:8" s="233" customFormat="1">
      <c r="A62" s="233" t="s">
        <v>17</v>
      </c>
      <c r="D62" s="231"/>
      <c r="G62" s="230"/>
    </row>
    <row r="63" spans="1:8" s="233" customFormat="1">
      <c r="D63" s="231"/>
      <c r="G63" s="230"/>
    </row>
    <row r="64" spans="1:8" s="233" customFormat="1" ht="15" customHeight="1">
      <c r="A64" s="290"/>
      <c r="B64" s="290"/>
      <c r="C64" s="290"/>
      <c r="D64" s="231"/>
      <c r="E64" s="290"/>
      <c r="F64" s="290"/>
      <c r="G64" s="291"/>
    </row>
    <row r="65" spans="1:7" s="233" customFormat="1">
      <c r="A65" s="452" t="s">
        <v>355</v>
      </c>
      <c r="B65" s="452"/>
      <c r="C65" s="452"/>
      <c r="D65" s="231"/>
      <c r="E65" s="452" t="s">
        <v>18</v>
      </c>
      <c r="F65" s="452"/>
      <c r="G65" s="452"/>
    </row>
  </sheetData>
  <sheetProtection password="CAF1" sheet="1" objects="1" scenarios="1" selectLockedCells="1"/>
  <mergeCells count="23">
    <mergeCell ref="A60:H60"/>
    <mergeCell ref="A61:H61"/>
    <mergeCell ref="A65:C65"/>
    <mergeCell ref="E65:G65"/>
    <mergeCell ref="A55:H55"/>
    <mergeCell ref="A56:H56"/>
    <mergeCell ref="A57:H57"/>
    <mergeCell ref="A58:H58"/>
    <mergeCell ref="A59:H59"/>
    <mergeCell ref="H1:H2"/>
    <mergeCell ref="A9:B9"/>
    <mergeCell ref="A5:B5"/>
    <mergeCell ref="C5:H5"/>
    <mergeCell ref="C6:H6"/>
    <mergeCell ref="C7:H7"/>
    <mergeCell ref="C8:H8"/>
    <mergeCell ref="C9:H9"/>
    <mergeCell ref="A54:H54"/>
    <mergeCell ref="C10:H10"/>
    <mergeCell ref="A8:B8"/>
    <mergeCell ref="A51:D51"/>
    <mergeCell ref="A23:G23"/>
    <mergeCell ref="A53:H53"/>
  </mergeCells>
  <hyperlinks>
    <hyperlink ref="J4" location="'DATA SHEET'!A1" display="Return to Data Sheet" xr:uid="{00000000-0004-0000-1400-000000000000}"/>
    <hyperlink ref="C1" location="'DATA SHEET'!A1" display="HIGHLANDS PRIME, INC." xr:uid="{00000000-0004-0000-1400-000001000000}"/>
  </hyperlinks>
  <printOptions horizontalCentered="1"/>
  <pageMargins left="0.7" right="0.7" top="0.75" bottom="0.5" header="0.3" footer="0.3"/>
  <pageSetup scale="78" orientation="portrait" r:id="rId1"/>
  <headerFooter>
    <oddFooter>&amp;L&amp;8A project of HIGHLANDS PRIME, INC. Horizon Terraces HLURB License To Sell No. 032272&amp;R&amp;8Page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F7941D"/>
    <pageSetUpPr fitToPage="1"/>
  </sheetPr>
  <dimension ref="A1:T94"/>
  <sheetViews>
    <sheetView showGridLines="0" zoomScaleNormal="100" workbookViewId="0">
      <selection activeCell="C14" sqref="C14"/>
    </sheetView>
  </sheetViews>
  <sheetFormatPr baseColWidth="10" defaultColWidth="0" defaultRowHeight="14"/>
  <cols>
    <col min="1" max="1" width="12.5" style="37" customWidth="1"/>
    <col min="2" max="2" width="10" style="37" bestFit="1" customWidth="1"/>
    <col min="3" max="3" width="24" style="37" customWidth="1"/>
    <col min="4" max="4" width="16.6640625" style="38" customWidth="1"/>
    <col min="5" max="8" width="15.6640625" style="37" customWidth="1"/>
    <col min="9" max="12" width="9.1640625" style="37" customWidth="1"/>
    <col min="13" max="20" width="0" style="37" hidden="1" customWidth="1"/>
    <col min="21" max="16384" width="9.1640625" style="37" hidden="1"/>
  </cols>
  <sheetData>
    <row r="1" spans="1:20" ht="12.75" customHeight="1">
      <c r="C1" s="240" t="s">
        <v>35</v>
      </c>
      <c r="H1" s="478" t="s">
        <v>66</v>
      </c>
    </row>
    <row r="2" spans="1:20" ht="12.75" customHeight="1">
      <c r="C2" s="230" t="s">
        <v>348</v>
      </c>
      <c r="H2" s="478"/>
    </row>
    <row r="3" spans="1:20">
      <c r="C3" s="230" t="s">
        <v>36</v>
      </c>
    </row>
    <row r="4" spans="1:20">
      <c r="J4" s="311" t="s">
        <v>305</v>
      </c>
    </row>
    <row r="5" spans="1:20">
      <c r="A5" s="366" t="s">
        <v>0</v>
      </c>
      <c r="B5" s="363"/>
      <c r="C5" s="468" t="str">
        <f>'DATA SHEET'!D10</f>
        <v xml:space="preserve"> </v>
      </c>
      <c r="D5" s="468"/>
      <c r="E5" s="468"/>
      <c r="F5" s="468"/>
      <c r="G5" s="468"/>
      <c r="H5" s="469"/>
    </row>
    <row r="6" spans="1:20">
      <c r="A6" s="361" t="s">
        <v>31</v>
      </c>
      <c r="B6" s="362"/>
      <c r="C6" s="456" t="str">
        <f>VLOOKUP('DATA SHEET'!$D$11,' Garden Suites PL'!C6:F28,1,FALSE)</f>
        <v>GA</v>
      </c>
      <c r="D6" s="456"/>
      <c r="E6" s="456"/>
      <c r="F6" s="456"/>
      <c r="G6" s="456"/>
      <c r="H6" s="457"/>
    </row>
    <row r="7" spans="1:20">
      <c r="A7" s="361" t="s">
        <v>37</v>
      </c>
      <c r="B7" s="362"/>
      <c r="C7" s="470">
        <f>VLOOKUP('DATA SHEET'!D11,' Garden Suites PL'!C6:F28,3,0)</f>
        <v>67.900000000000006</v>
      </c>
      <c r="D7" s="470"/>
      <c r="E7" s="470"/>
      <c r="F7" s="470"/>
      <c r="G7" s="470"/>
      <c r="H7" s="471"/>
    </row>
    <row r="8" spans="1:20">
      <c r="A8" s="438" t="s">
        <v>352</v>
      </c>
      <c r="B8" s="436"/>
      <c r="C8" s="458" t="str">
        <f>VLOOKUP('DATA SHEET'!D11,' Garden Suites PL'!C6:D28,2,0)</f>
        <v>1-Bedroom Terrace Suite</v>
      </c>
      <c r="D8" s="458"/>
      <c r="E8" s="458"/>
      <c r="F8" s="458"/>
      <c r="G8" s="458"/>
      <c r="H8" s="459"/>
    </row>
    <row r="9" spans="1:20">
      <c r="A9" s="438" t="s">
        <v>356</v>
      </c>
      <c r="B9" s="436"/>
      <c r="C9" s="472">
        <f>VLOOKUP('DATA SHEET'!D11,' Garden Suites PL'!C6:G28,5,0)</f>
        <v>9961680</v>
      </c>
      <c r="D9" s="472"/>
      <c r="E9" s="472"/>
      <c r="F9" s="472"/>
      <c r="G9" s="472"/>
      <c r="H9" s="473"/>
    </row>
    <row r="10" spans="1:20">
      <c r="A10" s="364" t="s">
        <v>33</v>
      </c>
      <c r="B10" s="365"/>
      <c r="C10" s="496" t="str">
        <f>+'DATA SHEET'!B25</f>
        <v>100% over 54 months</v>
      </c>
      <c r="D10" s="496"/>
      <c r="E10" s="496"/>
      <c r="F10" s="496"/>
      <c r="G10" s="496"/>
      <c r="H10" s="497"/>
    </row>
    <row r="12" spans="1:20">
      <c r="A12" s="39" t="s">
        <v>55</v>
      </c>
      <c r="B12" s="39"/>
    </row>
    <row r="13" spans="1:20">
      <c r="A13" s="233" t="s">
        <v>359</v>
      </c>
      <c r="D13" s="194">
        <f>(C9-650000)</f>
        <v>9311680</v>
      </c>
      <c r="E13" s="316" t="str">
        <f>LEFT(C8,9)</f>
        <v>1-Bedroom</v>
      </c>
      <c r="F13" s="316"/>
      <c r="G13" s="316"/>
    </row>
    <row r="14" spans="1:20" s="233" customFormat="1">
      <c r="A14" s="228" t="s">
        <v>378</v>
      </c>
      <c r="B14" s="228"/>
      <c r="C14" s="368">
        <v>0.01</v>
      </c>
      <c r="D14" s="256">
        <f>IF(C14&lt;=1%,((D13)*C14),"BEYOND MAX DISC.")</f>
        <v>93116.800000000003</v>
      </c>
      <c r="E14" s="257"/>
      <c r="F14" s="257"/>
      <c r="G14" s="257"/>
      <c r="H14" s="257"/>
      <c r="I14" s="257"/>
      <c r="J14" s="257"/>
      <c r="K14" s="257"/>
      <c r="L14" s="257"/>
      <c r="M14" s="257"/>
      <c r="N14" s="257"/>
      <c r="O14" s="257"/>
      <c r="P14" s="257"/>
      <c r="Q14" s="257"/>
      <c r="R14" s="259"/>
      <c r="S14" s="254"/>
      <c r="T14" s="255"/>
    </row>
    <row r="15" spans="1:20" s="233" customFormat="1">
      <c r="A15" s="228" t="s">
        <v>379</v>
      </c>
      <c r="B15" s="228"/>
      <c r="C15" s="227"/>
      <c r="D15" s="328">
        <v>230000</v>
      </c>
      <c r="E15" s="257"/>
      <c r="F15" s="257"/>
      <c r="G15" s="257"/>
      <c r="H15" s="257"/>
      <c r="I15" s="257"/>
      <c r="J15" s="257"/>
      <c r="K15" s="257"/>
      <c r="L15" s="257"/>
      <c r="M15" s="257"/>
      <c r="N15" s="257"/>
      <c r="O15" s="257"/>
      <c r="P15" s="257"/>
      <c r="Q15" s="257"/>
      <c r="R15" s="259"/>
      <c r="S15" s="254"/>
      <c r="T15" s="255"/>
    </row>
    <row r="16" spans="1:20">
      <c r="A16" s="233" t="s">
        <v>360</v>
      </c>
      <c r="B16" s="230"/>
      <c r="C16" s="227"/>
      <c r="D16" s="194">
        <f>+D13-SUM(D14:D15)</f>
        <v>8988563.1999999993</v>
      </c>
      <c r="E16" s="316"/>
      <c r="F16" s="316"/>
      <c r="G16" s="316"/>
      <c r="H16" s="316"/>
      <c r="I16" s="316"/>
    </row>
    <row r="17" spans="1:16" ht="12.75" customHeight="1">
      <c r="A17" s="331" t="s">
        <v>302</v>
      </c>
      <c r="B17" s="331"/>
      <c r="C17" s="232"/>
      <c r="D17" s="194">
        <v>650000</v>
      </c>
      <c r="E17" s="38"/>
      <c r="F17" s="38"/>
      <c r="G17" s="38"/>
    </row>
    <row r="18" spans="1:16" ht="12.75" customHeight="1">
      <c r="A18" s="266" t="s">
        <v>362</v>
      </c>
      <c r="B18" s="39"/>
      <c r="C18" s="39"/>
      <c r="D18" s="318">
        <f>+SUM(D16:D17)</f>
        <v>9638563.1999999993</v>
      </c>
      <c r="E18" s="38"/>
      <c r="F18" s="38"/>
      <c r="G18" s="38"/>
    </row>
    <row r="19" spans="1:16" s="233" customFormat="1">
      <c r="A19" s="267" t="s">
        <v>350</v>
      </c>
      <c r="B19" s="267"/>
      <c r="C19" s="229">
        <v>0.05</v>
      </c>
      <c r="D19" s="319">
        <f>(D16/1.12)*C19</f>
        <v>401275.14285714278</v>
      </c>
      <c r="E19" s="252"/>
      <c r="F19" s="252"/>
      <c r="G19" s="252"/>
      <c r="H19" s="252"/>
      <c r="I19" s="252"/>
      <c r="J19" s="252"/>
      <c r="K19" s="252"/>
      <c r="L19" s="252"/>
      <c r="M19" s="252"/>
      <c r="N19" s="254"/>
      <c r="O19" s="254"/>
      <c r="P19" s="255"/>
    </row>
    <row r="20" spans="1:16" s="233" customFormat="1" ht="15" thickBot="1">
      <c r="A20" s="230" t="s">
        <v>58</v>
      </c>
      <c r="B20" s="230"/>
      <c r="C20" s="230"/>
      <c r="D20" s="270">
        <f>+D18+D19</f>
        <v>10039838.342857143</v>
      </c>
      <c r="E20" s="252"/>
      <c r="F20" s="252"/>
      <c r="G20" s="252"/>
      <c r="H20" s="252"/>
      <c r="I20" s="252"/>
      <c r="J20" s="252"/>
      <c r="K20" s="252"/>
      <c r="L20" s="252"/>
      <c r="M20" s="252"/>
      <c r="N20" s="254"/>
      <c r="O20" s="254"/>
      <c r="P20" s="255"/>
    </row>
    <row r="21" spans="1:16" ht="15" thickTop="1"/>
    <row r="22" spans="1:16">
      <c r="A22" s="271" t="s">
        <v>34</v>
      </c>
      <c r="B22" s="271" t="s">
        <v>347</v>
      </c>
      <c r="C22" s="271" t="s">
        <v>2</v>
      </c>
      <c r="D22" s="271" t="s">
        <v>343</v>
      </c>
      <c r="E22" s="271" t="s">
        <v>363</v>
      </c>
      <c r="F22" s="271" t="s">
        <v>344</v>
      </c>
      <c r="G22" s="272" t="s">
        <v>349</v>
      </c>
      <c r="H22" s="271" t="s">
        <v>345</v>
      </c>
    </row>
    <row r="23" spans="1:16">
      <c r="A23" s="495" t="s">
        <v>346</v>
      </c>
      <c r="B23" s="495"/>
      <c r="C23" s="495"/>
      <c r="D23" s="495"/>
      <c r="E23" s="495"/>
      <c r="F23" s="495"/>
      <c r="G23" s="495"/>
      <c r="H23" s="310">
        <f>+D20</f>
        <v>10039838.342857143</v>
      </c>
    </row>
    <row r="24" spans="1:16" ht="13.5" customHeight="1">
      <c r="A24" s="320">
        <v>0</v>
      </c>
      <c r="B24" s="320"/>
      <c r="C24" s="320" t="s">
        <v>38</v>
      </c>
      <c r="D24" s="321">
        <f ca="1">'DATA SHEET'!D9</f>
        <v>43973</v>
      </c>
      <c r="E24" s="322">
        <f>IF(E13="1-Bedroom",50000,100000)</f>
        <v>50000</v>
      </c>
      <c r="F24" s="322"/>
      <c r="G24" s="323">
        <f>+SUM(E24:F24)</f>
        <v>50000</v>
      </c>
      <c r="H24" s="324">
        <f>D20-G24</f>
        <v>9989838.3428571429</v>
      </c>
    </row>
    <row r="25" spans="1:16" ht="13.5" customHeight="1">
      <c r="A25" s="320"/>
      <c r="B25" s="325">
        <v>1</v>
      </c>
      <c r="C25" s="320" t="s">
        <v>354</v>
      </c>
      <c r="D25" s="321"/>
      <c r="E25" s="322"/>
      <c r="F25" s="322"/>
      <c r="G25" s="323"/>
      <c r="H25" s="324"/>
    </row>
    <row r="26" spans="1:16">
      <c r="A26" s="320">
        <v>1</v>
      </c>
      <c r="B26" s="320"/>
      <c r="C26" s="320" t="s">
        <v>4</v>
      </c>
      <c r="D26" s="321">
        <f ca="1">EDATE(D24,1)</f>
        <v>44004</v>
      </c>
      <c r="E26" s="322">
        <f t="shared" ref="E26:E57" si="0">(($D$18-$E$24)/54)</f>
        <v>177565.98518518519</v>
      </c>
      <c r="F26" s="322">
        <f>(($D$19)/54)</f>
        <v>7431.0211640211628</v>
      </c>
      <c r="G26" s="323">
        <f t="shared" ref="G26:G79" si="1">+SUM(E26:F26)</f>
        <v>184997.00634920635</v>
      </c>
      <c r="H26" s="324">
        <f>H24-G26</f>
        <v>9804841.3365079369</v>
      </c>
    </row>
    <row r="27" spans="1:16">
      <c r="A27" s="320">
        <v>2</v>
      </c>
      <c r="B27" s="320"/>
      <c r="C27" s="320" t="s">
        <v>5</v>
      </c>
      <c r="D27" s="321">
        <f t="shared" ref="D27:D79" ca="1" si="2">EDATE(D26,1)</f>
        <v>44034</v>
      </c>
      <c r="E27" s="322">
        <f t="shared" si="0"/>
        <v>177565.98518518519</v>
      </c>
      <c r="F27" s="322">
        <f t="shared" ref="F27:F79" si="3">(($D$19)/54)</f>
        <v>7431.0211640211628</v>
      </c>
      <c r="G27" s="323">
        <f t="shared" si="1"/>
        <v>184997.00634920635</v>
      </c>
      <c r="H27" s="324">
        <f t="shared" ref="H27:H79" si="4">H26-G27</f>
        <v>9619844.330158731</v>
      </c>
    </row>
    <row r="28" spans="1:16">
      <c r="A28" s="320">
        <v>3</v>
      </c>
      <c r="B28" s="320"/>
      <c r="C28" s="320" t="s">
        <v>6</v>
      </c>
      <c r="D28" s="321">
        <f t="shared" ca="1" si="2"/>
        <v>44065</v>
      </c>
      <c r="E28" s="322">
        <f t="shared" si="0"/>
        <v>177565.98518518519</v>
      </c>
      <c r="F28" s="322">
        <f t="shared" si="3"/>
        <v>7431.0211640211628</v>
      </c>
      <c r="G28" s="323">
        <f t="shared" si="1"/>
        <v>184997.00634920635</v>
      </c>
      <c r="H28" s="324">
        <f t="shared" si="4"/>
        <v>9434847.323809525</v>
      </c>
    </row>
    <row r="29" spans="1:16">
      <c r="A29" s="320">
        <v>4</v>
      </c>
      <c r="B29" s="320"/>
      <c r="C29" s="320" t="s">
        <v>7</v>
      </c>
      <c r="D29" s="321">
        <f t="shared" ca="1" si="2"/>
        <v>44096</v>
      </c>
      <c r="E29" s="322">
        <f t="shared" si="0"/>
        <v>177565.98518518519</v>
      </c>
      <c r="F29" s="322">
        <f t="shared" si="3"/>
        <v>7431.0211640211628</v>
      </c>
      <c r="G29" s="323">
        <f t="shared" si="1"/>
        <v>184997.00634920635</v>
      </c>
      <c r="H29" s="324">
        <f t="shared" si="4"/>
        <v>9249850.317460319</v>
      </c>
    </row>
    <row r="30" spans="1:16">
      <c r="A30" s="320">
        <v>5</v>
      </c>
      <c r="B30" s="320"/>
      <c r="C30" s="320" t="s">
        <v>8</v>
      </c>
      <c r="D30" s="321">
        <f t="shared" ca="1" si="2"/>
        <v>44126</v>
      </c>
      <c r="E30" s="322">
        <f t="shared" si="0"/>
        <v>177565.98518518519</v>
      </c>
      <c r="F30" s="322">
        <f t="shared" si="3"/>
        <v>7431.0211640211628</v>
      </c>
      <c r="G30" s="323">
        <f t="shared" si="1"/>
        <v>184997.00634920635</v>
      </c>
      <c r="H30" s="324">
        <f t="shared" si="4"/>
        <v>9064853.3111111131</v>
      </c>
    </row>
    <row r="31" spans="1:16">
      <c r="A31" s="320">
        <v>6</v>
      </c>
      <c r="B31" s="320"/>
      <c r="C31" s="320" t="s">
        <v>9</v>
      </c>
      <c r="D31" s="321">
        <f t="shared" ca="1" si="2"/>
        <v>44157</v>
      </c>
      <c r="E31" s="322">
        <f t="shared" si="0"/>
        <v>177565.98518518519</v>
      </c>
      <c r="F31" s="322">
        <f t="shared" si="3"/>
        <v>7431.0211640211628</v>
      </c>
      <c r="G31" s="323">
        <f t="shared" si="1"/>
        <v>184997.00634920635</v>
      </c>
      <c r="H31" s="324">
        <f t="shared" si="4"/>
        <v>8879856.3047619071</v>
      </c>
    </row>
    <row r="32" spans="1:16">
      <c r="A32" s="320">
        <v>7</v>
      </c>
      <c r="B32" s="320"/>
      <c r="C32" s="320" t="s">
        <v>10</v>
      </c>
      <c r="D32" s="321">
        <f t="shared" ca="1" si="2"/>
        <v>44187</v>
      </c>
      <c r="E32" s="322">
        <f t="shared" si="0"/>
        <v>177565.98518518519</v>
      </c>
      <c r="F32" s="322">
        <f t="shared" si="3"/>
        <v>7431.0211640211628</v>
      </c>
      <c r="G32" s="323">
        <f t="shared" si="1"/>
        <v>184997.00634920635</v>
      </c>
      <c r="H32" s="324">
        <f t="shared" si="4"/>
        <v>8694859.2984127011</v>
      </c>
    </row>
    <row r="33" spans="1:8">
      <c r="A33" s="320">
        <v>8</v>
      </c>
      <c r="B33" s="320"/>
      <c r="C33" s="320" t="s">
        <v>11</v>
      </c>
      <c r="D33" s="321">
        <f t="shared" ca="1" si="2"/>
        <v>44218</v>
      </c>
      <c r="E33" s="322">
        <f t="shared" si="0"/>
        <v>177565.98518518519</v>
      </c>
      <c r="F33" s="322">
        <f t="shared" si="3"/>
        <v>7431.0211640211628</v>
      </c>
      <c r="G33" s="323">
        <f t="shared" si="1"/>
        <v>184997.00634920635</v>
      </c>
      <c r="H33" s="324">
        <f t="shared" si="4"/>
        <v>8509862.2920634951</v>
      </c>
    </row>
    <row r="34" spans="1:8">
      <c r="A34" s="320">
        <v>9</v>
      </c>
      <c r="B34" s="320"/>
      <c r="C34" s="320" t="s">
        <v>12</v>
      </c>
      <c r="D34" s="321">
        <f t="shared" ca="1" si="2"/>
        <v>44249</v>
      </c>
      <c r="E34" s="322">
        <f t="shared" si="0"/>
        <v>177565.98518518519</v>
      </c>
      <c r="F34" s="322">
        <f t="shared" si="3"/>
        <v>7431.0211640211628</v>
      </c>
      <c r="G34" s="323">
        <f t="shared" si="1"/>
        <v>184997.00634920635</v>
      </c>
      <c r="H34" s="324">
        <f t="shared" si="4"/>
        <v>8324865.2857142892</v>
      </c>
    </row>
    <row r="35" spans="1:8">
      <c r="A35" s="320">
        <v>10</v>
      </c>
      <c r="B35" s="320"/>
      <c r="C35" s="320" t="s">
        <v>13</v>
      </c>
      <c r="D35" s="321">
        <f t="shared" ca="1" si="2"/>
        <v>44277</v>
      </c>
      <c r="E35" s="322">
        <f t="shared" si="0"/>
        <v>177565.98518518519</v>
      </c>
      <c r="F35" s="322">
        <f t="shared" si="3"/>
        <v>7431.0211640211628</v>
      </c>
      <c r="G35" s="323">
        <f t="shared" si="1"/>
        <v>184997.00634920635</v>
      </c>
      <c r="H35" s="324">
        <f t="shared" si="4"/>
        <v>8139868.2793650832</v>
      </c>
    </row>
    <row r="36" spans="1:8">
      <c r="A36" s="320">
        <v>11</v>
      </c>
      <c r="B36" s="320"/>
      <c r="C36" s="320" t="s">
        <v>14</v>
      </c>
      <c r="D36" s="321">
        <f t="shared" ca="1" si="2"/>
        <v>44308</v>
      </c>
      <c r="E36" s="322">
        <f t="shared" si="0"/>
        <v>177565.98518518519</v>
      </c>
      <c r="F36" s="322">
        <f t="shared" si="3"/>
        <v>7431.0211640211628</v>
      </c>
      <c r="G36" s="323">
        <f t="shared" si="1"/>
        <v>184997.00634920635</v>
      </c>
      <c r="H36" s="324">
        <f t="shared" si="4"/>
        <v>7954871.2730158772</v>
      </c>
    </row>
    <row r="37" spans="1:8">
      <c r="A37" s="320">
        <v>12</v>
      </c>
      <c r="B37" s="320"/>
      <c r="C37" s="320" t="s">
        <v>15</v>
      </c>
      <c r="D37" s="321">
        <f t="shared" ca="1" si="2"/>
        <v>44338</v>
      </c>
      <c r="E37" s="322">
        <f t="shared" si="0"/>
        <v>177565.98518518519</v>
      </c>
      <c r="F37" s="322">
        <f t="shared" si="3"/>
        <v>7431.0211640211628</v>
      </c>
      <c r="G37" s="323">
        <f t="shared" si="1"/>
        <v>184997.00634920635</v>
      </c>
      <c r="H37" s="324">
        <f t="shared" si="4"/>
        <v>7769874.2666666713</v>
      </c>
    </row>
    <row r="38" spans="1:8">
      <c r="A38" s="320">
        <v>13</v>
      </c>
      <c r="B38" s="320"/>
      <c r="C38" s="320" t="s">
        <v>19</v>
      </c>
      <c r="D38" s="321">
        <f t="shared" ca="1" si="2"/>
        <v>44369</v>
      </c>
      <c r="E38" s="322">
        <f t="shared" si="0"/>
        <v>177565.98518518519</v>
      </c>
      <c r="F38" s="322">
        <f t="shared" si="3"/>
        <v>7431.0211640211628</v>
      </c>
      <c r="G38" s="323">
        <f t="shared" si="1"/>
        <v>184997.00634920635</v>
      </c>
      <c r="H38" s="324">
        <f t="shared" si="4"/>
        <v>7584877.2603174653</v>
      </c>
    </row>
    <row r="39" spans="1:8">
      <c r="A39" s="320">
        <v>14</v>
      </c>
      <c r="B39" s="320"/>
      <c r="C39" s="320" t="s">
        <v>20</v>
      </c>
      <c r="D39" s="321">
        <f t="shared" ca="1" si="2"/>
        <v>44399</v>
      </c>
      <c r="E39" s="322">
        <f t="shared" si="0"/>
        <v>177565.98518518519</v>
      </c>
      <c r="F39" s="322">
        <f t="shared" si="3"/>
        <v>7431.0211640211628</v>
      </c>
      <c r="G39" s="323">
        <f t="shared" si="1"/>
        <v>184997.00634920635</v>
      </c>
      <c r="H39" s="324">
        <f t="shared" si="4"/>
        <v>7399880.2539682593</v>
      </c>
    </row>
    <row r="40" spans="1:8">
      <c r="A40" s="320">
        <v>15</v>
      </c>
      <c r="B40" s="320"/>
      <c r="C40" s="320" t="s">
        <v>21</v>
      </c>
      <c r="D40" s="321">
        <f t="shared" ca="1" si="2"/>
        <v>44430</v>
      </c>
      <c r="E40" s="322">
        <f t="shared" si="0"/>
        <v>177565.98518518519</v>
      </c>
      <c r="F40" s="322">
        <f t="shared" si="3"/>
        <v>7431.0211640211628</v>
      </c>
      <c r="G40" s="323">
        <f t="shared" si="1"/>
        <v>184997.00634920635</v>
      </c>
      <c r="H40" s="324">
        <f t="shared" si="4"/>
        <v>7214883.2476190533</v>
      </c>
    </row>
    <row r="41" spans="1:8">
      <c r="A41" s="320">
        <v>16</v>
      </c>
      <c r="B41" s="320"/>
      <c r="C41" s="320" t="s">
        <v>22</v>
      </c>
      <c r="D41" s="321">
        <f t="shared" ca="1" si="2"/>
        <v>44461</v>
      </c>
      <c r="E41" s="322">
        <f t="shared" si="0"/>
        <v>177565.98518518519</v>
      </c>
      <c r="F41" s="322">
        <f t="shared" si="3"/>
        <v>7431.0211640211628</v>
      </c>
      <c r="G41" s="323">
        <f t="shared" si="1"/>
        <v>184997.00634920635</v>
      </c>
      <c r="H41" s="324">
        <f t="shared" si="4"/>
        <v>7029886.2412698474</v>
      </c>
    </row>
    <row r="42" spans="1:8">
      <c r="A42" s="320">
        <v>17</v>
      </c>
      <c r="B42" s="320"/>
      <c r="C42" s="320" t="s">
        <v>23</v>
      </c>
      <c r="D42" s="321">
        <f t="shared" ca="1" si="2"/>
        <v>44491</v>
      </c>
      <c r="E42" s="322">
        <f t="shared" si="0"/>
        <v>177565.98518518519</v>
      </c>
      <c r="F42" s="322">
        <f t="shared" si="3"/>
        <v>7431.0211640211628</v>
      </c>
      <c r="G42" s="323">
        <f t="shared" si="1"/>
        <v>184997.00634920635</v>
      </c>
      <c r="H42" s="324">
        <f t="shared" si="4"/>
        <v>6844889.2349206414</v>
      </c>
    </row>
    <row r="43" spans="1:8">
      <c r="A43" s="320">
        <v>18</v>
      </c>
      <c r="B43" s="320"/>
      <c r="C43" s="320" t="s">
        <v>24</v>
      </c>
      <c r="D43" s="321">
        <f t="shared" ca="1" si="2"/>
        <v>44522</v>
      </c>
      <c r="E43" s="322">
        <f t="shared" si="0"/>
        <v>177565.98518518519</v>
      </c>
      <c r="F43" s="322">
        <f t="shared" si="3"/>
        <v>7431.0211640211628</v>
      </c>
      <c r="G43" s="323">
        <f t="shared" si="1"/>
        <v>184997.00634920635</v>
      </c>
      <c r="H43" s="324">
        <f t="shared" si="4"/>
        <v>6659892.2285714354</v>
      </c>
    </row>
    <row r="44" spans="1:8">
      <c r="A44" s="320">
        <v>19</v>
      </c>
      <c r="B44" s="320"/>
      <c r="C44" s="320" t="s">
        <v>25</v>
      </c>
      <c r="D44" s="321">
        <f t="shared" ca="1" si="2"/>
        <v>44552</v>
      </c>
      <c r="E44" s="322">
        <f t="shared" si="0"/>
        <v>177565.98518518519</v>
      </c>
      <c r="F44" s="322">
        <f t="shared" si="3"/>
        <v>7431.0211640211628</v>
      </c>
      <c r="G44" s="323">
        <f t="shared" si="1"/>
        <v>184997.00634920635</v>
      </c>
      <c r="H44" s="324">
        <f t="shared" si="4"/>
        <v>6474895.2222222295</v>
      </c>
    </row>
    <row r="45" spans="1:8">
      <c r="A45" s="320">
        <v>20</v>
      </c>
      <c r="B45" s="320"/>
      <c r="C45" s="320" t="s">
        <v>26</v>
      </c>
      <c r="D45" s="321">
        <f t="shared" ca="1" si="2"/>
        <v>44583</v>
      </c>
      <c r="E45" s="322">
        <f t="shared" si="0"/>
        <v>177565.98518518519</v>
      </c>
      <c r="F45" s="322">
        <f t="shared" si="3"/>
        <v>7431.0211640211628</v>
      </c>
      <c r="G45" s="323">
        <f t="shared" si="1"/>
        <v>184997.00634920635</v>
      </c>
      <c r="H45" s="324">
        <f t="shared" si="4"/>
        <v>6289898.2158730235</v>
      </c>
    </row>
    <row r="46" spans="1:8">
      <c r="A46" s="320">
        <v>21</v>
      </c>
      <c r="B46" s="320"/>
      <c r="C46" s="320" t="s">
        <v>27</v>
      </c>
      <c r="D46" s="321">
        <f t="shared" ca="1" si="2"/>
        <v>44614</v>
      </c>
      <c r="E46" s="322">
        <f t="shared" si="0"/>
        <v>177565.98518518519</v>
      </c>
      <c r="F46" s="322">
        <f t="shared" si="3"/>
        <v>7431.0211640211628</v>
      </c>
      <c r="G46" s="323">
        <f t="shared" si="1"/>
        <v>184997.00634920635</v>
      </c>
      <c r="H46" s="324">
        <f t="shared" si="4"/>
        <v>6104901.2095238175</v>
      </c>
    </row>
    <row r="47" spans="1:8">
      <c r="A47" s="320">
        <v>22</v>
      </c>
      <c r="B47" s="320"/>
      <c r="C47" s="320" t="s">
        <v>28</v>
      </c>
      <c r="D47" s="321">
        <f t="shared" ca="1" si="2"/>
        <v>44642</v>
      </c>
      <c r="E47" s="322">
        <f t="shared" si="0"/>
        <v>177565.98518518519</v>
      </c>
      <c r="F47" s="322">
        <f t="shared" si="3"/>
        <v>7431.0211640211628</v>
      </c>
      <c r="G47" s="323">
        <f t="shared" si="1"/>
        <v>184997.00634920635</v>
      </c>
      <c r="H47" s="324">
        <f t="shared" si="4"/>
        <v>5919904.2031746116</v>
      </c>
    </row>
    <row r="48" spans="1:8">
      <c r="A48" s="320">
        <v>23</v>
      </c>
      <c r="B48" s="320"/>
      <c r="C48" s="320" t="s">
        <v>29</v>
      </c>
      <c r="D48" s="321">
        <f t="shared" ca="1" si="2"/>
        <v>44673</v>
      </c>
      <c r="E48" s="322">
        <f t="shared" si="0"/>
        <v>177565.98518518519</v>
      </c>
      <c r="F48" s="322">
        <f t="shared" si="3"/>
        <v>7431.0211640211628</v>
      </c>
      <c r="G48" s="323">
        <f t="shared" si="1"/>
        <v>184997.00634920635</v>
      </c>
      <c r="H48" s="324">
        <f t="shared" si="4"/>
        <v>5734907.1968254056</v>
      </c>
    </row>
    <row r="49" spans="1:8">
      <c r="A49" s="320">
        <v>24</v>
      </c>
      <c r="B49" s="320"/>
      <c r="C49" s="320" t="s">
        <v>30</v>
      </c>
      <c r="D49" s="321">
        <f t="shared" ca="1" si="2"/>
        <v>44703</v>
      </c>
      <c r="E49" s="322">
        <f t="shared" si="0"/>
        <v>177565.98518518519</v>
      </c>
      <c r="F49" s="322">
        <f t="shared" si="3"/>
        <v>7431.0211640211628</v>
      </c>
      <c r="G49" s="323">
        <f t="shared" si="1"/>
        <v>184997.00634920635</v>
      </c>
      <c r="H49" s="324">
        <f t="shared" si="4"/>
        <v>5549910.1904761996</v>
      </c>
    </row>
    <row r="50" spans="1:8">
      <c r="A50" s="320">
        <v>25</v>
      </c>
      <c r="B50" s="320"/>
      <c r="C50" s="320" t="s">
        <v>48</v>
      </c>
      <c r="D50" s="321">
        <f t="shared" ca="1" si="2"/>
        <v>44734</v>
      </c>
      <c r="E50" s="322">
        <f t="shared" si="0"/>
        <v>177565.98518518519</v>
      </c>
      <c r="F50" s="322">
        <f t="shared" si="3"/>
        <v>7431.0211640211628</v>
      </c>
      <c r="G50" s="323">
        <f t="shared" si="1"/>
        <v>184997.00634920635</v>
      </c>
      <c r="H50" s="324">
        <f t="shared" si="4"/>
        <v>5364913.1841269936</v>
      </c>
    </row>
    <row r="51" spans="1:8">
      <c r="A51" s="320">
        <v>26</v>
      </c>
      <c r="B51" s="320"/>
      <c r="C51" s="320" t="s">
        <v>49</v>
      </c>
      <c r="D51" s="321">
        <f t="shared" ca="1" si="2"/>
        <v>44764</v>
      </c>
      <c r="E51" s="322">
        <f t="shared" si="0"/>
        <v>177565.98518518519</v>
      </c>
      <c r="F51" s="322">
        <f t="shared" si="3"/>
        <v>7431.0211640211628</v>
      </c>
      <c r="G51" s="323">
        <f t="shared" si="1"/>
        <v>184997.00634920635</v>
      </c>
      <c r="H51" s="324">
        <f t="shared" si="4"/>
        <v>5179916.1777777877</v>
      </c>
    </row>
    <row r="52" spans="1:8">
      <c r="A52" s="320">
        <v>27</v>
      </c>
      <c r="B52" s="320"/>
      <c r="C52" s="320" t="s">
        <v>50</v>
      </c>
      <c r="D52" s="321">
        <f t="shared" ca="1" si="2"/>
        <v>44795</v>
      </c>
      <c r="E52" s="322">
        <f t="shared" si="0"/>
        <v>177565.98518518519</v>
      </c>
      <c r="F52" s="322">
        <f t="shared" si="3"/>
        <v>7431.0211640211628</v>
      </c>
      <c r="G52" s="323">
        <f t="shared" si="1"/>
        <v>184997.00634920635</v>
      </c>
      <c r="H52" s="324">
        <f t="shared" si="4"/>
        <v>4994919.1714285817</v>
      </c>
    </row>
    <row r="53" spans="1:8">
      <c r="A53" s="320">
        <v>28</v>
      </c>
      <c r="B53" s="320"/>
      <c r="C53" s="320" t="s">
        <v>51</v>
      </c>
      <c r="D53" s="321">
        <f t="shared" ca="1" si="2"/>
        <v>44826</v>
      </c>
      <c r="E53" s="322">
        <f t="shared" si="0"/>
        <v>177565.98518518519</v>
      </c>
      <c r="F53" s="322">
        <f t="shared" si="3"/>
        <v>7431.0211640211628</v>
      </c>
      <c r="G53" s="323">
        <f t="shared" si="1"/>
        <v>184997.00634920635</v>
      </c>
      <c r="H53" s="324">
        <f t="shared" si="4"/>
        <v>4809922.1650793757</v>
      </c>
    </row>
    <row r="54" spans="1:8">
      <c r="A54" s="320">
        <v>29</v>
      </c>
      <c r="B54" s="320"/>
      <c r="C54" s="320" t="s">
        <v>52</v>
      </c>
      <c r="D54" s="321">
        <f t="shared" ca="1" si="2"/>
        <v>44856</v>
      </c>
      <c r="E54" s="322">
        <f t="shared" si="0"/>
        <v>177565.98518518519</v>
      </c>
      <c r="F54" s="322">
        <f t="shared" si="3"/>
        <v>7431.0211640211628</v>
      </c>
      <c r="G54" s="323">
        <f t="shared" si="1"/>
        <v>184997.00634920635</v>
      </c>
      <c r="H54" s="324">
        <f t="shared" si="4"/>
        <v>4624925.1587301698</v>
      </c>
    </row>
    <row r="55" spans="1:8">
      <c r="A55" s="320">
        <v>30</v>
      </c>
      <c r="B55" s="320"/>
      <c r="C55" s="320" t="s">
        <v>53</v>
      </c>
      <c r="D55" s="321">
        <f t="shared" ca="1" si="2"/>
        <v>44887</v>
      </c>
      <c r="E55" s="322">
        <f t="shared" si="0"/>
        <v>177565.98518518519</v>
      </c>
      <c r="F55" s="322">
        <f t="shared" si="3"/>
        <v>7431.0211640211628</v>
      </c>
      <c r="G55" s="323">
        <f t="shared" si="1"/>
        <v>184997.00634920635</v>
      </c>
      <c r="H55" s="324">
        <f t="shared" si="4"/>
        <v>4439928.1523809638</v>
      </c>
    </row>
    <row r="56" spans="1:8">
      <c r="A56" s="320">
        <v>31</v>
      </c>
      <c r="B56" s="320"/>
      <c r="C56" s="320" t="s">
        <v>92</v>
      </c>
      <c r="D56" s="321">
        <f t="shared" ca="1" si="2"/>
        <v>44917</v>
      </c>
      <c r="E56" s="322">
        <f t="shared" si="0"/>
        <v>177565.98518518519</v>
      </c>
      <c r="F56" s="322">
        <f t="shared" si="3"/>
        <v>7431.0211640211628</v>
      </c>
      <c r="G56" s="323">
        <f t="shared" si="1"/>
        <v>184997.00634920635</v>
      </c>
      <c r="H56" s="324">
        <f t="shared" si="4"/>
        <v>4254931.1460317578</v>
      </c>
    </row>
    <row r="57" spans="1:8">
      <c r="A57" s="320">
        <v>32</v>
      </c>
      <c r="B57" s="320"/>
      <c r="C57" s="320" t="s">
        <v>93</v>
      </c>
      <c r="D57" s="321">
        <f t="shared" ca="1" si="2"/>
        <v>44948</v>
      </c>
      <c r="E57" s="322">
        <f t="shared" si="0"/>
        <v>177565.98518518519</v>
      </c>
      <c r="F57" s="322">
        <f t="shared" si="3"/>
        <v>7431.0211640211628</v>
      </c>
      <c r="G57" s="323">
        <f t="shared" si="1"/>
        <v>184997.00634920635</v>
      </c>
      <c r="H57" s="324">
        <f t="shared" si="4"/>
        <v>4069934.1396825514</v>
      </c>
    </row>
    <row r="58" spans="1:8">
      <c r="A58" s="320">
        <v>33</v>
      </c>
      <c r="B58" s="320"/>
      <c r="C58" s="320" t="s">
        <v>94</v>
      </c>
      <c r="D58" s="321">
        <f t="shared" ca="1" si="2"/>
        <v>44979</v>
      </c>
      <c r="E58" s="322">
        <f t="shared" ref="E58:E79" si="5">(($D$18-$E$24)/54)</f>
        <v>177565.98518518519</v>
      </c>
      <c r="F58" s="322">
        <f t="shared" si="3"/>
        <v>7431.0211640211628</v>
      </c>
      <c r="G58" s="323">
        <f t="shared" si="1"/>
        <v>184997.00634920635</v>
      </c>
      <c r="H58" s="324">
        <f t="shared" si="4"/>
        <v>3884937.1333333449</v>
      </c>
    </row>
    <row r="59" spans="1:8">
      <c r="A59" s="320">
        <v>34</v>
      </c>
      <c r="B59" s="320"/>
      <c r="C59" s="320" t="s">
        <v>95</v>
      </c>
      <c r="D59" s="321">
        <f t="shared" ca="1" si="2"/>
        <v>45007</v>
      </c>
      <c r="E59" s="322">
        <f t="shared" si="5"/>
        <v>177565.98518518519</v>
      </c>
      <c r="F59" s="322">
        <f t="shared" si="3"/>
        <v>7431.0211640211628</v>
      </c>
      <c r="G59" s="323">
        <f t="shared" si="1"/>
        <v>184997.00634920635</v>
      </c>
      <c r="H59" s="324">
        <f t="shared" si="4"/>
        <v>3699940.1269841385</v>
      </c>
    </row>
    <row r="60" spans="1:8">
      <c r="A60" s="320">
        <v>35</v>
      </c>
      <c r="B60" s="320"/>
      <c r="C60" s="320" t="s">
        <v>96</v>
      </c>
      <c r="D60" s="321">
        <f t="shared" ca="1" si="2"/>
        <v>45038</v>
      </c>
      <c r="E60" s="322">
        <f t="shared" si="5"/>
        <v>177565.98518518519</v>
      </c>
      <c r="F60" s="322">
        <f t="shared" si="3"/>
        <v>7431.0211640211628</v>
      </c>
      <c r="G60" s="323">
        <f t="shared" si="1"/>
        <v>184997.00634920635</v>
      </c>
      <c r="H60" s="324">
        <f t="shared" si="4"/>
        <v>3514943.1206349321</v>
      </c>
    </row>
    <row r="61" spans="1:8">
      <c r="A61" s="320">
        <v>36</v>
      </c>
      <c r="B61" s="320"/>
      <c r="C61" s="320" t="s">
        <v>97</v>
      </c>
      <c r="D61" s="321">
        <f t="shared" ca="1" si="2"/>
        <v>45068</v>
      </c>
      <c r="E61" s="322">
        <f t="shared" si="5"/>
        <v>177565.98518518519</v>
      </c>
      <c r="F61" s="322">
        <f t="shared" si="3"/>
        <v>7431.0211640211628</v>
      </c>
      <c r="G61" s="323">
        <f t="shared" si="1"/>
        <v>184997.00634920635</v>
      </c>
      <c r="H61" s="324">
        <f t="shared" si="4"/>
        <v>3329946.1142857256</v>
      </c>
    </row>
    <row r="62" spans="1:8">
      <c r="A62" s="320">
        <v>37</v>
      </c>
      <c r="B62" s="320"/>
      <c r="C62" s="320" t="s">
        <v>98</v>
      </c>
      <c r="D62" s="321">
        <f t="shared" ca="1" si="2"/>
        <v>45099</v>
      </c>
      <c r="E62" s="322">
        <f t="shared" si="5"/>
        <v>177565.98518518519</v>
      </c>
      <c r="F62" s="322">
        <f t="shared" si="3"/>
        <v>7431.0211640211628</v>
      </c>
      <c r="G62" s="323">
        <f t="shared" si="1"/>
        <v>184997.00634920635</v>
      </c>
      <c r="H62" s="324">
        <f t="shared" si="4"/>
        <v>3144949.1079365192</v>
      </c>
    </row>
    <row r="63" spans="1:8">
      <c r="A63" s="320">
        <v>38</v>
      </c>
      <c r="B63" s="320"/>
      <c r="C63" s="320" t="s">
        <v>99</v>
      </c>
      <c r="D63" s="321">
        <f t="shared" ca="1" si="2"/>
        <v>45129</v>
      </c>
      <c r="E63" s="322">
        <f t="shared" si="5"/>
        <v>177565.98518518519</v>
      </c>
      <c r="F63" s="322">
        <f t="shared" si="3"/>
        <v>7431.0211640211628</v>
      </c>
      <c r="G63" s="323">
        <f t="shared" si="1"/>
        <v>184997.00634920635</v>
      </c>
      <c r="H63" s="324">
        <f t="shared" si="4"/>
        <v>2959952.1015873128</v>
      </c>
    </row>
    <row r="64" spans="1:8">
      <c r="A64" s="320">
        <v>39</v>
      </c>
      <c r="B64" s="320"/>
      <c r="C64" s="320" t="s">
        <v>100</v>
      </c>
      <c r="D64" s="321">
        <f t="shared" ca="1" si="2"/>
        <v>45160</v>
      </c>
      <c r="E64" s="322">
        <f t="shared" si="5"/>
        <v>177565.98518518519</v>
      </c>
      <c r="F64" s="322">
        <f t="shared" si="3"/>
        <v>7431.0211640211628</v>
      </c>
      <c r="G64" s="323">
        <f t="shared" si="1"/>
        <v>184997.00634920635</v>
      </c>
      <c r="H64" s="324">
        <f t="shared" si="4"/>
        <v>2774955.0952381063</v>
      </c>
    </row>
    <row r="65" spans="1:8">
      <c r="A65" s="320">
        <v>40</v>
      </c>
      <c r="B65" s="320"/>
      <c r="C65" s="320" t="s">
        <v>101</v>
      </c>
      <c r="D65" s="321">
        <f t="shared" ca="1" si="2"/>
        <v>45191</v>
      </c>
      <c r="E65" s="322">
        <f t="shared" si="5"/>
        <v>177565.98518518519</v>
      </c>
      <c r="F65" s="322">
        <f t="shared" si="3"/>
        <v>7431.0211640211628</v>
      </c>
      <c r="G65" s="323">
        <f t="shared" si="1"/>
        <v>184997.00634920635</v>
      </c>
      <c r="H65" s="324">
        <f t="shared" si="4"/>
        <v>2589958.0888888999</v>
      </c>
    </row>
    <row r="66" spans="1:8">
      <c r="A66" s="320">
        <v>41</v>
      </c>
      <c r="B66" s="320"/>
      <c r="C66" s="320" t="s">
        <v>102</v>
      </c>
      <c r="D66" s="321">
        <f t="shared" ca="1" si="2"/>
        <v>45221</v>
      </c>
      <c r="E66" s="322">
        <f t="shared" si="5"/>
        <v>177565.98518518519</v>
      </c>
      <c r="F66" s="322">
        <f t="shared" si="3"/>
        <v>7431.0211640211628</v>
      </c>
      <c r="G66" s="323">
        <f t="shared" si="1"/>
        <v>184997.00634920635</v>
      </c>
      <c r="H66" s="324">
        <f t="shared" si="4"/>
        <v>2404961.0825396935</v>
      </c>
    </row>
    <row r="67" spans="1:8">
      <c r="A67" s="320">
        <v>42</v>
      </c>
      <c r="B67" s="320"/>
      <c r="C67" s="320" t="s">
        <v>103</v>
      </c>
      <c r="D67" s="321">
        <f t="shared" ca="1" si="2"/>
        <v>45252</v>
      </c>
      <c r="E67" s="322">
        <f t="shared" si="5"/>
        <v>177565.98518518519</v>
      </c>
      <c r="F67" s="322">
        <f t="shared" si="3"/>
        <v>7431.0211640211628</v>
      </c>
      <c r="G67" s="323">
        <f t="shared" si="1"/>
        <v>184997.00634920635</v>
      </c>
      <c r="H67" s="324">
        <f t="shared" si="4"/>
        <v>2219964.076190487</v>
      </c>
    </row>
    <row r="68" spans="1:8">
      <c r="A68" s="320">
        <v>43</v>
      </c>
      <c r="B68" s="320"/>
      <c r="C68" s="320" t="s">
        <v>104</v>
      </c>
      <c r="D68" s="321">
        <f t="shared" ca="1" si="2"/>
        <v>45282</v>
      </c>
      <c r="E68" s="322">
        <f t="shared" si="5"/>
        <v>177565.98518518519</v>
      </c>
      <c r="F68" s="322">
        <f t="shared" si="3"/>
        <v>7431.0211640211628</v>
      </c>
      <c r="G68" s="323">
        <f t="shared" si="1"/>
        <v>184997.00634920635</v>
      </c>
      <c r="H68" s="324">
        <f t="shared" si="4"/>
        <v>2034967.0698412806</v>
      </c>
    </row>
    <row r="69" spans="1:8">
      <c r="A69" s="320">
        <v>44</v>
      </c>
      <c r="B69" s="320"/>
      <c r="C69" s="320" t="s">
        <v>105</v>
      </c>
      <c r="D69" s="321">
        <f t="shared" ca="1" si="2"/>
        <v>45313</v>
      </c>
      <c r="E69" s="322">
        <f t="shared" si="5"/>
        <v>177565.98518518519</v>
      </c>
      <c r="F69" s="322">
        <f t="shared" si="3"/>
        <v>7431.0211640211628</v>
      </c>
      <c r="G69" s="323">
        <f t="shared" si="1"/>
        <v>184997.00634920635</v>
      </c>
      <c r="H69" s="324">
        <f t="shared" si="4"/>
        <v>1849970.0634920741</v>
      </c>
    </row>
    <row r="70" spans="1:8">
      <c r="A70" s="320">
        <v>45</v>
      </c>
      <c r="B70" s="320"/>
      <c r="C70" s="320" t="s">
        <v>106</v>
      </c>
      <c r="D70" s="321">
        <f t="shared" ca="1" si="2"/>
        <v>45344</v>
      </c>
      <c r="E70" s="322">
        <f t="shared" si="5"/>
        <v>177565.98518518519</v>
      </c>
      <c r="F70" s="322">
        <f t="shared" si="3"/>
        <v>7431.0211640211628</v>
      </c>
      <c r="G70" s="323">
        <f t="shared" si="1"/>
        <v>184997.00634920635</v>
      </c>
      <c r="H70" s="324">
        <f t="shared" si="4"/>
        <v>1664973.0571428677</v>
      </c>
    </row>
    <row r="71" spans="1:8">
      <c r="A71" s="320">
        <v>46</v>
      </c>
      <c r="B71" s="320"/>
      <c r="C71" s="320" t="s">
        <v>107</v>
      </c>
      <c r="D71" s="321">
        <f t="shared" ca="1" si="2"/>
        <v>45373</v>
      </c>
      <c r="E71" s="322">
        <f t="shared" si="5"/>
        <v>177565.98518518519</v>
      </c>
      <c r="F71" s="322">
        <f t="shared" si="3"/>
        <v>7431.0211640211628</v>
      </c>
      <c r="G71" s="323">
        <f t="shared" si="1"/>
        <v>184997.00634920635</v>
      </c>
      <c r="H71" s="324">
        <f t="shared" si="4"/>
        <v>1479976.0507936613</v>
      </c>
    </row>
    <row r="72" spans="1:8">
      <c r="A72" s="320">
        <v>47</v>
      </c>
      <c r="B72" s="320"/>
      <c r="C72" s="320" t="s">
        <v>108</v>
      </c>
      <c r="D72" s="321">
        <f t="shared" ca="1" si="2"/>
        <v>45404</v>
      </c>
      <c r="E72" s="322">
        <f t="shared" si="5"/>
        <v>177565.98518518519</v>
      </c>
      <c r="F72" s="322">
        <f t="shared" si="3"/>
        <v>7431.0211640211628</v>
      </c>
      <c r="G72" s="323">
        <f t="shared" si="1"/>
        <v>184997.00634920635</v>
      </c>
      <c r="H72" s="324">
        <f t="shared" si="4"/>
        <v>1294979.0444444548</v>
      </c>
    </row>
    <row r="73" spans="1:8">
      <c r="A73" s="320">
        <v>48</v>
      </c>
      <c r="B73" s="320"/>
      <c r="C73" s="320" t="s">
        <v>109</v>
      </c>
      <c r="D73" s="321">
        <f t="shared" ca="1" si="2"/>
        <v>45434</v>
      </c>
      <c r="E73" s="322">
        <f t="shared" si="5"/>
        <v>177565.98518518519</v>
      </c>
      <c r="F73" s="322">
        <f t="shared" si="3"/>
        <v>7431.0211640211628</v>
      </c>
      <c r="G73" s="323">
        <f t="shared" si="1"/>
        <v>184997.00634920635</v>
      </c>
      <c r="H73" s="324">
        <f t="shared" si="4"/>
        <v>1109982.0380952484</v>
      </c>
    </row>
    <row r="74" spans="1:8">
      <c r="A74" s="320">
        <v>49</v>
      </c>
      <c r="B74" s="320"/>
      <c r="C74" s="320" t="s">
        <v>110</v>
      </c>
      <c r="D74" s="321">
        <f t="shared" ca="1" si="2"/>
        <v>45465</v>
      </c>
      <c r="E74" s="322">
        <f t="shared" si="5"/>
        <v>177565.98518518519</v>
      </c>
      <c r="F74" s="322">
        <f t="shared" si="3"/>
        <v>7431.0211640211628</v>
      </c>
      <c r="G74" s="323">
        <f t="shared" si="1"/>
        <v>184997.00634920635</v>
      </c>
      <c r="H74" s="324">
        <f t="shared" si="4"/>
        <v>924985.03174604208</v>
      </c>
    </row>
    <row r="75" spans="1:8">
      <c r="A75" s="320">
        <v>50</v>
      </c>
      <c r="B75" s="320"/>
      <c r="C75" s="320" t="s">
        <v>111</v>
      </c>
      <c r="D75" s="321">
        <f t="shared" ca="1" si="2"/>
        <v>45495</v>
      </c>
      <c r="E75" s="322">
        <f t="shared" si="5"/>
        <v>177565.98518518519</v>
      </c>
      <c r="F75" s="322">
        <f t="shared" si="3"/>
        <v>7431.0211640211628</v>
      </c>
      <c r="G75" s="323">
        <f t="shared" si="1"/>
        <v>184997.00634920635</v>
      </c>
      <c r="H75" s="324">
        <f t="shared" si="4"/>
        <v>739988.02539683576</v>
      </c>
    </row>
    <row r="76" spans="1:8">
      <c r="A76" s="320">
        <v>51</v>
      </c>
      <c r="B76" s="320"/>
      <c r="C76" s="320" t="s">
        <v>112</v>
      </c>
      <c r="D76" s="321">
        <f t="shared" ca="1" si="2"/>
        <v>45526</v>
      </c>
      <c r="E76" s="322">
        <f t="shared" si="5"/>
        <v>177565.98518518519</v>
      </c>
      <c r="F76" s="322">
        <f t="shared" si="3"/>
        <v>7431.0211640211628</v>
      </c>
      <c r="G76" s="323">
        <f t="shared" si="1"/>
        <v>184997.00634920635</v>
      </c>
      <c r="H76" s="324">
        <f t="shared" si="4"/>
        <v>554991.01904762944</v>
      </c>
    </row>
    <row r="77" spans="1:8">
      <c r="A77" s="320">
        <v>52</v>
      </c>
      <c r="B77" s="320"/>
      <c r="C77" s="320" t="s">
        <v>113</v>
      </c>
      <c r="D77" s="321">
        <f t="shared" ca="1" si="2"/>
        <v>45557</v>
      </c>
      <c r="E77" s="322">
        <f t="shared" si="5"/>
        <v>177565.98518518519</v>
      </c>
      <c r="F77" s="322">
        <f t="shared" si="3"/>
        <v>7431.0211640211628</v>
      </c>
      <c r="G77" s="323">
        <f t="shared" si="1"/>
        <v>184997.00634920635</v>
      </c>
      <c r="H77" s="324">
        <f t="shared" si="4"/>
        <v>369994.01269842312</v>
      </c>
    </row>
    <row r="78" spans="1:8">
      <c r="A78" s="320">
        <v>53</v>
      </c>
      <c r="B78" s="320"/>
      <c r="C78" s="320" t="s">
        <v>114</v>
      </c>
      <c r="D78" s="321">
        <f t="shared" ca="1" si="2"/>
        <v>45587</v>
      </c>
      <c r="E78" s="322">
        <f t="shared" si="5"/>
        <v>177565.98518518519</v>
      </c>
      <c r="F78" s="322">
        <f t="shared" si="3"/>
        <v>7431.0211640211628</v>
      </c>
      <c r="G78" s="323">
        <f t="shared" si="1"/>
        <v>184997.00634920635</v>
      </c>
      <c r="H78" s="324">
        <f t="shared" si="4"/>
        <v>184997.00634921677</v>
      </c>
    </row>
    <row r="79" spans="1:8">
      <c r="A79" s="320">
        <v>54</v>
      </c>
      <c r="B79" s="320"/>
      <c r="C79" s="320" t="s">
        <v>115</v>
      </c>
      <c r="D79" s="321">
        <f t="shared" ca="1" si="2"/>
        <v>45618</v>
      </c>
      <c r="E79" s="322">
        <f t="shared" si="5"/>
        <v>177565.98518518519</v>
      </c>
      <c r="F79" s="322">
        <f t="shared" si="3"/>
        <v>7431.0211640211628</v>
      </c>
      <c r="G79" s="323">
        <f t="shared" si="1"/>
        <v>184997.00634920635</v>
      </c>
      <c r="H79" s="324">
        <f t="shared" si="4"/>
        <v>1.0419171303510666E-8</v>
      </c>
    </row>
    <row r="80" spans="1:8">
      <c r="A80" s="333"/>
      <c r="B80" s="333"/>
      <c r="C80" s="333"/>
      <c r="D80" s="367" t="s">
        <v>16</v>
      </c>
      <c r="E80" s="332">
        <f>SUM(E24:E79)</f>
        <v>9638563.2000000048</v>
      </c>
      <c r="F80" s="332">
        <f>SUM(F24:F79)</f>
        <v>401275.14285714278</v>
      </c>
      <c r="G80" s="332">
        <f>SUM(G24:G79)</f>
        <v>10039838.342857134</v>
      </c>
      <c r="H80" s="333"/>
    </row>
    <row r="81" spans="1:8" s="233" customFormat="1">
      <c r="C81" s="287"/>
      <c r="D81" s="288"/>
      <c r="E81" s="289"/>
      <c r="F81" s="289"/>
      <c r="G81" s="289"/>
    </row>
    <row r="82" spans="1:8" s="233" customFormat="1">
      <c r="A82" s="439" t="s">
        <v>364</v>
      </c>
      <c r="B82" s="439"/>
      <c r="C82" s="439"/>
      <c r="D82" s="439"/>
      <c r="E82" s="439"/>
      <c r="F82" s="439"/>
      <c r="G82" s="439"/>
      <c r="H82" s="439"/>
    </row>
    <row r="83" spans="1:8" s="233" customFormat="1" ht="18" customHeight="1">
      <c r="A83" s="449" t="s">
        <v>365</v>
      </c>
      <c r="B83" s="449"/>
      <c r="C83" s="449"/>
      <c r="D83" s="449"/>
      <c r="E83" s="449"/>
      <c r="F83" s="449"/>
      <c r="G83" s="449"/>
      <c r="H83" s="449"/>
    </row>
    <row r="84" spans="1:8" s="233" customFormat="1" ht="16.5" customHeight="1">
      <c r="A84" s="439" t="s">
        <v>366</v>
      </c>
      <c r="B84" s="439"/>
      <c r="C84" s="439"/>
      <c r="D84" s="439"/>
      <c r="E84" s="439"/>
      <c r="F84" s="439"/>
      <c r="G84" s="439"/>
      <c r="H84" s="439"/>
    </row>
    <row r="85" spans="1:8" s="233" customFormat="1" ht="16.5" customHeight="1">
      <c r="A85" s="439" t="s">
        <v>367</v>
      </c>
      <c r="B85" s="439"/>
      <c r="C85" s="439"/>
      <c r="D85" s="439"/>
      <c r="E85" s="439"/>
      <c r="F85" s="439"/>
      <c r="G85" s="439"/>
      <c r="H85" s="439"/>
    </row>
    <row r="86" spans="1:8" s="233" customFormat="1" ht="16.5" customHeight="1">
      <c r="A86" s="439" t="s">
        <v>368</v>
      </c>
      <c r="B86" s="439"/>
      <c r="C86" s="439"/>
      <c r="D86" s="439"/>
      <c r="E86" s="439"/>
      <c r="F86" s="439"/>
      <c r="G86" s="439"/>
      <c r="H86" s="439"/>
    </row>
    <row r="87" spans="1:8" s="233" customFormat="1" ht="94.5" customHeight="1">
      <c r="A87" s="439" t="s">
        <v>369</v>
      </c>
      <c r="B87" s="439"/>
      <c r="C87" s="439"/>
      <c r="D87" s="439"/>
      <c r="E87" s="439"/>
      <c r="F87" s="439"/>
      <c r="G87" s="439"/>
      <c r="H87" s="439"/>
    </row>
    <row r="88" spans="1:8" s="233" customFormat="1" ht="44.25" customHeight="1">
      <c r="A88" s="439" t="s">
        <v>370</v>
      </c>
      <c r="B88" s="439"/>
      <c r="C88" s="439"/>
      <c r="D88" s="439"/>
      <c r="E88" s="439"/>
      <c r="F88" s="439"/>
      <c r="G88" s="439"/>
      <c r="H88" s="439"/>
    </row>
    <row r="89" spans="1:8" s="233" customFormat="1" ht="18.75" customHeight="1">
      <c r="A89" s="439" t="s">
        <v>371</v>
      </c>
      <c r="B89" s="439"/>
      <c r="C89" s="439"/>
      <c r="D89" s="439"/>
      <c r="E89" s="439"/>
      <c r="F89" s="439"/>
      <c r="G89" s="439"/>
      <c r="H89" s="439"/>
    </row>
    <row r="90" spans="1:8" s="233" customFormat="1">
      <c r="A90" s="439"/>
      <c r="B90" s="439"/>
      <c r="C90" s="439"/>
      <c r="D90" s="439"/>
      <c r="E90" s="439"/>
      <c r="F90" s="439"/>
      <c r="G90" s="439"/>
      <c r="H90" s="439"/>
    </row>
    <row r="91" spans="1:8" s="233" customFormat="1">
      <c r="A91" s="233" t="s">
        <v>17</v>
      </c>
      <c r="D91" s="231"/>
      <c r="G91" s="230"/>
    </row>
    <row r="92" spans="1:8" s="233" customFormat="1">
      <c r="D92" s="231"/>
      <c r="G92" s="230"/>
    </row>
    <row r="93" spans="1:8" s="233" customFormat="1" ht="15" customHeight="1">
      <c r="A93" s="290"/>
      <c r="B93" s="290"/>
      <c r="C93" s="290"/>
      <c r="D93" s="231"/>
      <c r="E93" s="290"/>
      <c r="F93" s="290"/>
      <c r="G93" s="291"/>
    </row>
    <row r="94" spans="1:8" s="233" customFormat="1">
      <c r="A94" s="452" t="s">
        <v>355</v>
      </c>
      <c r="B94" s="452"/>
      <c r="C94" s="452"/>
      <c r="D94" s="231"/>
      <c r="E94" s="452" t="s">
        <v>18</v>
      </c>
      <c r="F94" s="452"/>
      <c r="G94" s="452"/>
    </row>
  </sheetData>
  <sheetProtection password="CAF1" sheet="1" selectLockedCells="1"/>
  <sortState ref="A21:E90">
    <sortCondition ref="A53:A82" customList="1,2,3,4,5"/>
  </sortState>
  <mergeCells count="21">
    <mergeCell ref="A88:H88"/>
    <mergeCell ref="A89:H89"/>
    <mergeCell ref="A90:H90"/>
    <mergeCell ref="A94:C94"/>
    <mergeCell ref="E94:G94"/>
    <mergeCell ref="H1:H2"/>
    <mergeCell ref="C5:H5"/>
    <mergeCell ref="C6:H6"/>
    <mergeCell ref="C7:H7"/>
    <mergeCell ref="A8:B8"/>
    <mergeCell ref="A23:G23"/>
    <mergeCell ref="A9:B9"/>
    <mergeCell ref="C8:H8"/>
    <mergeCell ref="C9:H9"/>
    <mergeCell ref="C10:H10"/>
    <mergeCell ref="A87:H87"/>
    <mergeCell ref="A82:H82"/>
    <mergeCell ref="A83:H83"/>
    <mergeCell ref="A84:H84"/>
    <mergeCell ref="A85:H85"/>
    <mergeCell ref="A86:H86"/>
  </mergeCells>
  <hyperlinks>
    <hyperlink ref="J4" location="'DATA SHEET'!A1" display="Return to Data Sheet" xr:uid="{00000000-0004-0000-1500-000000000000}"/>
    <hyperlink ref="C1" location="'DATA SHEET'!A1" display="HIGHLANDS PRIME, INC." xr:uid="{00000000-0004-0000-1500-000001000000}"/>
  </hyperlinks>
  <printOptions horizontalCentered="1"/>
  <pageMargins left="0.7" right="0.7" top="0.75" bottom="0.5" header="0.3" footer="0.3"/>
  <pageSetup paperSize="258" scale="60" orientation="portrait" r:id="rId1"/>
  <headerFooter>
    <oddFooter>&amp;L&amp;8A project of HIGHLANDS PRIME, INC. Horizon Terraces HLURB License To Sell No. 032272&amp;R&amp;8Page &amp;P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FFC000"/>
  </sheetPr>
  <dimension ref="A1:F63"/>
  <sheetViews>
    <sheetView showGridLines="0" zoomScaleNormal="100" workbookViewId="0">
      <selection activeCell="A14" sqref="A14"/>
    </sheetView>
  </sheetViews>
  <sheetFormatPr baseColWidth="10" defaultColWidth="9.1640625" defaultRowHeight="14"/>
  <cols>
    <col min="1" max="1" width="24.1640625" style="112" customWidth="1"/>
    <col min="2" max="2" width="12.6640625" style="112" customWidth="1"/>
    <col min="3" max="3" width="16.6640625" style="114" customWidth="1"/>
    <col min="4" max="5" width="15.6640625" style="112" customWidth="1"/>
    <col min="6" max="6" width="9.83203125" style="112" bestFit="1" customWidth="1"/>
    <col min="7" max="16384" width="9.1640625" style="112"/>
  </cols>
  <sheetData>
    <row r="1" spans="1:6" ht="12.75" customHeight="1">
      <c r="B1" s="113" t="s">
        <v>35</v>
      </c>
      <c r="E1" s="499" t="s">
        <v>66</v>
      </c>
    </row>
    <row r="2" spans="1:6" ht="12.75" customHeight="1">
      <c r="B2" s="115" t="s">
        <v>299</v>
      </c>
      <c r="E2" s="499"/>
    </row>
    <row r="3" spans="1:6">
      <c r="B3" s="115" t="s">
        <v>36</v>
      </c>
    </row>
    <row r="5" spans="1:6">
      <c r="A5" s="155" t="s">
        <v>0</v>
      </c>
      <c r="B5" s="498" t="str">
        <f>'DATA SHEET'!D10</f>
        <v xml:space="preserve"> </v>
      </c>
      <c r="C5" s="498"/>
      <c r="D5" s="498"/>
      <c r="E5" s="156"/>
    </row>
    <row r="6" spans="1:6">
      <c r="A6" s="117" t="s">
        <v>31</v>
      </c>
      <c r="B6" s="500" t="str">
        <f>VLOOKUP('DATA SHEET'!$D$11,' Garden Suites PL'!C6:F28,1,FALSE)</f>
        <v>GA</v>
      </c>
      <c r="C6" s="500"/>
      <c r="D6" s="500"/>
      <c r="E6" s="157"/>
    </row>
    <row r="7" spans="1:6">
      <c r="A7" s="117" t="s">
        <v>37</v>
      </c>
      <c r="B7" s="501">
        <f>VLOOKUP('DATA SHEET'!D11,' Garden Suites PL'!C6:F28,3,0)</f>
        <v>67.900000000000006</v>
      </c>
      <c r="C7" s="501"/>
      <c r="D7" s="501"/>
      <c r="E7" s="158"/>
    </row>
    <row r="8" spans="1:6">
      <c r="A8" s="117" t="s">
        <v>183</v>
      </c>
      <c r="B8" s="178" t="str">
        <f>VLOOKUP('DATA SHEET'!D11,' Garden Suites PL'!C6:D28,2,0)</f>
        <v>1-Bedroom Terrace Suite</v>
      </c>
      <c r="C8" s="182" t="s">
        <v>149</v>
      </c>
      <c r="D8" s="180">
        <v>1</v>
      </c>
      <c r="E8" s="183">
        <v>38000</v>
      </c>
      <c r="F8" s="192">
        <v>0.1</v>
      </c>
    </row>
    <row r="9" spans="1:6">
      <c r="A9" s="117" t="s">
        <v>303</v>
      </c>
      <c r="B9" s="502">
        <f>VLOOKUP('DATA SHEET'!D11,' Garden Suites PL'!C6:G28,5,0)</f>
        <v>9961680</v>
      </c>
      <c r="C9" s="502"/>
      <c r="D9" s="502"/>
      <c r="E9" s="158"/>
    </row>
    <row r="10" spans="1:6">
      <c r="A10" s="118" t="s">
        <v>33</v>
      </c>
      <c r="B10" s="423" t="s">
        <v>266</v>
      </c>
      <c r="C10" s="423" t="s">
        <v>298</v>
      </c>
      <c r="D10" s="423" t="s">
        <v>298</v>
      </c>
      <c r="E10" s="424" t="s">
        <v>298</v>
      </c>
    </row>
    <row r="12" spans="1:6">
      <c r="A12" s="115" t="s">
        <v>55</v>
      </c>
    </row>
    <row r="13" spans="1:6">
      <c r="A13" s="112" t="s">
        <v>182</v>
      </c>
      <c r="C13" s="119">
        <f>B9-650000</f>
        <v>9311680</v>
      </c>
      <c r="D13" s="162" t="str">
        <f>LEFT(B8,9)</f>
        <v>1-Bedroom</v>
      </c>
    </row>
    <row r="14" spans="1:6" ht="12.75" customHeight="1">
      <c r="A14" s="164" t="s">
        <v>179</v>
      </c>
      <c r="B14" s="198">
        <f>VLOOKUP('DATA SHEET'!D11,' Garden Suites PL'!C6:H28,6,0)</f>
        <v>230000</v>
      </c>
      <c r="C14" s="140">
        <f>IF(B14&gt;VLOOKUP(B6,' Garden Suites PL'!C:H,5,0),"beyond maximum discount",(C13*B14))</f>
        <v>2141686400000</v>
      </c>
      <c r="D14" s="174">
        <f>VLOOKUP(B6,' Garden Suites PL'!C:H,5,0)</f>
        <v>9961680</v>
      </c>
    </row>
    <row r="15" spans="1:6" ht="12.75" customHeight="1">
      <c r="A15" s="142" t="s">
        <v>302</v>
      </c>
      <c r="B15" s="152"/>
      <c r="C15" s="140">
        <v>650000</v>
      </c>
      <c r="D15" s="114"/>
    </row>
    <row r="16" spans="1:6" ht="12.75" customHeight="1" thickBot="1">
      <c r="A16" s="115" t="s">
        <v>58</v>
      </c>
      <c r="B16" s="115"/>
      <c r="C16" s="135">
        <f>C13-C14+C15</f>
        <v>-2141676438320</v>
      </c>
      <c r="D16" s="114"/>
    </row>
    <row r="17" spans="1:5" ht="12.75" customHeight="1" thickTop="1">
      <c r="B17" s="121"/>
      <c r="C17" s="140"/>
      <c r="D17" s="114"/>
    </row>
    <row r="19" spans="1:5">
      <c r="A19" s="122" t="s">
        <v>34</v>
      </c>
      <c r="B19" s="122" t="s">
        <v>32</v>
      </c>
      <c r="C19" s="122" t="s">
        <v>2</v>
      </c>
      <c r="D19" s="122" t="s">
        <v>3</v>
      </c>
      <c r="E19" s="122" t="s">
        <v>67</v>
      </c>
    </row>
    <row r="20" spans="1:5" ht="13.5" customHeight="1">
      <c r="A20" s="141">
        <v>0</v>
      </c>
      <c r="B20" s="176">
        <f ca="1">'DATA SHEET'!D9</f>
        <v>43973</v>
      </c>
      <c r="C20" s="141" t="s">
        <v>38</v>
      </c>
      <c r="D20" s="184">
        <f>IF(D13="1-Bedroom",50000,100000)</f>
        <v>50000</v>
      </c>
      <c r="E20" s="177">
        <f>C16-D20</f>
        <v>-2141676488320</v>
      </c>
    </row>
    <row r="21" spans="1:5" ht="13.5" customHeight="1">
      <c r="A21" s="160">
        <v>1</v>
      </c>
      <c r="B21" s="176">
        <f ca="1">EDATE(B20,1)</f>
        <v>44004</v>
      </c>
      <c r="C21" s="123" t="s">
        <v>252</v>
      </c>
      <c r="D21" s="185">
        <f>((C16*0.1)-D20)/6</f>
        <v>-35694615638.666664</v>
      </c>
      <c r="E21" s="181">
        <f>E20-D21</f>
        <v>-2105981872681.3333</v>
      </c>
    </row>
    <row r="22" spans="1:5">
      <c r="A22" s="141">
        <v>2</v>
      </c>
      <c r="B22" s="176">
        <f t="shared" ref="B22:B51" ca="1" si="0">EDATE(B21,1)</f>
        <v>44034</v>
      </c>
      <c r="C22" s="160" t="s">
        <v>253</v>
      </c>
      <c r="D22" s="185">
        <f>D21</f>
        <v>-35694615638.666664</v>
      </c>
      <c r="E22" s="181">
        <f t="shared" ref="E22:E51" si="1">E21-D22</f>
        <v>-2070287257042.6665</v>
      </c>
    </row>
    <row r="23" spans="1:5">
      <c r="A23" s="160">
        <v>3</v>
      </c>
      <c r="B23" s="176">
        <f t="shared" ca="1" si="0"/>
        <v>44065</v>
      </c>
      <c r="C23" s="123" t="s">
        <v>237</v>
      </c>
      <c r="D23" s="185">
        <f>D22</f>
        <v>-35694615638.666664</v>
      </c>
      <c r="E23" s="181">
        <f t="shared" si="1"/>
        <v>-2034592641403.9998</v>
      </c>
    </row>
    <row r="24" spans="1:5">
      <c r="A24" s="141">
        <v>4</v>
      </c>
      <c r="B24" s="176">
        <f t="shared" ca="1" si="0"/>
        <v>44096</v>
      </c>
      <c r="C24" s="160" t="s">
        <v>254</v>
      </c>
      <c r="D24" s="185">
        <f>D23</f>
        <v>-35694615638.666664</v>
      </c>
      <c r="E24" s="181">
        <f t="shared" si="1"/>
        <v>-1998898025765.333</v>
      </c>
    </row>
    <row r="25" spans="1:5">
      <c r="A25" s="160">
        <v>5</v>
      </c>
      <c r="B25" s="176">
        <f t="shared" ca="1" si="0"/>
        <v>44126</v>
      </c>
      <c r="C25" s="123" t="s">
        <v>255</v>
      </c>
      <c r="D25" s="185">
        <f>D24</f>
        <v>-35694615638.666664</v>
      </c>
      <c r="E25" s="181">
        <f t="shared" si="1"/>
        <v>-1963203410126.6663</v>
      </c>
    </row>
    <row r="26" spans="1:5">
      <c r="A26" s="141">
        <v>6</v>
      </c>
      <c r="B26" s="176">
        <f t="shared" ca="1" si="0"/>
        <v>44157</v>
      </c>
      <c r="C26" s="160" t="s">
        <v>256</v>
      </c>
      <c r="D26" s="185">
        <f>D25</f>
        <v>-35694615638.666664</v>
      </c>
      <c r="E26" s="181">
        <f t="shared" si="1"/>
        <v>-1927508794487.9995</v>
      </c>
    </row>
    <row r="27" spans="1:5">
      <c r="A27" s="160">
        <v>7</v>
      </c>
      <c r="B27" s="176">
        <f t="shared" ca="1" si="0"/>
        <v>44187</v>
      </c>
      <c r="C27" s="160" t="s">
        <v>241</v>
      </c>
      <c r="D27" s="187">
        <f>(C16*0.1)/24</f>
        <v>-8923651826.333334</v>
      </c>
      <c r="E27" s="181">
        <f t="shared" si="1"/>
        <v>-1918585142661.6663</v>
      </c>
    </row>
    <row r="28" spans="1:5">
      <c r="A28" s="141">
        <v>8</v>
      </c>
      <c r="B28" s="176">
        <f t="shared" ca="1" si="0"/>
        <v>44218</v>
      </c>
      <c r="C28" s="160" t="s">
        <v>257</v>
      </c>
      <c r="D28" s="187">
        <f>D27</f>
        <v>-8923651826.333334</v>
      </c>
      <c r="E28" s="181">
        <f t="shared" si="1"/>
        <v>-1909661490835.333</v>
      </c>
    </row>
    <row r="29" spans="1:5">
      <c r="A29" s="160">
        <v>9</v>
      </c>
      <c r="B29" s="176">
        <f t="shared" ca="1" si="0"/>
        <v>44249</v>
      </c>
      <c r="C29" s="160" t="s">
        <v>242</v>
      </c>
      <c r="D29" s="187">
        <f t="shared" ref="D29:D50" si="2">D28</f>
        <v>-8923651826.333334</v>
      </c>
      <c r="E29" s="181">
        <f t="shared" si="1"/>
        <v>-1900737839008.9998</v>
      </c>
    </row>
    <row r="30" spans="1:5">
      <c r="A30" s="141">
        <v>10</v>
      </c>
      <c r="B30" s="176">
        <f t="shared" ca="1" si="0"/>
        <v>44277</v>
      </c>
      <c r="C30" s="160" t="s">
        <v>243</v>
      </c>
      <c r="D30" s="187">
        <f t="shared" si="2"/>
        <v>-8923651826.333334</v>
      </c>
      <c r="E30" s="181">
        <f t="shared" si="1"/>
        <v>-1891814187182.6665</v>
      </c>
    </row>
    <row r="31" spans="1:5">
      <c r="A31" s="160">
        <v>11</v>
      </c>
      <c r="B31" s="176">
        <f t="shared" ca="1" si="0"/>
        <v>44308</v>
      </c>
      <c r="C31" s="160" t="s">
        <v>244</v>
      </c>
      <c r="D31" s="187">
        <f t="shared" si="2"/>
        <v>-8923651826.333334</v>
      </c>
      <c r="E31" s="181">
        <f t="shared" si="1"/>
        <v>-1882890535356.3333</v>
      </c>
    </row>
    <row r="32" spans="1:5">
      <c r="A32" s="141">
        <v>12</v>
      </c>
      <c r="B32" s="176">
        <f t="shared" ca="1" si="0"/>
        <v>44338</v>
      </c>
      <c r="C32" s="160" t="s">
        <v>245</v>
      </c>
      <c r="D32" s="187">
        <f t="shared" si="2"/>
        <v>-8923651826.333334</v>
      </c>
      <c r="E32" s="181">
        <f t="shared" si="1"/>
        <v>-1873966883530</v>
      </c>
    </row>
    <row r="33" spans="1:5">
      <c r="A33" s="160">
        <v>13</v>
      </c>
      <c r="B33" s="176">
        <f t="shared" ca="1" si="0"/>
        <v>44369</v>
      </c>
      <c r="C33" s="160" t="s">
        <v>246</v>
      </c>
      <c r="D33" s="187">
        <f t="shared" si="2"/>
        <v>-8923651826.333334</v>
      </c>
      <c r="E33" s="181">
        <f t="shared" si="1"/>
        <v>-1865043231703.6667</v>
      </c>
    </row>
    <row r="34" spans="1:5">
      <c r="A34" s="141">
        <v>14</v>
      </c>
      <c r="B34" s="176">
        <f t="shared" ca="1" si="0"/>
        <v>44399</v>
      </c>
      <c r="C34" s="160" t="s">
        <v>247</v>
      </c>
      <c r="D34" s="187">
        <f t="shared" si="2"/>
        <v>-8923651826.333334</v>
      </c>
      <c r="E34" s="181">
        <f t="shared" si="1"/>
        <v>-1856119579877.3335</v>
      </c>
    </row>
    <row r="35" spans="1:5">
      <c r="A35" s="160">
        <v>15</v>
      </c>
      <c r="B35" s="176">
        <f t="shared" ca="1" si="0"/>
        <v>44430</v>
      </c>
      <c r="C35" s="160" t="s">
        <v>248</v>
      </c>
      <c r="D35" s="187">
        <f t="shared" si="2"/>
        <v>-8923651826.333334</v>
      </c>
      <c r="E35" s="181">
        <f t="shared" si="1"/>
        <v>-1847195928051.0002</v>
      </c>
    </row>
    <row r="36" spans="1:5">
      <c r="A36" s="141">
        <v>16</v>
      </c>
      <c r="B36" s="176">
        <f t="shared" ca="1" si="0"/>
        <v>44461</v>
      </c>
      <c r="C36" s="160" t="s">
        <v>249</v>
      </c>
      <c r="D36" s="187">
        <f t="shared" si="2"/>
        <v>-8923651826.333334</v>
      </c>
      <c r="E36" s="181">
        <f t="shared" si="1"/>
        <v>-1838272276224.667</v>
      </c>
    </row>
    <row r="37" spans="1:5">
      <c r="A37" s="160">
        <v>17</v>
      </c>
      <c r="B37" s="176">
        <f t="shared" ca="1" si="0"/>
        <v>44491</v>
      </c>
      <c r="C37" s="160" t="s">
        <v>250</v>
      </c>
      <c r="D37" s="187">
        <f t="shared" si="2"/>
        <v>-8923651826.333334</v>
      </c>
      <c r="E37" s="181">
        <f t="shared" si="1"/>
        <v>-1829348624398.3337</v>
      </c>
    </row>
    <row r="38" spans="1:5">
      <c r="A38" s="141">
        <v>18</v>
      </c>
      <c r="B38" s="176">
        <f t="shared" ca="1" si="0"/>
        <v>44522</v>
      </c>
      <c r="C38" s="160" t="s">
        <v>251</v>
      </c>
      <c r="D38" s="187">
        <f t="shared" si="2"/>
        <v>-8923651826.333334</v>
      </c>
      <c r="E38" s="181">
        <f t="shared" si="1"/>
        <v>-1820424972572.0005</v>
      </c>
    </row>
    <row r="39" spans="1:5">
      <c r="A39" s="160">
        <v>19</v>
      </c>
      <c r="B39" s="176">
        <f t="shared" ca="1" si="0"/>
        <v>44552</v>
      </c>
      <c r="C39" s="160" t="s">
        <v>267</v>
      </c>
      <c r="D39" s="187">
        <f>D38</f>
        <v>-8923651826.333334</v>
      </c>
      <c r="E39" s="181">
        <f>E38-D39</f>
        <v>-1811501320745.6672</v>
      </c>
    </row>
    <row r="40" spans="1:5">
      <c r="A40" s="141">
        <v>20</v>
      </c>
      <c r="B40" s="176">
        <f t="shared" ca="1" si="0"/>
        <v>44583</v>
      </c>
      <c r="C40" s="160" t="s">
        <v>268</v>
      </c>
      <c r="D40" s="187">
        <f>D39</f>
        <v>-8923651826.333334</v>
      </c>
      <c r="E40" s="181">
        <f t="shared" si="1"/>
        <v>-1802577668919.334</v>
      </c>
    </row>
    <row r="41" spans="1:5">
      <c r="A41" s="160">
        <v>21</v>
      </c>
      <c r="B41" s="176">
        <f t="shared" ca="1" si="0"/>
        <v>44614</v>
      </c>
      <c r="C41" s="160" t="s">
        <v>269</v>
      </c>
      <c r="D41" s="187">
        <f t="shared" si="2"/>
        <v>-8923651826.333334</v>
      </c>
      <c r="E41" s="181">
        <f t="shared" si="1"/>
        <v>-1793654017093.0007</v>
      </c>
    </row>
    <row r="42" spans="1:5">
      <c r="A42" s="141">
        <v>22</v>
      </c>
      <c r="B42" s="176">
        <f t="shared" ca="1" si="0"/>
        <v>44642</v>
      </c>
      <c r="C42" s="160" t="s">
        <v>270</v>
      </c>
      <c r="D42" s="187">
        <f t="shared" si="2"/>
        <v>-8923651826.333334</v>
      </c>
      <c r="E42" s="181">
        <f t="shared" si="1"/>
        <v>-1784730365266.6675</v>
      </c>
    </row>
    <row r="43" spans="1:5">
      <c r="A43" s="160">
        <v>23</v>
      </c>
      <c r="B43" s="176">
        <f t="shared" ca="1" si="0"/>
        <v>44673</v>
      </c>
      <c r="C43" s="160" t="s">
        <v>271</v>
      </c>
      <c r="D43" s="187">
        <f t="shared" si="2"/>
        <v>-8923651826.333334</v>
      </c>
      <c r="E43" s="181">
        <f t="shared" si="1"/>
        <v>-1775806713440.3342</v>
      </c>
    </row>
    <row r="44" spans="1:5">
      <c r="A44" s="141">
        <v>24</v>
      </c>
      <c r="B44" s="176">
        <f t="shared" ca="1" si="0"/>
        <v>44703</v>
      </c>
      <c r="C44" s="160" t="s">
        <v>272</v>
      </c>
      <c r="D44" s="187">
        <f t="shared" si="2"/>
        <v>-8923651826.333334</v>
      </c>
      <c r="E44" s="181">
        <f t="shared" si="1"/>
        <v>-1766883061614.001</v>
      </c>
    </row>
    <row r="45" spans="1:5">
      <c r="A45" s="160">
        <v>25</v>
      </c>
      <c r="B45" s="176">
        <f t="shared" ca="1" si="0"/>
        <v>44734</v>
      </c>
      <c r="C45" s="160" t="s">
        <v>273</v>
      </c>
      <c r="D45" s="187">
        <f t="shared" si="2"/>
        <v>-8923651826.333334</v>
      </c>
      <c r="E45" s="181">
        <f t="shared" si="1"/>
        <v>-1757959409787.6677</v>
      </c>
    </row>
    <row r="46" spans="1:5">
      <c r="A46" s="141">
        <v>26</v>
      </c>
      <c r="B46" s="176">
        <f t="shared" ca="1" si="0"/>
        <v>44764</v>
      </c>
      <c r="C46" s="160" t="s">
        <v>274</v>
      </c>
      <c r="D46" s="187">
        <f t="shared" si="2"/>
        <v>-8923651826.333334</v>
      </c>
      <c r="E46" s="181">
        <f t="shared" si="1"/>
        <v>-1749035757961.3345</v>
      </c>
    </row>
    <row r="47" spans="1:5">
      <c r="A47" s="160">
        <v>27</v>
      </c>
      <c r="B47" s="176">
        <f t="shared" ca="1" si="0"/>
        <v>44795</v>
      </c>
      <c r="C47" s="160" t="s">
        <v>275</v>
      </c>
      <c r="D47" s="187">
        <f t="shared" si="2"/>
        <v>-8923651826.333334</v>
      </c>
      <c r="E47" s="181">
        <f t="shared" si="1"/>
        <v>-1740112106135.0012</v>
      </c>
    </row>
    <row r="48" spans="1:5">
      <c r="A48" s="141">
        <v>28</v>
      </c>
      <c r="B48" s="176">
        <f t="shared" ca="1" si="0"/>
        <v>44826</v>
      </c>
      <c r="C48" s="160" t="s">
        <v>276</v>
      </c>
      <c r="D48" s="187">
        <f t="shared" si="2"/>
        <v>-8923651826.333334</v>
      </c>
      <c r="E48" s="181">
        <f t="shared" si="1"/>
        <v>-1731188454308.668</v>
      </c>
    </row>
    <row r="49" spans="1:5">
      <c r="A49" s="160">
        <v>29</v>
      </c>
      <c r="B49" s="176">
        <f t="shared" ca="1" si="0"/>
        <v>44856</v>
      </c>
      <c r="C49" s="160" t="s">
        <v>277</v>
      </c>
      <c r="D49" s="187">
        <f t="shared" si="2"/>
        <v>-8923651826.333334</v>
      </c>
      <c r="E49" s="181">
        <f t="shared" si="1"/>
        <v>-1722264802482.3347</v>
      </c>
    </row>
    <row r="50" spans="1:5">
      <c r="A50" s="141">
        <v>30</v>
      </c>
      <c r="B50" s="176">
        <f t="shared" ca="1" si="0"/>
        <v>44887</v>
      </c>
      <c r="C50" s="160" t="s">
        <v>278</v>
      </c>
      <c r="D50" s="187">
        <f t="shared" si="2"/>
        <v>-8923651826.333334</v>
      </c>
      <c r="E50" s="181">
        <f t="shared" si="1"/>
        <v>-1713341150656.0015</v>
      </c>
    </row>
    <row r="51" spans="1:5">
      <c r="A51" s="160">
        <v>31</v>
      </c>
      <c r="B51" s="176">
        <f t="shared" ca="1" si="0"/>
        <v>44917</v>
      </c>
      <c r="C51" s="160" t="s">
        <v>258</v>
      </c>
      <c r="D51" s="187">
        <f>C16*0.8</f>
        <v>-1713341150656</v>
      </c>
      <c r="E51" s="181">
        <f t="shared" si="1"/>
        <v>0</v>
      </c>
    </row>
    <row r="52" spans="1:5">
      <c r="A52" s="169"/>
      <c r="B52" s="170"/>
      <c r="C52" s="171" t="s">
        <v>16</v>
      </c>
      <c r="D52" s="172">
        <f>SUM(D20:D51)</f>
        <v>-2141676438319.9998</v>
      </c>
      <c r="E52" s="169"/>
    </row>
    <row r="53" spans="1:5">
      <c r="A53" s="131" t="s">
        <v>62</v>
      </c>
      <c r="B53" s="166"/>
      <c r="C53" s="167"/>
      <c r="D53" s="168"/>
      <c r="E53" s="165"/>
    </row>
    <row r="54" spans="1:5">
      <c r="A54" s="131" t="s">
        <v>69</v>
      </c>
      <c r="B54" s="165"/>
      <c r="C54" s="167"/>
      <c r="D54" s="168"/>
      <c r="E54" s="165"/>
    </row>
    <row r="55" spans="1:5">
      <c r="A55" s="131" t="s">
        <v>70</v>
      </c>
      <c r="B55" s="165"/>
      <c r="C55" s="167"/>
      <c r="D55" s="168"/>
      <c r="E55" s="165"/>
    </row>
    <row r="56" spans="1:5">
      <c r="A56" s="131" t="s">
        <v>88</v>
      </c>
      <c r="B56" s="165"/>
      <c r="C56" s="167"/>
      <c r="D56" s="165"/>
      <c r="E56" s="165"/>
    </row>
    <row r="57" spans="1:5">
      <c r="A57" s="131" t="s">
        <v>74</v>
      </c>
      <c r="B57" s="165"/>
      <c r="C57" s="167"/>
      <c r="D57" s="165"/>
      <c r="E57" s="165"/>
    </row>
    <row r="58" spans="1:5">
      <c r="A58" s="131" t="s">
        <v>63</v>
      </c>
      <c r="B58" s="165"/>
      <c r="C58" s="167"/>
      <c r="D58" s="165"/>
      <c r="E58" s="165"/>
    </row>
    <row r="60" spans="1:5">
      <c r="A60" s="112" t="s">
        <v>17</v>
      </c>
    </row>
    <row r="62" spans="1:5">
      <c r="A62" s="133"/>
      <c r="D62" s="133"/>
    </row>
    <row r="63" spans="1:5">
      <c r="A63" s="114" t="s">
        <v>18</v>
      </c>
      <c r="D63" s="114" t="s">
        <v>18</v>
      </c>
    </row>
  </sheetData>
  <sheetProtection algorithmName="SHA-512" hashValue="r4LIW8IgfwrB9aldOo+I2KMNtl42wKoZPfgS3yPG9H6FW7Gz47BrEdOTcACddduR47mv84YqoKfggBbLgfmttA==" saltValue="BoCOvVYLSNpqHR6g4eEsrA==" spinCount="100000" sheet="1" selectLockedCells="1"/>
  <mergeCells count="6">
    <mergeCell ref="B10:E10"/>
    <mergeCell ref="B5:D5"/>
    <mergeCell ref="E1:E2"/>
    <mergeCell ref="B6:D6"/>
    <mergeCell ref="B7:D7"/>
    <mergeCell ref="B9:D9"/>
  </mergeCells>
  <hyperlinks>
    <hyperlink ref="B1" location="'DATA SHEET'!A1" display="HIGHLANDS PRIME, INC." xr:uid="{00000000-0004-0000-1600-000000000000}"/>
  </hyperlinks>
  <printOptions horizontalCentered="1"/>
  <pageMargins left="0.7" right="0.7" top="0.75" bottom="0.5" header="0.3" footer="0.3"/>
  <pageSetup scale="85"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tabColor rgb="FFF7941D"/>
    <pageSetUpPr fitToPage="1"/>
  </sheetPr>
  <dimension ref="A1:T66"/>
  <sheetViews>
    <sheetView showGridLines="0" topLeftCell="A4" zoomScaleNormal="100" workbookViewId="0">
      <selection activeCell="C14" sqref="C14"/>
    </sheetView>
  </sheetViews>
  <sheetFormatPr baseColWidth="10" defaultColWidth="0" defaultRowHeight="14"/>
  <cols>
    <col min="1" max="1" width="12.5" style="37" customWidth="1"/>
    <col min="2" max="2" width="10" style="37" bestFit="1" customWidth="1"/>
    <col min="3" max="3" width="24" style="37" customWidth="1"/>
    <col min="4" max="4" width="16.6640625" style="38" customWidth="1"/>
    <col min="5" max="8" width="15.6640625" style="37" customWidth="1"/>
    <col min="9" max="12" width="9.1640625" style="37" customWidth="1"/>
    <col min="13" max="20" width="0" style="37" hidden="1" customWidth="1"/>
    <col min="21" max="16384" width="9.1640625" style="37" hidden="1"/>
  </cols>
  <sheetData>
    <row r="1" spans="1:20" ht="12.75" customHeight="1">
      <c r="C1" s="240" t="s">
        <v>35</v>
      </c>
      <c r="H1" s="478" t="s">
        <v>66</v>
      </c>
    </row>
    <row r="2" spans="1:20" ht="12.75" customHeight="1">
      <c r="C2" s="230" t="s">
        <v>348</v>
      </c>
      <c r="H2" s="478"/>
    </row>
    <row r="3" spans="1:20">
      <c r="C3" s="230" t="s">
        <v>36</v>
      </c>
    </row>
    <row r="4" spans="1:20">
      <c r="J4" s="311" t="s">
        <v>305</v>
      </c>
    </row>
    <row r="5" spans="1:20">
      <c r="A5" s="375" t="s">
        <v>0</v>
      </c>
      <c r="B5" s="372"/>
      <c r="C5" s="468" t="str">
        <f>'DATA SHEET'!D10</f>
        <v xml:space="preserve"> </v>
      </c>
      <c r="D5" s="468"/>
      <c r="E5" s="468"/>
      <c r="F5" s="468"/>
      <c r="G5" s="468"/>
      <c r="H5" s="469"/>
    </row>
    <row r="6" spans="1:20">
      <c r="A6" s="370" t="s">
        <v>31</v>
      </c>
      <c r="B6" s="371"/>
      <c r="C6" s="456" t="str">
        <f>VLOOKUP('DATA SHEET'!$D$11,' Garden Suites PL'!C6:F28,1,FALSE)</f>
        <v>GA</v>
      </c>
      <c r="D6" s="456"/>
      <c r="E6" s="456"/>
      <c r="F6" s="456"/>
      <c r="G6" s="456"/>
      <c r="H6" s="457"/>
    </row>
    <row r="7" spans="1:20">
      <c r="A7" s="370" t="s">
        <v>37</v>
      </c>
      <c r="B7" s="371"/>
      <c r="C7" s="470">
        <f>VLOOKUP('DATA SHEET'!D11,' Garden Suites PL'!C6:F28,3,0)</f>
        <v>67.900000000000006</v>
      </c>
      <c r="D7" s="470"/>
      <c r="E7" s="470"/>
      <c r="F7" s="470"/>
      <c r="G7" s="470"/>
      <c r="H7" s="471"/>
    </row>
    <row r="8" spans="1:20">
      <c r="A8" s="438" t="s">
        <v>352</v>
      </c>
      <c r="B8" s="436"/>
      <c r="C8" s="458" t="str">
        <f>VLOOKUP('DATA SHEET'!D11,' Garden Suites PL'!C6:D28,2,0)</f>
        <v>1-Bedroom Terrace Suite</v>
      </c>
      <c r="D8" s="458"/>
      <c r="E8" s="458"/>
      <c r="F8" s="458"/>
      <c r="G8" s="458"/>
      <c r="H8" s="459"/>
    </row>
    <row r="9" spans="1:20">
      <c r="A9" s="438" t="s">
        <v>356</v>
      </c>
      <c r="B9" s="436"/>
      <c r="C9" s="472">
        <f>VLOOKUP('DATA SHEET'!D11,' Garden Suites PL'!C6:G28,5,0)</f>
        <v>9961680</v>
      </c>
      <c r="D9" s="472"/>
      <c r="E9" s="472"/>
      <c r="F9" s="472"/>
      <c r="G9" s="472"/>
      <c r="H9" s="473"/>
    </row>
    <row r="10" spans="1:20">
      <c r="A10" s="373" t="s">
        <v>33</v>
      </c>
      <c r="B10" s="374"/>
      <c r="C10" s="496" t="str">
        <f>'DATA SHEET'!B26</f>
        <v>7% in 11 months with 5% bullet on the 12th, 8% from 13th to 24th month, Lumpsum on the 25th</v>
      </c>
      <c r="D10" s="496"/>
      <c r="E10" s="496"/>
      <c r="F10" s="496"/>
      <c r="G10" s="496"/>
      <c r="H10" s="497"/>
    </row>
    <row r="12" spans="1:20">
      <c r="A12" s="39" t="s">
        <v>55</v>
      </c>
      <c r="B12" s="39"/>
    </row>
    <row r="13" spans="1:20">
      <c r="A13" s="233" t="s">
        <v>359</v>
      </c>
      <c r="D13" s="194">
        <f>(C9-650000)</f>
        <v>9311680</v>
      </c>
      <c r="E13" s="316" t="str">
        <f>LEFT(C8,9)</f>
        <v>1-Bedroom</v>
      </c>
      <c r="F13" s="316"/>
      <c r="G13" s="316"/>
    </row>
    <row r="14" spans="1:20" s="233" customFormat="1">
      <c r="A14" s="228" t="s">
        <v>378</v>
      </c>
      <c r="B14" s="228"/>
      <c r="C14" s="368">
        <v>0.01</v>
      </c>
      <c r="D14" s="256">
        <f>IF(C14&lt;=1%,((D13)*C14),"BEYOND MAX DISC.")</f>
        <v>93116.800000000003</v>
      </c>
      <c r="E14" s="257"/>
      <c r="F14" s="257"/>
      <c r="G14" s="257"/>
      <c r="H14" s="257"/>
      <c r="I14" s="257"/>
      <c r="J14" s="257"/>
      <c r="K14" s="257"/>
      <c r="L14" s="257"/>
      <c r="M14" s="257"/>
      <c r="N14" s="257"/>
      <c r="O14" s="257"/>
      <c r="P14" s="257"/>
      <c r="Q14" s="257"/>
      <c r="R14" s="259"/>
      <c r="S14" s="254"/>
      <c r="T14" s="255"/>
    </row>
    <row r="15" spans="1:20" s="233" customFormat="1">
      <c r="A15" s="228" t="s">
        <v>379</v>
      </c>
      <c r="B15" s="228"/>
      <c r="C15" s="227"/>
      <c r="D15" s="328">
        <v>230000</v>
      </c>
      <c r="E15" s="257"/>
      <c r="F15" s="257"/>
      <c r="G15" s="257"/>
      <c r="H15" s="257"/>
      <c r="I15" s="257"/>
      <c r="J15" s="257"/>
      <c r="K15" s="257"/>
      <c r="L15" s="257"/>
      <c r="M15" s="257"/>
      <c r="N15" s="257"/>
      <c r="O15" s="257"/>
      <c r="P15" s="257"/>
      <c r="Q15" s="257"/>
      <c r="R15" s="259"/>
      <c r="S15" s="254"/>
      <c r="T15" s="255"/>
    </row>
    <row r="16" spans="1:20">
      <c r="A16" s="233" t="s">
        <v>360</v>
      </c>
      <c r="B16" s="230"/>
      <c r="C16" s="227"/>
      <c r="D16" s="194">
        <f>+D13-SUM(D14:D15)</f>
        <v>8988563.1999999993</v>
      </c>
      <c r="E16" s="316"/>
      <c r="F16" s="316"/>
      <c r="G16" s="316"/>
      <c r="H16" s="316"/>
      <c r="I16" s="316"/>
    </row>
    <row r="17" spans="1:16" ht="12.75" customHeight="1">
      <c r="A17" s="331" t="s">
        <v>302</v>
      </c>
      <c r="B17" s="331"/>
      <c r="C17" s="232"/>
      <c r="D17" s="194">
        <v>650000</v>
      </c>
      <c r="E17" s="38"/>
      <c r="F17" s="38"/>
      <c r="G17" s="38"/>
    </row>
    <row r="18" spans="1:16" ht="12.75" customHeight="1">
      <c r="A18" s="266" t="s">
        <v>362</v>
      </c>
      <c r="B18" s="39"/>
      <c r="C18" s="39"/>
      <c r="D18" s="318">
        <f>+SUM(D16:D17)</f>
        <v>9638563.1999999993</v>
      </c>
      <c r="E18" s="38"/>
      <c r="F18" s="38"/>
      <c r="G18" s="38"/>
    </row>
    <row r="19" spans="1:16" s="233" customFormat="1">
      <c r="A19" s="267" t="s">
        <v>350</v>
      </c>
      <c r="B19" s="267"/>
      <c r="C19" s="229">
        <v>0.05</v>
      </c>
      <c r="D19" s="319">
        <f>(D16/1.12)*C19</f>
        <v>401275.14285714278</v>
      </c>
      <c r="E19" s="252"/>
      <c r="F19" s="252"/>
      <c r="G19" s="252"/>
      <c r="H19" s="252"/>
      <c r="I19" s="252"/>
      <c r="J19" s="252"/>
      <c r="K19" s="252"/>
      <c r="L19" s="252"/>
      <c r="M19" s="252"/>
      <c r="N19" s="254"/>
      <c r="O19" s="254"/>
      <c r="P19" s="255"/>
    </row>
    <row r="20" spans="1:16" s="233" customFormat="1" ht="15" thickBot="1">
      <c r="A20" s="230" t="s">
        <v>58</v>
      </c>
      <c r="B20" s="230"/>
      <c r="C20" s="230"/>
      <c r="D20" s="270">
        <f>+D18+D19</f>
        <v>10039838.342857143</v>
      </c>
      <c r="E20" s="252"/>
      <c r="F20" s="252"/>
      <c r="G20" s="252"/>
      <c r="H20" s="252"/>
      <c r="I20" s="252"/>
      <c r="J20" s="252"/>
      <c r="K20" s="252"/>
      <c r="L20" s="252"/>
      <c r="M20" s="252"/>
      <c r="N20" s="254"/>
      <c r="O20" s="254"/>
      <c r="P20" s="255"/>
    </row>
    <row r="21" spans="1:16" ht="15" thickTop="1"/>
    <row r="22" spans="1:16">
      <c r="A22" s="271" t="s">
        <v>34</v>
      </c>
      <c r="B22" s="271" t="s">
        <v>347</v>
      </c>
      <c r="C22" s="271" t="s">
        <v>2</v>
      </c>
      <c r="D22" s="271" t="s">
        <v>343</v>
      </c>
      <c r="E22" s="271" t="s">
        <v>363</v>
      </c>
      <c r="F22" s="271" t="s">
        <v>344</v>
      </c>
      <c r="G22" s="272" t="s">
        <v>349</v>
      </c>
      <c r="H22" s="271" t="s">
        <v>345</v>
      </c>
    </row>
    <row r="23" spans="1:16">
      <c r="A23" s="495" t="s">
        <v>346</v>
      </c>
      <c r="B23" s="495"/>
      <c r="C23" s="495"/>
      <c r="D23" s="495"/>
      <c r="E23" s="495"/>
      <c r="F23" s="495"/>
      <c r="G23" s="495"/>
      <c r="H23" s="310">
        <f>+D20</f>
        <v>10039838.342857143</v>
      </c>
    </row>
    <row r="24" spans="1:16" ht="13.5" customHeight="1">
      <c r="A24" s="320">
        <v>0</v>
      </c>
      <c r="B24" s="320"/>
      <c r="C24" s="320" t="s">
        <v>38</v>
      </c>
      <c r="D24" s="321">
        <f ca="1">'DATA SHEET'!D9</f>
        <v>43973</v>
      </c>
      <c r="E24" s="322">
        <f>IF(E13="1-Bedroom",50000,100000)</f>
        <v>50000</v>
      </c>
      <c r="F24" s="322"/>
      <c r="G24" s="323">
        <f>+SUM(E24:F24)</f>
        <v>50000</v>
      </c>
      <c r="H24" s="324">
        <f>D20-G24</f>
        <v>9989838.3428571429</v>
      </c>
    </row>
    <row r="25" spans="1:16" ht="13.5" customHeight="1">
      <c r="A25" s="320"/>
      <c r="B25" s="325">
        <v>7.0000000000000007E-2</v>
      </c>
      <c r="C25" s="320" t="s">
        <v>374</v>
      </c>
      <c r="D25" s="321"/>
      <c r="E25" s="322"/>
      <c r="F25" s="322"/>
      <c r="G25" s="323"/>
      <c r="H25" s="324"/>
    </row>
    <row r="26" spans="1:16">
      <c r="A26" s="320">
        <v>1</v>
      </c>
      <c r="B26" s="320"/>
      <c r="C26" s="320" t="s">
        <v>4</v>
      </c>
      <c r="D26" s="321">
        <f ca="1">EDATE(D24,1)</f>
        <v>44004</v>
      </c>
      <c r="E26" s="322">
        <f>((D$18*B$25)-E$24)/11</f>
        <v>56790.85672727273</v>
      </c>
      <c r="F26" s="322">
        <f>(D$19*B$25)/11</f>
        <v>2553.5690909090908</v>
      </c>
      <c r="G26" s="323">
        <f t="shared" ref="G26:G51" si="0">+SUM(E26:F26)</f>
        <v>59344.425818181822</v>
      </c>
      <c r="H26" s="324">
        <f>H24-G26</f>
        <v>9930493.9170389604</v>
      </c>
    </row>
    <row r="27" spans="1:16">
      <c r="A27" s="320">
        <v>2</v>
      </c>
      <c r="B27" s="320"/>
      <c r="C27" s="320" t="s">
        <v>5</v>
      </c>
      <c r="D27" s="321">
        <f t="shared" ref="D27:D51" ca="1" si="1">EDATE(D26,1)</f>
        <v>44034</v>
      </c>
      <c r="E27" s="322">
        <f t="shared" ref="E27:E36" si="2">((D$18*B$25)-E$24)/11</f>
        <v>56790.85672727273</v>
      </c>
      <c r="F27" s="322">
        <f t="shared" ref="F27:F36" si="3">(D$19*B$25)/11</f>
        <v>2553.5690909090908</v>
      </c>
      <c r="G27" s="323">
        <f t="shared" si="0"/>
        <v>59344.425818181822</v>
      </c>
      <c r="H27" s="324">
        <f t="shared" ref="H27:H51" si="4">H26-G27</f>
        <v>9871149.4912207779</v>
      </c>
    </row>
    <row r="28" spans="1:16">
      <c r="A28" s="320">
        <v>3</v>
      </c>
      <c r="B28" s="320"/>
      <c r="C28" s="320" t="s">
        <v>6</v>
      </c>
      <c r="D28" s="321">
        <f t="shared" ca="1" si="1"/>
        <v>44065</v>
      </c>
      <c r="E28" s="322">
        <f t="shared" si="2"/>
        <v>56790.85672727273</v>
      </c>
      <c r="F28" s="322">
        <f t="shared" si="3"/>
        <v>2553.5690909090908</v>
      </c>
      <c r="G28" s="323">
        <f t="shared" si="0"/>
        <v>59344.425818181822</v>
      </c>
      <c r="H28" s="324">
        <f t="shared" si="4"/>
        <v>9811805.0654025953</v>
      </c>
    </row>
    <row r="29" spans="1:16">
      <c r="A29" s="320">
        <v>4</v>
      </c>
      <c r="B29" s="320"/>
      <c r="C29" s="320" t="s">
        <v>7</v>
      </c>
      <c r="D29" s="321">
        <f t="shared" ca="1" si="1"/>
        <v>44096</v>
      </c>
      <c r="E29" s="322">
        <f t="shared" si="2"/>
        <v>56790.85672727273</v>
      </c>
      <c r="F29" s="322">
        <f t="shared" si="3"/>
        <v>2553.5690909090908</v>
      </c>
      <c r="G29" s="323">
        <f t="shared" si="0"/>
        <v>59344.425818181822</v>
      </c>
      <c r="H29" s="324">
        <f t="shared" si="4"/>
        <v>9752460.6395844128</v>
      </c>
    </row>
    <row r="30" spans="1:16">
      <c r="A30" s="320">
        <v>5</v>
      </c>
      <c r="B30" s="320"/>
      <c r="C30" s="320" t="s">
        <v>8</v>
      </c>
      <c r="D30" s="321">
        <f t="shared" ca="1" si="1"/>
        <v>44126</v>
      </c>
      <c r="E30" s="322">
        <f t="shared" si="2"/>
        <v>56790.85672727273</v>
      </c>
      <c r="F30" s="322">
        <f t="shared" si="3"/>
        <v>2553.5690909090908</v>
      </c>
      <c r="G30" s="323">
        <f t="shared" si="0"/>
        <v>59344.425818181822</v>
      </c>
      <c r="H30" s="324">
        <f t="shared" si="4"/>
        <v>9693116.2137662303</v>
      </c>
    </row>
    <row r="31" spans="1:16">
      <c r="A31" s="320">
        <v>6</v>
      </c>
      <c r="B31" s="320"/>
      <c r="C31" s="320" t="s">
        <v>9</v>
      </c>
      <c r="D31" s="321">
        <f t="shared" ca="1" si="1"/>
        <v>44157</v>
      </c>
      <c r="E31" s="322">
        <f t="shared" si="2"/>
        <v>56790.85672727273</v>
      </c>
      <c r="F31" s="322">
        <f t="shared" si="3"/>
        <v>2553.5690909090908</v>
      </c>
      <c r="G31" s="323">
        <f t="shared" si="0"/>
        <v>59344.425818181822</v>
      </c>
      <c r="H31" s="324">
        <f t="shared" si="4"/>
        <v>9633771.7879480477</v>
      </c>
    </row>
    <row r="32" spans="1:16">
      <c r="A32" s="320">
        <v>7</v>
      </c>
      <c r="B32" s="320"/>
      <c r="C32" s="320" t="s">
        <v>10</v>
      </c>
      <c r="D32" s="321">
        <f t="shared" ca="1" si="1"/>
        <v>44187</v>
      </c>
      <c r="E32" s="322">
        <f t="shared" si="2"/>
        <v>56790.85672727273</v>
      </c>
      <c r="F32" s="322">
        <f t="shared" si="3"/>
        <v>2553.5690909090908</v>
      </c>
      <c r="G32" s="323">
        <f t="shared" si="0"/>
        <v>59344.425818181822</v>
      </c>
      <c r="H32" s="324">
        <f t="shared" si="4"/>
        <v>9574427.3621298652</v>
      </c>
    </row>
    <row r="33" spans="1:8">
      <c r="A33" s="320">
        <v>8</v>
      </c>
      <c r="B33" s="320"/>
      <c r="C33" s="320" t="s">
        <v>11</v>
      </c>
      <c r="D33" s="321">
        <f t="shared" ca="1" si="1"/>
        <v>44218</v>
      </c>
      <c r="E33" s="322">
        <f t="shared" si="2"/>
        <v>56790.85672727273</v>
      </c>
      <c r="F33" s="322">
        <f t="shared" si="3"/>
        <v>2553.5690909090908</v>
      </c>
      <c r="G33" s="323">
        <f t="shared" si="0"/>
        <v>59344.425818181822</v>
      </c>
      <c r="H33" s="324">
        <f t="shared" si="4"/>
        <v>9515082.9363116827</v>
      </c>
    </row>
    <row r="34" spans="1:8">
      <c r="A34" s="320">
        <v>9</v>
      </c>
      <c r="B34" s="320"/>
      <c r="C34" s="320" t="s">
        <v>12</v>
      </c>
      <c r="D34" s="321">
        <f t="shared" ca="1" si="1"/>
        <v>44249</v>
      </c>
      <c r="E34" s="322">
        <f t="shared" si="2"/>
        <v>56790.85672727273</v>
      </c>
      <c r="F34" s="322">
        <f t="shared" si="3"/>
        <v>2553.5690909090908</v>
      </c>
      <c r="G34" s="323">
        <f t="shared" si="0"/>
        <v>59344.425818181822</v>
      </c>
      <c r="H34" s="324">
        <f t="shared" si="4"/>
        <v>9455738.5104935002</v>
      </c>
    </row>
    <row r="35" spans="1:8">
      <c r="A35" s="320">
        <v>10</v>
      </c>
      <c r="B35" s="320"/>
      <c r="C35" s="320" t="s">
        <v>13</v>
      </c>
      <c r="D35" s="321">
        <f t="shared" ca="1" si="1"/>
        <v>44277</v>
      </c>
      <c r="E35" s="322">
        <f t="shared" si="2"/>
        <v>56790.85672727273</v>
      </c>
      <c r="F35" s="322">
        <f t="shared" si="3"/>
        <v>2553.5690909090908</v>
      </c>
      <c r="G35" s="323">
        <f t="shared" si="0"/>
        <v>59344.425818181822</v>
      </c>
      <c r="H35" s="324">
        <f t="shared" si="4"/>
        <v>9396394.0846753176</v>
      </c>
    </row>
    <row r="36" spans="1:8">
      <c r="A36" s="320">
        <v>11</v>
      </c>
      <c r="B36" s="320"/>
      <c r="C36" s="320" t="s">
        <v>14</v>
      </c>
      <c r="D36" s="321">
        <f t="shared" ca="1" si="1"/>
        <v>44308</v>
      </c>
      <c r="E36" s="322">
        <f t="shared" si="2"/>
        <v>56790.85672727273</v>
      </c>
      <c r="F36" s="322">
        <f t="shared" si="3"/>
        <v>2553.5690909090908</v>
      </c>
      <c r="G36" s="323">
        <f t="shared" si="0"/>
        <v>59344.425818181822</v>
      </c>
      <c r="H36" s="324">
        <f t="shared" si="4"/>
        <v>9337049.6588571351</v>
      </c>
    </row>
    <row r="37" spans="1:8">
      <c r="A37" s="320">
        <v>12</v>
      </c>
      <c r="B37" s="325">
        <v>0.05</v>
      </c>
      <c r="C37" s="320" t="s">
        <v>375</v>
      </c>
      <c r="D37" s="321">
        <f t="shared" ca="1" si="1"/>
        <v>44338</v>
      </c>
      <c r="E37" s="322">
        <f>D18*B37</f>
        <v>481928.16</v>
      </c>
      <c r="F37" s="322">
        <f>D19*B37</f>
        <v>20063.757142857139</v>
      </c>
      <c r="G37" s="323">
        <f t="shared" si="0"/>
        <v>501991.9171428571</v>
      </c>
      <c r="H37" s="324">
        <f t="shared" si="4"/>
        <v>8835057.7417142782</v>
      </c>
    </row>
    <row r="38" spans="1:8">
      <c r="A38" s="320"/>
      <c r="B38" s="325">
        <v>0.08</v>
      </c>
      <c r="C38" s="320" t="s">
        <v>376</v>
      </c>
      <c r="D38" s="321"/>
      <c r="E38" s="322"/>
      <c r="F38" s="322"/>
      <c r="G38" s="323"/>
      <c r="H38" s="324"/>
    </row>
    <row r="39" spans="1:8">
      <c r="A39" s="320">
        <v>13</v>
      </c>
      <c r="B39" s="320"/>
      <c r="C39" s="320" t="s">
        <v>19</v>
      </c>
      <c r="D39" s="321">
        <f ca="1">EDATE(D37,1)</f>
        <v>44369</v>
      </c>
      <c r="E39" s="322">
        <f>(D$18*B$38)/12</f>
        <v>64257.087999999996</v>
      </c>
      <c r="F39" s="322">
        <f>($D$19*$B$38)/12</f>
        <v>2675.1676190476187</v>
      </c>
      <c r="G39" s="323">
        <f t="shared" si="0"/>
        <v>66932.255619047617</v>
      </c>
      <c r="H39" s="324">
        <f>H37-G39</f>
        <v>8768125.486095231</v>
      </c>
    </row>
    <row r="40" spans="1:8">
      <c r="A40" s="320">
        <v>14</v>
      </c>
      <c r="B40" s="320"/>
      <c r="C40" s="320" t="s">
        <v>20</v>
      </c>
      <c r="D40" s="321">
        <f t="shared" ca="1" si="1"/>
        <v>44399</v>
      </c>
      <c r="E40" s="322">
        <f t="shared" ref="E40:E50" si="5">(D$18*B$38)/12</f>
        <v>64257.087999999996</v>
      </c>
      <c r="F40" s="322">
        <f t="shared" ref="F40:F50" si="6">($D$19*$B$38)/12</f>
        <v>2675.1676190476187</v>
      </c>
      <c r="G40" s="323">
        <f t="shared" si="0"/>
        <v>66932.255619047617</v>
      </c>
      <c r="H40" s="324">
        <f t="shared" si="4"/>
        <v>8701193.2304761838</v>
      </c>
    </row>
    <row r="41" spans="1:8">
      <c r="A41" s="320">
        <v>15</v>
      </c>
      <c r="B41" s="320"/>
      <c r="C41" s="320" t="s">
        <v>21</v>
      </c>
      <c r="D41" s="321">
        <f t="shared" ca="1" si="1"/>
        <v>44430</v>
      </c>
      <c r="E41" s="322">
        <f t="shared" si="5"/>
        <v>64257.087999999996</v>
      </c>
      <c r="F41" s="322">
        <f t="shared" si="6"/>
        <v>2675.1676190476187</v>
      </c>
      <c r="G41" s="323">
        <f t="shared" si="0"/>
        <v>66932.255619047617</v>
      </c>
      <c r="H41" s="324">
        <f t="shared" si="4"/>
        <v>8634260.9748571366</v>
      </c>
    </row>
    <row r="42" spans="1:8">
      <c r="A42" s="320">
        <v>16</v>
      </c>
      <c r="B42" s="320"/>
      <c r="C42" s="320" t="s">
        <v>22</v>
      </c>
      <c r="D42" s="321">
        <f t="shared" ca="1" si="1"/>
        <v>44461</v>
      </c>
      <c r="E42" s="322">
        <f t="shared" si="5"/>
        <v>64257.087999999996</v>
      </c>
      <c r="F42" s="322">
        <f t="shared" si="6"/>
        <v>2675.1676190476187</v>
      </c>
      <c r="G42" s="323">
        <f t="shared" si="0"/>
        <v>66932.255619047617</v>
      </c>
      <c r="H42" s="324">
        <f t="shared" si="4"/>
        <v>8567328.7192380894</v>
      </c>
    </row>
    <row r="43" spans="1:8">
      <c r="A43" s="320">
        <v>17</v>
      </c>
      <c r="B43" s="320"/>
      <c r="C43" s="320" t="s">
        <v>23</v>
      </c>
      <c r="D43" s="321">
        <f t="shared" ca="1" si="1"/>
        <v>44491</v>
      </c>
      <c r="E43" s="322">
        <f t="shared" si="5"/>
        <v>64257.087999999996</v>
      </c>
      <c r="F43" s="322">
        <f t="shared" si="6"/>
        <v>2675.1676190476187</v>
      </c>
      <c r="G43" s="323">
        <f t="shared" si="0"/>
        <v>66932.255619047617</v>
      </c>
      <c r="H43" s="324">
        <f t="shared" si="4"/>
        <v>8500396.4636190422</v>
      </c>
    </row>
    <row r="44" spans="1:8">
      <c r="A44" s="320">
        <v>18</v>
      </c>
      <c r="B44" s="320"/>
      <c r="C44" s="320" t="s">
        <v>24</v>
      </c>
      <c r="D44" s="321">
        <f t="shared" ca="1" si="1"/>
        <v>44522</v>
      </c>
      <c r="E44" s="322">
        <f t="shared" si="5"/>
        <v>64257.087999999996</v>
      </c>
      <c r="F44" s="322">
        <f t="shared" si="6"/>
        <v>2675.1676190476187</v>
      </c>
      <c r="G44" s="323">
        <f t="shared" si="0"/>
        <v>66932.255619047617</v>
      </c>
      <c r="H44" s="324">
        <f t="shared" si="4"/>
        <v>8433464.207999995</v>
      </c>
    </row>
    <row r="45" spans="1:8">
      <c r="A45" s="320">
        <v>19</v>
      </c>
      <c r="B45" s="320"/>
      <c r="C45" s="320" t="s">
        <v>25</v>
      </c>
      <c r="D45" s="321">
        <f t="shared" ca="1" si="1"/>
        <v>44552</v>
      </c>
      <c r="E45" s="322">
        <f t="shared" si="5"/>
        <v>64257.087999999996</v>
      </c>
      <c r="F45" s="322">
        <f t="shared" si="6"/>
        <v>2675.1676190476187</v>
      </c>
      <c r="G45" s="323">
        <f t="shared" si="0"/>
        <v>66932.255619047617</v>
      </c>
      <c r="H45" s="324">
        <f t="shared" si="4"/>
        <v>8366531.9523809478</v>
      </c>
    </row>
    <row r="46" spans="1:8">
      <c r="A46" s="320">
        <v>20</v>
      </c>
      <c r="B46" s="320"/>
      <c r="C46" s="320" t="s">
        <v>26</v>
      </c>
      <c r="D46" s="321">
        <f t="shared" ca="1" si="1"/>
        <v>44583</v>
      </c>
      <c r="E46" s="322">
        <f t="shared" si="5"/>
        <v>64257.087999999996</v>
      </c>
      <c r="F46" s="322">
        <f t="shared" si="6"/>
        <v>2675.1676190476187</v>
      </c>
      <c r="G46" s="323">
        <f t="shared" si="0"/>
        <v>66932.255619047617</v>
      </c>
      <c r="H46" s="324">
        <f t="shared" si="4"/>
        <v>8299599.6967619006</v>
      </c>
    </row>
    <row r="47" spans="1:8">
      <c r="A47" s="320">
        <v>21</v>
      </c>
      <c r="B47" s="320"/>
      <c r="C47" s="320" t="s">
        <v>27</v>
      </c>
      <c r="D47" s="321">
        <f t="shared" ca="1" si="1"/>
        <v>44614</v>
      </c>
      <c r="E47" s="322">
        <f t="shared" si="5"/>
        <v>64257.087999999996</v>
      </c>
      <c r="F47" s="322">
        <f t="shared" si="6"/>
        <v>2675.1676190476187</v>
      </c>
      <c r="G47" s="323">
        <f t="shared" si="0"/>
        <v>66932.255619047617</v>
      </c>
      <c r="H47" s="324">
        <f t="shared" si="4"/>
        <v>8232667.4411428533</v>
      </c>
    </row>
    <row r="48" spans="1:8">
      <c r="A48" s="320">
        <v>22</v>
      </c>
      <c r="B48" s="320"/>
      <c r="C48" s="320" t="s">
        <v>28</v>
      </c>
      <c r="D48" s="321">
        <f t="shared" ca="1" si="1"/>
        <v>44642</v>
      </c>
      <c r="E48" s="322">
        <f t="shared" si="5"/>
        <v>64257.087999999996</v>
      </c>
      <c r="F48" s="322">
        <f t="shared" si="6"/>
        <v>2675.1676190476187</v>
      </c>
      <c r="G48" s="323">
        <f t="shared" si="0"/>
        <v>66932.255619047617</v>
      </c>
      <c r="H48" s="324">
        <f t="shared" si="4"/>
        <v>8165735.1855238061</v>
      </c>
    </row>
    <row r="49" spans="1:8">
      <c r="A49" s="320">
        <v>23</v>
      </c>
      <c r="B49" s="320"/>
      <c r="C49" s="320" t="s">
        <v>29</v>
      </c>
      <c r="D49" s="321">
        <f t="shared" ca="1" si="1"/>
        <v>44673</v>
      </c>
      <c r="E49" s="322">
        <f t="shared" si="5"/>
        <v>64257.087999999996</v>
      </c>
      <c r="F49" s="322">
        <f t="shared" si="6"/>
        <v>2675.1676190476187</v>
      </c>
      <c r="G49" s="323">
        <f t="shared" si="0"/>
        <v>66932.255619047617</v>
      </c>
      <c r="H49" s="324">
        <f t="shared" si="4"/>
        <v>8098802.9299047589</v>
      </c>
    </row>
    <row r="50" spans="1:8">
      <c r="A50" s="320">
        <v>24</v>
      </c>
      <c r="B50" s="320"/>
      <c r="C50" s="320" t="s">
        <v>30</v>
      </c>
      <c r="D50" s="321">
        <f t="shared" ca="1" si="1"/>
        <v>44703</v>
      </c>
      <c r="E50" s="322">
        <f t="shared" si="5"/>
        <v>64257.087999999996</v>
      </c>
      <c r="F50" s="322">
        <f t="shared" si="6"/>
        <v>2675.1676190476187</v>
      </c>
      <c r="G50" s="323">
        <f t="shared" si="0"/>
        <v>66932.255619047617</v>
      </c>
      <c r="H50" s="324">
        <f t="shared" si="4"/>
        <v>8031870.6742857117</v>
      </c>
    </row>
    <row r="51" spans="1:8">
      <c r="A51" s="320">
        <v>25</v>
      </c>
      <c r="B51" s="320"/>
      <c r="C51" s="320" t="s">
        <v>258</v>
      </c>
      <c r="D51" s="321">
        <f t="shared" ca="1" si="1"/>
        <v>44734</v>
      </c>
      <c r="E51" s="322">
        <f>D18-SUM($E$24:$E$50)</f>
        <v>7710850.5599999996</v>
      </c>
      <c r="F51" s="322">
        <f>D19-SUM($F$24:$F$50)</f>
        <v>321020.11428571423</v>
      </c>
      <c r="G51" s="323">
        <f t="shared" si="0"/>
        <v>8031870.6742857136</v>
      </c>
      <c r="H51" s="324">
        <f t="shared" si="4"/>
        <v>0</v>
      </c>
    </row>
    <row r="52" spans="1:8">
      <c r="A52" s="333"/>
      <c r="B52" s="333"/>
      <c r="C52" s="333"/>
      <c r="D52" s="376" t="s">
        <v>16</v>
      </c>
      <c r="E52" s="332">
        <f>SUM(E24:E51)</f>
        <v>9638563.1999999993</v>
      </c>
      <c r="F52" s="332">
        <f>SUM(F24:F51)</f>
        <v>401275.14285714278</v>
      </c>
      <c r="G52" s="332">
        <f>SUM(G24:G51)</f>
        <v>10039838.342857143</v>
      </c>
      <c r="H52" s="333"/>
    </row>
    <row r="53" spans="1:8" s="233" customFormat="1">
      <c r="C53" s="287"/>
      <c r="D53" s="288"/>
      <c r="E53" s="289"/>
      <c r="F53" s="289"/>
      <c r="G53" s="289"/>
    </row>
    <row r="54" spans="1:8" s="233" customFormat="1">
      <c r="A54" s="439" t="s">
        <v>364</v>
      </c>
      <c r="B54" s="439"/>
      <c r="C54" s="439"/>
      <c r="D54" s="439"/>
      <c r="E54" s="439"/>
      <c r="F54" s="439"/>
      <c r="G54" s="439"/>
      <c r="H54" s="439"/>
    </row>
    <row r="55" spans="1:8" s="233" customFormat="1" ht="18" customHeight="1">
      <c r="A55" s="449" t="s">
        <v>365</v>
      </c>
      <c r="B55" s="449"/>
      <c r="C55" s="449"/>
      <c r="D55" s="449"/>
      <c r="E55" s="449"/>
      <c r="F55" s="449"/>
      <c r="G55" s="449"/>
      <c r="H55" s="449"/>
    </row>
    <row r="56" spans="1:8" s="233" customFormat="1" ht="16.5" customHeight="1">
      <c r="A56" s="439" t="s">
        <v>366</v>
      </c>
      <c r="B56" s="439"/>
      <c r="C56" s="439"/>
      <c r="D56" s="439"/>
      <c r="E56" s="439"/>
      <c r="F56" s="439"/>
      <c r="G56" s="439"/>
      <c r="H56" s="439"/>
    </row>
    <row r="57" spans="1:8" s="233" customFormat="1" ht="16.5" customHeight="1">
      <c r="A57" s="439" t="s">
        <v>367</v>
      </c>
      <c r="B57" s="439"/>
      <c r="C57" s="439"/>
      <c r="D57" s="439"/>
      <c r="E57" s="439"/>
      <c r="F57" s="439"/>
      <c r="G57" s="439"/>
      <c r="H57" s="439"/>
    </row>
    <row r="58" spans="1:8" s="233" customFormat="1" ht="16.5" customHeight="1">
      <c r="A58" s="439" t="s">
        <v>368</v>
      </c>
      <c r="B58" s="439"/>
      <c r="C58" s="439"/>
      <c r="D58" s="439"/>
      <c r="E58" s="439"/>
      <c r="F58" s="439"/>
      <c r="G58" s="439"/>
      <c r="H58" s="439"/>
    </row>
    <row r="59" spans="1:8" s="233" customFormat="1" ht="94.5" customHeight="1">
      <c r="A59" s="439" t="s">
        <v>369</v>
      </c>
      <c r="B59" s="439"/>
      <c r="C59" s="439"/>
      <c r="D59" s="439"/>
      <c r="E59" s="439"/>
      <c r="F59" s="439"/>
      <c r="G59" s="439"/>
      <c r="H59" s="439"/>
    </row>
    <row r="60" spans="1:8" s="233" customFormat="1" ht="44.25" customHeight="1">
      <c r="A60" s="439" t="s">
        <v>370</v>
      </c>
      <c r="B60" s="439"/>
      <c r="C60" s="439"/>
      <c r="D60" s="439"/>
      <c r="E60" s="439"/>
      <c r="F60" s="439"/>
      <c r="G60" s="439"/>
      <c r="H60" s="439"/>
    </row>
    <row r="61" spans="1:8" s="233" customFormat="1" ht="18.75" customHeight="1">
      <c r="A61" s="439" t="s">
        <v>371</v>
      </c>
      <c r="B61" s="439"/>
      <c r="C61" s="439"/>
      <c r="D61" s="439"/>
      <c r="E61" s="439"/>
      <c r="F61" s="439"/>
      <c r="G61" s="439"/>
      <c r="H61" s="439"/>
    </row>
    <row r="62" spans="1:8" s="233" customFormat="1">
      <c r="A62" s="439"/>
      <c r="B62" s="439"/>
      <c r="C62" s="439"/>
      <c r="D62" s="439"/>
      <c r="E62" s="439"/>
      <c r="F62" s="439"/>
      <c r="G62" s="439"/>
      <c r="H62" s="439"/>
    </row>
    <row r="63" spans="1:8" s="233" customFormat="1">
      <c r="A63" s="233" t="s">
        <v>17</v>
      </c>
      <c r="D63" s="231"/>
      <c r="G63" s="230"/>
    </row>
    <row r="64" spans="1:8" s="233" customFormat="1">
      <c r="D64" s="231"/>
      <c r="G64" s="230"/>
    </row>
    <row r="65" spans="1:7" s="233" customFormat="1" ht="15" customHeight="1">
      <c r="A65" s="290"/>
      <c r="B65" s="290"/>
      <c r="C65" s="290"/>
      <c r="D65" s="231"/>
      <c r="E65" s="290"/>
      <c r="F65" s="290"/>
      <c r="G65" s="291"/>
    </row>
    <row r="66" spans="1:7" s="233" customFormat="1">
      <c r="A66" s="452" t="s">
        <v>355</v>
      </c>
      <c r="B66" s="452"/>
      <c r="C66" s="452"/>
      <c r="D66" s="231"/>
      <c r="E66" s="452" t="s">
        <v>18</v>
      </c>
      <c r="F66" s="452"/>
      <c r="G66" s="452"/>
    </row>
  </sheetData>
  <sheetProtection password="CAF1" sheet="1" selectLockedCells="1"/>
  <mergeCells count="21">
    <mergeCell ref="A62:H62"/>
    <mergeCell ref="A66:C66"/>
    <mergeCell ref="E66:G66"/>
    <mergeCell ref="A56:H56"/>
    <mergeCell ref="A57:H57"/>
    <mergeCell ref="A58:H58"/>
    <mergeCell ref="A59:H59"/>
    <mergeCell ref="A60:H60"/>
    <mergeCell ref="A61:H61"/>
    <mergeCell ref="A55:H55"/>
    <mergeCell ref="H1:H2"/>
    <mergeCell ref="C5:H5"/>
    <mergeCell ref="C6:H6"/>
    <mergeCell ref="C7:H7"/>
    <mergeCell ref="A8:B8"/>
    <mergeCell ref="C8:H8"/>
    <mergeCell ref="A9:B9"/>
    <mergeCell ref="C9:H9"/>
    <mergeCell ref="C10:H10"/>
    <mergeCell ref="A23:G23"/>
    <mergeCell ref="A54:H54"/>
  </mergeCells>
  <hyperlinks>
    <hyperlink ref="J4" location="'DATA SHEET'!A1" display="Return to Data Sheet" xr:uid="{00000000-0004-0000-1700-000000000000}"/>
    <hyperlink ref="C1" location="'DATA SHEET'!A1" display="HIGHLANDS PRIME, INC." xr:uid="{00000000-0004-0000-1700-000001000000}"/>
  </hyperlinks>
  <printOptions horizontalCentered="1"/>
  <pageMargins left="0.7" right="0.7" top="0.75" bottom="0.5" header="0.3" footer="0.3"/>
  <pageSetup paperSize="258" scale="60" orientation="portrait" r:id="rId1"/>
  <headerFooter>
    <oddFooter>&amp;L&amp;8A project of HIGHLANDS PRIME, INC. Horizon Terraces HLURB License To Sell No. 032272&amp;R&amp;8Page &amp;P of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389E8F"/>
    <pageSetUpPr fitToPage="1"/>
  </sheetPr>
  <dimension ref="A1:R40"/>
  <sheetViews>
    <sheetView workbookViewId="0">
      <selection activeCell="C15" sqref="C15"/>
    </sheetView>
  </sheetViews>
  <sheetFormatPr baseColWidth="10" defaultColWidth="0" defaultRowHeight="14"/>
  <cols>
    <col min="1" max="1" width="12.5" style="233" customWidth="1"/>
    <col min="2" max="2" width="10" style="233" bestFit="1" customWidth="1"/>
    <col min="3" max="3" width="16.1640625" style="233" customWidth="1"/>
    <col min="4" max="4" width="12.5" style="231" bestFit="1" customWidth="1"/>
    <col min="5" max="5" width="12.5" style="233" bestFit="1" customWidth="1"/>
    <col min="6" max="6" width="13.6640625" style="233" bestFit="1" customWidth="1"/>
    <col min="7" max="7" width="13.5" style="233" bestFit="1" customWidth="1"/>
    <col min="8" max="8" width="16.5" style="233" bestFit="1" customWidth="1"/>
    <col min="9" max="9" width="12.5" style="233" bestFit="1" customWidth="1"/>
    <col min="10" max="12" width="9.1640625" style="233" customWidth="1"/>
    <col min="13" max="18" width="0" style="233" hidden="1" customWidth="1"/>
    <col min="19" max="16384" width="9.1640625" style="233" hidden="1"/>
  </cols>
  <sheetData>
    <row r="1" spans="1:10" ht="12.75" customHeight="1">
      <c r="C1" s="240" t="s">
        <v>35</v>
      </c>
      <c r="H1" s="466" t="s">
        <v>66</v>
      </c>
    </row>
    <row r="2" spans="1:10">
      <c r="C2" s="230" t="s">
        <v>348</v>
      </c>
      <c r="H2" s="466"/>
    </row>
    <row r="3" spans="1:10">
      <c r="C3" s="230" t="s">
        <v>36</v>
      </c>
    </row>
    <row r="4" spans="1:10">
      <c r="J4" s="311" t="s">
        <v>305</v>
      </c>
    </row>
    <row r="5" spans="1:10">
      <c r="A5" s="312" t="s">
        <v>0</v>
      </c>
      <c r="B5" s="340"/>
      <c r="C5" s="468" t="str">
        <f>'DATA SHEET'!D10</f>
        <v xml:space="preserve"> </v>
      </c>
      <c r="D5" s="468"/>
      <c r="E5" s="468"/>
      <c r="F5" s="468"/>
      <c r="G5" s="468"/>
      <c r="H5" s="469"/>
    </row>
    <row r="6" spans="1:10">
      <c r="A6" s="343" t="s">
        <v>31</v>
      </c>
      <c r="B6" s="344"/>
      <c r="C6" s="456" t="str">
        <f>VLOOKUP('DATA SHEET'!$D$11,' Garden Suites PL'!C6:F28,1,FALSE)</f>
        <v>GA</v>
      </c>
      <c r="D6" s="456"/>
      <c r="E6" s="456"/>
      <c r="F6" s="456"/>
      <c r="G6" s="456"/>
      <c r="H6" s="457"/>
    </row>
    <row r="7" spans="1:10">
      <c r="A7" s="343" t="s">
        <v>37</v>
      </c>
      <c r="B7" s="344"/>
      <c r="C7" s="458">
        <f>VLOOKUP('DATA SHEET'!D11,' Garden Suites PL'!C6:F28,3,0)</f>
        <v>67.900000000000006</v>
      </c>
      <c r="D7" s="458"/>
      <c r="E7" s="458"/>
      <c r="F7" s="458"/>
      <c r="G7" s="458"/>
      <c r="H7" s="459"/>
    </row>
    <row r="8" spans="1:10">
      <c r="A8" s="246" t="s">
        <v>352</v>
      </c>
      <c r="B8" s="286"/>
      <c r="C8" s="458" t="str">
        <f>VLOOKUP('DATA SHEET'!D11,' Garden Suites PL'!C6:D28,2,0)</f>
        <v>1-Bedroom Terrace Suite</v>
      </c>
      <c r="D8" s="458"/>
      <c r="E8" s="458"/>
      <c r="F8" s="458"/>
      <c r="G8" s="458"/>
      <c r="H8" s="459"/>
    </row>
    <row r="9" spans="1:10">
      <c r="A9" s="438" t="s">
        <v>356</v>
      </c>
      <c r="B9" s="436"/>
      <c r="C9" s="460">
        <f>VLOOKUP('DATA SHEET'!D11,' Garden Suites PL'!C6:G28,5,0)</f>
        <v>9961680</v>
      </c>
      <c r="D9" s="460"/>
      <c r="E9" s="460"/>
      <c r="F9" s="460"/>
      <c r="G9" s="460"/>
      <c r="H9" s="461"/>
    </row>
    <row r="10" spans="1:10" ht="15" customHeight="1">
      <c r="A10" s="345" t="s">
        <v>33</v>
      </c>
      <c r="B10" s="346"/>
      <c r="C10" s="503" t="str">
        <f>+'DATA SHEET'!D19</f>
        <v>80% DP, 20% after 60 month or upon turnover whichever comes first</v>
      </c>
      <c r="D10" s="503"/>
      <c r="E10" s="503"/>
      <c r="F10" s="503"/>
      <c r="G10" s="503"/>
      <c r="H10" s="504"/>
    </row>
    <row r="12" spans="1:10">
      <c r="A12" s="230" t="s">
        <v>55</v>
      </c>
      <c r="B12" s="230"/>
      <c r="H12" s="347"/>
    </row>
    <row r="13" spans="1:10">
      <c r="A13" s="233" t="s">
        <v>359</v>
      </c>
      <c r="D13" s="347">
        <f>(C9-650000)</f>
        <v>9311680</v>
      </c>
      <c r="E13" s="252" t="str">
        <f>LEFT(C8,9)</f>
        <v>1-Bedroom</v>
      </c>
      <c r="F13" s="252"/>
      <c r="G13" s="252"/>
      <c r="H13" s="347"/>
    </row>
    <row r="14" spans="1:10">
      <c r="A14" s="228" t="s">
        <v>71</v>
      </c>
      <c r="B14" s="228"/>
      <c r="C14" s="368">
        <v>0.15</v>
      </c>
      <c r="D14" s="255">
        <f>IF(C14&lt;=15%,(D13*C14),"BEYOND MAX DISC.")</f>
        <v>1396752</v>
      </c>
      <c r="E14" s="252"/>
      <c r="F14" s="252"/>
      <c r="G14" s="252"/>
      <c r="H14" s="347"/>
    </row>
    <row r="15" spans="1:10">
      <c r="A15" s="228" t="s">
        <v>378</v>
      </c>
      <c r="B15" s="228"/>
      <c r="C15" s="368">
        <v>0.02</v>
      </c>
      <c r="D15" s="255">
        <f>IF(C15&lt;=2%,((D13-D14)*C15),"BEYOND MAX DISC.")</f>
        <v>158298.56</v>
      </c>
      <c r="E15" s="252"/>
      <c r="F15" s="252"/>
      <c r="G15" s="252"/>
      <c r="H15" s="347"/>
    </row>
    <row r="16" spans="1:10">
      <c r="A16" s="228" t="s">
        <v>379</v>
      </c>
      <c r="B16" s="228"/>
      <c r="C16" s="227"/>
      <c r="D16" s="349">
        <v>230000</v>
      </c>
      <c r="E16" s="231"/>
      <c r="F16" s="231"/>
      <c r="G16" s="231"/>
      <c r="H16" s="347"/>
    </row>
    <row r="17" spans="1:18">
      <c r="A17" s="233" t="s">
        <v>361</v>
      </c>
      <c r="B17" s="230"/>
      <c r="C17" s="227"/>
      <c r="D17" s="255">
        <f>+D13-SUM(D14:D16)</f>
        <v>7526629.4399999995</v>
      </c>
      <c r="E17" s="231"/>
      <c r="F17" s="231"/>
      <c r="G17" s="231"/>
      <c r="H17" s="347"/>
    </row>
    <row r="18" spans="1:18">
      <c r="A18" s="267" t="s">
        <v>350</v>
      </c>
      <c r="B18" s="267"/>
      <c r="C18" s="229">
        <v>0.05</v>
      </c>
      <c r="D18" s="263">
        <f>(D17/1.12)*C18</f>
        <v>336010.24285714282</v>
      </c>
      <c r="E18" s="252"/>
      <c r="F18" s="252"/>
      <c r="G18" s="252"/>
      <c r="H18" s="252"/>
      <c r="I18" s="252"/>
      <c r="J18" s="252"/>
      <c r="K18" s="252"/>
      <c r="L18" s="252"/>
      <c r="M18" s="252"/>
      <c r="N18" s="252"/>
      <c r="O18" s="252"/>
      <c r="P18" s="254"/>
      <c r="Q18" s="254"/>
      <c r="R18" s="255"/>
    </row>
    <row r="19" spans="1:18" ht="15" thickBot="1">
      <c r="A19" s="230" t="s">
        <v>58</v>
      </c>
      <c r="B19" s="230"/>
      <c r="C19" s="230"/>
      <c r="D19" s="348">
        <f>D17+D18</f>
        <v>7862639.6828571428</v>
      </c>
      <c r="E19" s="252"/>
      <c r="F19" s="252"/>
      <c r="G19" s="252"/>
      <c r="H19" s="252"/>
      <c r="I19" s="252"/>
      <c r="J19" s="252"/>
      <c r="K19" s="252"/>
      <c r="L19" s="252"/>
      <c r="M19" s="252"/>
      <c r="N19" s="252"/>
      <c r="O19" s="252"/>
      <c r="P19" s="254"/>
      <c r="Q19" s="254"/>
      <c r="R19" s="255"/>
    </row>
    <row r="20" spans="1:18" ht="15" thickTop="1">
      <c r="H20" s="307"/>
    </row>
    <row r="21" spans="1:18" s="245" customFormat="1" ht="14.25" customHeight="1">
      <c r="A21" s="271" t="s">
        <v>34</v>
      </c>
      <c r="B21" s="271" t="s">
        <v>347</v>
      </c>
      <c r="C21" s="271" t="s">
        <v>2</v>
      </c>
      <c r="D21" s="271" t="s">
        <v>343</v>
      </c>
      <c r="E21" s="271" t="s">
        <v>363</v>
      </c>
      <c r="F21" s="271" t="s">
        <v>344</v>
      </c>
      <c r="G21" s="272" t="s">
        <v>349</v>
      </c>
      <c r="H21" s="271" t="s">
        <v>345</v>
      </c>
    </row>
    <row r="22" spans="1:18" s="245" customFormat="1" ht="14.25" customHeight="1">
      <c r="A22" s="453" t="s">
        <v>346</v>
      </c>
      <c r="B22" s="454"/>
      <c r="C22" s="454"/>
      <c r="D22" s="454"/>
      <c r="E22" s="454"/>
      <c r="F22" s="454"/>
      <c r="G22" s="455"/>
      <c r="H22" s="310">
        <f>+D19</f>
        <v>7862639.6828571428</v>
      </c>
    </row>
    <row r="23" spans="1:18" s="245" customFormat="1" ht="14.25" customHeight="1">
      <c r="A23" s="277">
        <v>0</v>
      </c>
      <c r="B23" s="277"/>
      <c r="C23" s="277" t="s">
        <v>38</v>
      </c>
      <c r="D23" s="278">
        <f ca="1">'DATA SHEET'!D9</f>
        <v>43973</v>
      </c>
      <c r="E23" s="279">
        <f>IF(E13="1-Bedroom",50000,100000)</f>
        <v>50000</v>
      </c>
      <c r="F23" s="279"/>
      <c r="G23" s="280">
        <f>+SUM(E23:F23)</f>
        <v>50000</v>
      </c>
      <c r="H23" s="281">
        <f>D19-G23</f>
        <v>7812639.6828571428</v>
      </c>
    </row>
    <row r="24" spans="1:18" s="245" customFormat="1" ht="14.25" customHeight="1">
      <c r="A24" s="277">
        <v>1</v>
      </c>
      <c r="B24" s="283">
        <v>0.8</v>
      </c>
      <c r="C24" s="277" t="s">
        <v>68</v>
      </c>
      <c r="D24" s="278">
        <f ca="1">EDATE(D23,1)</f>
        <v>44004</v>
      </c>
      <c r="E24" s="279">
        <f>(D17*80%)-E23</f>
        <v>5971303.5520000001</v>
      </c>
      <c r="F24" s="279">
        <f>(D18*80%)-F23</f>
        <v>268808.19428571424</v>
      </c>
      <c r="G24" s="280">
        <f t="shared" ref="G24:G25" si="0">+SUM(E24:F24)</f>
        <v>6240111.7462857142</v>
      </c>
      <c r="H24" s="281">
        <f>H23-G24</f>
        <v>1572527.9365714286</v>
      </c>
    </row>
    <row r="25" spans="1:18" s="245" customFormat="1" ht="14.25" customHeight="1">
      <c r="A25" s="277">
        <v>60</v>
      </c>
      <c r="B25" s="283">
        <v>0.2</v>
      </c>
      <c r="C25" s="277" t="s">
        <v>180</v>
      </c>
      <c r="D25" s="278">
        <f ca="1">D24+(60*30)</f>
        <v>45804</v>
      </c>
      <c r="E25" s="279">
        <f>D17*0.2</f>
        <v>1505325.888</v>
      </c>
      <c r="F25" s="279">
        <f>D18*0.2</f>
        <v>67202.048571428561</v>
      </c>
      <c r="G25" s="280">
        <f t="shared" si="0"/>
        <v>1572527.9365714286</v>
      </c>
      <c r="H25" s="281">
        <f>H24-G25</f>
        <v>0</v>
      </c>
    </row>
    <row r="26" spans="1:18" s="245" customFormat="1" ht="14.25" customHeight="1">
      <c r="A26" s="446" t="s">
        <v>16</v>
      </c>
      <c r="B26" s="447"/>
      <c r="C26" s="447"/>
      <c r="D26" s="448"/>
      <c r="E26" s="284">
        <f>SUM(E23:E25)</f>
        <v>7526629.4400000004</v>
      </c>
      <c r="F26" s="284">
        <f t="shared" ref="F26:G26" si="1">SUM(F23:F25)</f>
        <v>336010.24285714282</v>
      </c>
      <c r="G26" s="284">
        <f t="shared" si="1"/>
        <v>7862639.6828571428</v>
      </c>
      <c r="H26" s="285"/>
    </row>
    <row r="27" spans="1:18">
      <c r="C27" s="287"/>
      <c r="D27" s="288"/>
      <c r="E27" s="289"/>
      <c r="F27" s="289"/>
      <c r="G27" s="289"/>
    </row>
    <row r="28" spans="1:18">
      <c r="A28" s="439" t="s">
        <v>364</v>
      </c>
      <c r="B28" s="439"/>
      <c r="C28" s="439"/>
      <c r="D28" s="439"/>
      <c r="E28" s="439"/>
      <c r="F28" s="439"/>
      <c r="G28" s="439"/>
      <c r="H28" s="439"/>
    </row>
    <row r="29" spans="1:18" ht="30.75" customHeight="1">
      <c r="A29" s="449" t="s">
        <v>365</v>
      </c>
      <c r="B29" s="449"/>
      <c r="C29" s="449"/>
      <c r="D29" s="449"/>
      <c r="E29" s="449"/>
      <c r="F29" s="449"/>
      <c r="G29" s="449"/>
      <c r="H29" s="449"/>
    </row>
    <row r="30" spans="1:18" ht="16.5" customHeight="1">
      <c r="A30" s="439" t="s">
        <v>366</v>
      </c>
      <c r="B30" s="439"/>
      <c r="C30" s="439"/>
      <c r="D30" s="439"/>
      <c r="E30" s="439"/>
      <c r="F30" s="439"/>
      <c r="G30" s="439"/>
      <c r="H30" s="439"/>
    </row>
    <row r="31" spans="1:18" ht="16.5" customHeight="1">
      <c r="A31" s="439" t="s">
        <v>367</v>
      </c>
      <c r="B31" s="439"/>
      <c r="C31" s="439"/>
      <c r="D31" s="439"/>
      <c r="E31" s="439"/>
      <c r="F31" s="439"/>
      <c r="G31" s="439"/>
      <c r="H31" s="439"/>
    </row>
    <row r="32" spans="1:18" ht="16.5" customHeight="1">
      <c r="A32" s="439" t="s">
        <v>368</v>
      </c>
      <c r="B32" s="439"/>
      <c r="C32" s="439"/>
      <c r="D32" s="439"/>
      <c r="E32" s="439"/>
      <c r="F32" s="439"/>
      <c r="G32" s="439"/>
      <c r="H32" s="439"/>
    </row>
    <row r="33" spans="1:8" ht="120.75" customHeight="1">
      <c r="A33" s="439" t="s">
        <v>369</v>
      </c>
      <c r="B33" s="439"/>
      <c r="C33" s="439"/>
      <c r="D33" s="439"/>
      <c r="E33" s="439"/>
      <c r="F33" s="439"/>
      <c r="G33" s="439"/>
      <c r="H33" s="439"/>
    </row>
    <row r="34" spans="1:8" ht="45" customHeight="1">
      <c r="A34" s="439" t="s">
        <v>370</v>
      </c>
      <c r="B34" s="439"/>
      <c r="C34" s="439"/>
      <c r="D34" s="439"/>
      <c r="E34" s="439"/>
      <c r="F34" s="439"/>
      <c r="G34" s="439"/>
      <c r="H34" s="439"/>
    </row>
    <row r="35" spans="1:8" ht="30.75" customHeight="1">
      <c r="A35" s="439" t="s">
        <v>371</v>
      </c>
      <c r="B35" s="439"/>
      <c r="C35" s="439"/>
      <c r="D35" s="439"/>
      <c r="E35" s="439"/>
      <c r="F35" s="439"/>
      <c r="G35" s="439"/>
      <c r="H35" s="439"/>
    </row>
    <row r="36" spans="1:8">
      <c r="A36" s="439"/>
      <c r="B36" s="439"/>
      <c r="C36" s="439"/>
      <c r="D36" s="439"/>
      <c r="E36" s="439"/>
      <c r="F36" s="439"/>
      <c r="G36" s="439"/>
      <c r="H36" s="439"/>
    </row>
    <row r="37" spans="1:8">
      <c r="A37" s="233" t="s">
        <v>17</v>
      </c>
      <c r="G37" s="230"/>
    </row>
    <row r="38" spans="1:8">
      <c r="G38" s="230"/>
    </row>
    <row r="39" spans="1:8" ht="15" customHeight="1">
      <c r="A39" s="290"/>
      <c r="B39" s="290"/>
      <c r="C39" s="290"/>
      <c r="E39" s="290"/>
      <c r="F39" s="290"/>
      <c r="G39" s="291"/>
    </row>
    <row r="40" spans="1:8">
      <c r="A40" s="452" t="s">
        <v>355</v>
      </c>
      <c r="B40" s="452"/>
      <c r="C40" s="452"/>
      <c r="E40" s="452" t="s">
        <v>18</v>
      </c>
      <c r="F40" s="452"/>
      <c r="G40" s="452"/>
    </row>
  </sheetData>
  <sheetProtection password="CAF1" sheet="1" objects="1" scenarios="1" selectLockedCells="1"/>
  <mergeCells count="21">
    <mergeCell ref="A34:H34"/>
    <mergeCell ref="A35:H35"/>
    <mergeCell ref="A36:H36"/>
    <mergeCell ref="A40:C40"/>
    <mergeCell ref="E40:G40"/>
    <mergeCell ref="H1:H2"/>
    <mergeCell ref="C10:H10"/>
    <mergeCell ref="C5:H5"/>
    <mergeCell ref="C6:H6"/>
    <mergeCell ref="C7:H7"/>
    <mergeCell ref="C8:H8"/>
    <mergeCell ref="A26:D26"/>
    <mergeCell ref="A22:G22"/>
    <mergeCell ref="A9:B9"/>
    <mergeCell ref="C9:H9"/>
    <mergeCell ref="A28:H28"/>
    <mergeCell ref="A29:H29"/>
    <mergeCell ref="A30:H30"/>
    <mergeCell ref="A31:H31"/>
    <mergeCell ref="A32:H32"/>
    <mergeCell ref="A33:H33"/>
  </mergeCells>
  <hyperlinks>
    <hyperlink ref="J4" location="'DATA SHEET'!A1" display="Return to Data Sheet" xr:uid="{00000000-0004-0000-1800-000000000000}"/>
    <hyperlink ref="C1" location="'DATA SHEET'!A1" display="HIGHLANDS PRIME, INC." xr:uid="{00000000-0004-0000-1800-000001000000}"/>
  </hyperlinks>
  <pageMargins left="0.7" right="0.7" top="0.75" bottom="0.75" header="0.3" footer="0.3"/>
  <pageSetup scale="7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389E8F"/>
    <pageSetUpPr fitToPage="1"/>
  </sheetPr>
  <dimension ref="A1:S85"/>
  <sheetViews>
    <sheetView workbookViewId="0">
      <selection activeCell="C15" sqref="C15"/>
    </sheetView>
  </sheetViews>
  <sheetFormatPr baseColWidth="10" defaultColWidth="0" defaultRowHeight="14"/>
  <cols>
    <col min="1" max="1" width="12" style="233" customWidth="1"/>
    <col min="2" max="2" width="10.5" style="233" customWidth="1"/>
    <col min="3" max="3" width="24.33203125" style="233" customWidth="1"/>
    <col min="4" max="4" width="11.83203125" style="231" bestFit="1" customWidth="1"/>
    <col min="5" max="5" width="12.5" style="233" bestFit="1" customWidth="1"/>
    <col min="6" max="6" width="13.6640625" style="233" bestFit="1" customWidth="1"/>
    <col min="7" max="7" width="13.5" style="233" bestFit="1" customWidth="1"/>
    <col min="8" max="8" width="16.5" style="233" bestFit="1" customWidth="1"/>
    <col min="9" max="12" width="9.1640625" style="233" customWidth="1"/>
    <col min="13" max="19" width="0" style="233" hidden="1" customWidth="1"/>
    <col min="20" max="16384" width="9.1640625" style="233" hidden="1"/>
  </cols>
  <sheetData>
    <row r="1" spans="1:10" ht="12.75" customHeight="1">
      <c r="C1" s="240" t="s">
        <v>35</v>
      </c>
      <c r="H1" s="466" t="s">
        <v>66</v>
      </c>
    </row>
    <row r="2" spans="1:10">
      <c r="C2" s="230" t="s">
        <v>348</v>
      </c>
      <c r="H2" s="466"/>
    </row>
    <row r="3" spans="1:10">
      <c r="C3" s="230" t="s">
        <v>36</v>
      </c>
      <c r="J3" s="311" t="s">
        <v>305</v>
      </c>
    </row>
    <row r="5" spans="1:10">
      <c r="A5" s="312" t="s">
        <v>0</v>
      </c>
      <c r="B5" s="340"/>
      <c r="C5" s="468" t="str">
        <f>'DATA SHEET'!D10</f>
        <v xml:space="preserve"> </v>
      </c>
      <c r="D5" s="468"/>
      <c r="E5" s="468"/>
      <c r="F5" s="468"/>
      <c r="G5" s="468"/>
      <c r="H5" s="469"/>
    </row>
    <row r="6" spans="1:10">
      <c r="A6" s="343" t="s">
        <v>31</v>
      </c>
      <c r="B6" s="344"/>
      <c r="C6" s="456" t="str">
        <f>VLOOKUP('DATA SHEET'!$D$11,' Garden Suites PL'!C6:F28,1,FALSE)</f>
        <v>GA</v>
      </c>
      <c r="D6" s="456"/>
      <c r="E6" s="456"/>
      <c r="F6" s="456"/>
      <c r="G6" s="456"/>
      <c r="H6" s="457"/>
    </row>
    <row r="7" spans="1:10">
      <c r="A7" s="343" t="s">
        <v>37</v>
      </c>
      <c r="B7" s="344"/>
      <c r="C7" s="458">
        <f>VLOOKUP('DATA SHEET'!D11,' Garden Suites PL'!C6:F28,3,0)</f>
        <v>67.900000000000006</v>
      </c>
      <c r="D7" s="458"/>
      <c r="E7" s="458"/>
      <c r="F7" s="458"/>
      <c r="G7" s="458"/>
      <c r="H7" s="459"/>
    </row>
    <row r="8" spans="1:10">
      <c r="A8" s="246" t="s">
        <v>352</v>
      </c>
      <c r="B8" s="286"/>
      <c r="C8" s="458" t="str">
        <f>VLOOKUP('DATA SHEET'!D11,' Garden Suites PL'!C6:D28,2,0)</f>
        <v>1-Bedroom Terrace Suite</v>
      </c>
      <c r="D8" s="458"/>
      <c r="E8" s="458"/>
      <c r="F8" s="458"/>
      <c r="G8" s="458"/>
      <c r="H8" s="459"/>
    </row>
    <row r="9" spans="1:10">
      <c r="A9" s="438" t="s">
        <v>356</v>
      </c>
      <c r="B9" s="436"/>
      <c r="C9" s="460">
        <f>VLOOKUP('DATA SHEET'!D11,' Garden Suites PL'!C6:G28,5,0)</f>
        <v>9961680</v>
      </c>
      <c r="D9" s="460"/>
      <c r="E9" s="460"/>
      <c r="F9" s="460"/>
      <c r="G9" s="460"/>
      <c r="H9" s="461"/>
    </row>
    <row r="10" spans="1:10">
      <c r="A10" s="350" t="s">
        <v>33</v>
      </c>
      <c r="B10" s="351"/>
      <c r="C10" s="505" t="str">
        <f>+'DATA SHEET'!D20</f>
        <v>50% DP, 50% over 45 months</v>
      </c>
      <c r="D10" s="505"/>
      <c r="E10" s="505"/>
      <c r="F10" s="505"/>
      <c r="G10" s="505"/>
      <c r="H10" s="506"/>
    </row>
    <row r="12" spans="1:10">
      <c r="A12" s="230" t="s">
        <v>55</v>
      </c>
      <c r="B12" s="230"/>
    </row>
    <row r="13" spans="1:10">
      <c r="A13" s="233" t="s">
        <v>359</v>
      </c>
      <c r="D13" s="251">
        <f>(C9-650000)</f>
        <v>9311680</v>
      </c>
      <c r="E13" s="252" t="str">
        <f>LEFT(C8,9)</f>
        <v>1-Bedroom</v>
      </c>
      <c r="F13" s="252"/>
      <c r="G13" s="252"/>
    </row>
    <row r="14" spans="1:10" ht="12" customHeight="1">
      <c r="A14" s="228" t="s">
        <v>71</v>
      </c>
      <c r="B14" s="228"/>
      <c r="C14" s="368">
        <v>7.4999999999999997E-2</v>
      </c>
      <c r="D14" s="256">
        <f>IF(C14&lt;=7.5%,(D13*C14),"BEYOND MAX DISC.")</f>
        <v>698376</v>
      </c>
      <c r="E14" s="231"/>
      <c r="F14" s="231"/>
      <c r="G14" s="231"/>
    </row>
    <row r="15" spans="1:10">
      <c r="A15" s="228" t="s">
        <v>378</v>
      </c>
      <c r="B15" s="228"/>
      <c r="C15" s="368">
        <v>0.02</v>
      </c>
      <c r="D15" s="256">
        <f>IF(C15&lt;=2%,((D13-D14)*C15),"BEYOND MAX DISC.")</f>
        <v>172266.08000000002</v>
      </c>
      <c r="E15" s="231"/>
      <c r="F15" s="231"/>
      <c r="G15" s="231"/>
      <c r="H15" s="251"/>
    </row>
    <row r="16" spans="1:10">
      <c r="A16" s="228" t="s">
        <v>379</v>
      </c>
      <c r="B16" s="228"/>
      <c r="C16" s="228"/>
      <c r="D16" s="349">
        <v>230000</v>
      </c>
      <c r="E16" s="231"/>
      <c r="F16" s="252"/>
      <c r="G16" s="252"/>
    </row>
    <row r="17" spans="1:19">
      <c r="A17" s="230" t="s">
        <v>361</v>
      </c>
      <c r="B17" s="230"/>
      <c r="D17" s="308">
        <f>+D13-SUM(D14:D16)</f>
        <v>8211037.9199999999</v>
      </c>
      <c r="E17" s="231"/>
      <c r="F17" s="231"/>
      <c r="G17" s="231"/>
    </row>
    <row r="18" spans="1:19">
      <c r="A18" s="267" t="s">
        <v>350</v>
      </c>
      <c r="B18" s="267"/>
      <c r="C18" s="229">
        <v>0.05</v>
      </c>
      <c r="D18" s="319">
        <f>(D17/1.12)*C18</f>
        <v>366564.19285714283</v>
      </c>
      <c r="E18" s="252"/>
      <c r="F18" s="252"/>
      <c r="G18" s="252"/>
      <c r="H18" s="252"/>
      <c r="I18" s="252"/>
      <c r="J18" s="252"/>
      <c r="K18" s="252"/>
      <c r="L18" s="252"/>
      <c r="M18" s="252"/>
      <c r="N18" s="252"/>
      <c r="O18" s="252"/>
      <c r="P18" s="252"/>
      <c r="Q18" s="254"/>
      <c r="R18" s="254"/>
      <c r="S18" s="255"/>
    </row>
    <row r="19" spans="1:19" ht="15" thickBot="1">
      <c r="A19" s="230" t="s">
        <v>58</v>
      </c>
      <c r="B19" s="230"/>
      <c r="C19" s="230"/>
      <c r="D19" s="270">
        <f>+D17+D18</f>
        <v>8577602.1128571425</v>
      </c>
      <c r="E19" s="252"/>
      <c r="F19" s="252"/>
      <c r="G19" s="252"/>
      <c r="H19" s="252"/>
      <c r="I19" s="252"/>
      <c r="J19" s="252"/>
      <c r="K19" s="252"/>
      <c r="L19" s="252"/>
      <c r="M19" s="252"/>
      <c r="N19" s="252"/>
      <c r="O19" s="252"/>
      <c r="P19" s="252"/>
      <c r="Q19" s="254"/>
      <c r="R19" s="254"/>
      <c r="S19" s="255"/>
    </row>
    <row r="20" spans="1:19" ht="15" thickTop="1"/>
    <row r="21" spans="1:19" s="245" customFormat="1" ht="14.25" customHeight="1">
      <c r="A21" s="271" t="s">
        <v>34</v>
      </c>
      <c r="B21" s="271" t="s">
        <v>347</v>
      </c>
      <c r="C21" s="271" t="s">
        <v>2</v>
      </c>
      <c r="D21" s="271" t="s">
        <v>343</v>
      </c>
      <c r="E21" s="271" t="s">
        <v>363</v>
      </c>
      <c r="F21" s="271" t="s">
        <v>344</v>
      </c>
      <c r="G21" s="272" t="s">
        <v>349</v>
      </c>
      <c r="H21" s="271" t="s">
        <v>345</v>
      </c>
    </row>
    <row r="22" spans="1:19" s="245" customFormat="1" ht="14.25" customHeight="1">
      <c r="A22" s="453" t="s">
        <v>346</v>
      </c>
      <c r="B22" s="454"/>
      <c r="C22" s="454"/>
      <c r="D22" s="454"/>
      <c r="E22" s="454"/>
      <c r="F22" s="454"/>
      <c r="G22" s="455"/>
      <c r="H22" s="310">
        <f>+D19</f>
        <v>8577602.1128571425</v>
      </c>
    </row>
    <row r="23" spans="1:19" s="245" customFormat="1" ht="14.25" customHeight="1">
      <c r="A23" s="277">
        <v>0</v>
      </c>
      <c r="B23" s="277"/>
      <c r="C23" s="277" t="s">
        <v>38</v>
      </c>
      <c r="D23" s="278">
        <f ca="1">'DATA SHEET'!D9</f>
        <v>43973</v>
      </c>
      <c r="E23" s="279">
        <f>IF(E13="1-Bedroom",50000,100000)</f>
        <v>50000</v>
      </c>
      <c r="F23" s="279"/>
      <c r="G23" s="280">
        <f>+SUM(E23:F23)</f>
        <v>50000</v>
      </c>
      <c r="H23" s="281">
        <f>D19-G23</f>
        <v>8527602.1128571425</v>
      </c>
    </row>
    <row r="24" spans="1:19" s="245" customFormat="1" ht="14.25" customHeight="1">
      <c r="A24" s="277">
        <v>1</v>
      </c>
      <c r="B24" s="283">
        <v>0.5</v>
      </c>
      <c r="C24" s="277" t="s">
        <v>68</v>
      </c>
      <c r="D24" s="278">
        <f ca="1">EDATE(D23,1)</f>
        <v>44004</v>
      </c>
      <c r="E24" s="279">
        <f>(D$17*50%)-E23</f>
        <v>4055518.96</v>
      </c>
      <c r="F24" s="279">
        <f>(D$18*50%)-F23</f>
        <v>183282.09642857141</v>
      </c>
      <c r="G24" s="280">
        <f t="shared" ref="G24:G70" si="0">+SUM(E24:F24)</f>
        <v>4238801.0564285712</v>
      </c>
      <c r="H24" s="281">
        <f>H23-G24</f>
        <v>4288801.0564285712</v>
      </c>
    </row>
    <row r="25" spans="1:19" s="245" customFormat="1" ht="14.25" customHeight="1">
      <c r="A25" s="277"/>
      <c r="B25" s="283">
        <v>0.5</v>
      </c>
      <c r="C25" s="277" t="s">
        <v>353</v>
      </c>
      <c r="D25" s="278"/>
      <c r="E25" s="279"/>
      <c r="F25" s="279"/>
      <c r="G25" s="280"/>
      <c r="H25" s="281"/>
    </row>
    <row r="26" spans="1:19" s="245" customFormat="1" ht="14.25" customHeight="1">
      <c r="A26" s="277">
        <v>2</v>
      </c>
      <c r="B26" s="277"/>
      <c r="C26" s="277" t="s">
        <v>4</v>
      </c>
      <c r="D26" s="278">
        <f ca="1">EDATE(D24,1)</f>
        <v>44034</v>
      </c>
      <c r="E26" s="279">
        <f>($D$17*50%)/45</f>
        <v>91233.75466666666</v>
      </c>
      <c r="F26" s="279">
        <f>($D$18*50%)/45</f>
        <v>4072.935476190476</v>
      </c>
      <c r="G26" s="280">
        <f t="shared" si="0"/>
        <v>95306.690142857144</v>
      </c>
      <c r="H26" s="281">
        <f>H24-G26</f>
        <v>4193494.3662857143</v>
      </c>
    </row>
    <row r="27" spans="1:19" s="245" customFormat="1" ht="14.25" customHeight="1">
      <c r="A27" s="277">
        <v>3</v>
      </c>
      <c r="B27" s="277"/>
      <c r="C27" s="277" t="s">
        <v>5</v>
      </c>
      <c r="D27" s="278">
        <f t="shared" ref="D27:D70" ca="1" si="1">EDATE(D26,1)</f>
        <v>44065</v>
      </c>
      <c r="E27" s="279">
        <f t="shared" ref="E27:E70" si="2">($D$17*50%)/45</f>
        <v>91233.75466666666</v>
      </c>
      <c r="F27" s="279">
        <f t="shared" ref="F27:F70" si="3">($D$18*50%)/45</f>
        <v>4072.935476190476</v>
      </c>
      <c r="G27" s="280">
        <f t="shared" si="0"/>
        <v>95306.690142857144</v>
      </c>
      <c r="H27" s="281">
        <f t="shared" ref="H27:H70" si="4">H26-G27</f>
        <v>4098187.6761428574</v>
      </c>
    </row>
    <row r="28" spans="1:19" s="245" customFormat="1" ht="14.25" customHeight="1">
      <c r="A28" s="277">
        <v>4</v>
      </c>
      <c r="B28" s="277"/>
      <c r="C28" s="277" t="s">
        <v>6</v>
      </c>
      <c r="D28" s="278">
        <f t="shared" ca="1" si="1"/>
        <v>44096</v>
      </c>
      <c r="E28" s="279">
        <f t="shared" si="2"/>
        <v>91233.75466666666</v>
      </c>
      <c r="F28" s="279">
        <f t="shared" si="3"/>
        <v>4072.935476190476</v>
      </c>
      <c r="G28" s="280">
        <f t="shared" si="0"/>
        <v>95306.690142857144</v>
      </c>
      <c r="H28" s="281">
        <f t="shared" si="4"/>
        <v>4002880.9860000005</v>
      </c>
    </row>
    <row r="29" spans="1:19" s="245" customFormat="1" ht="14.25" customHeight="1">
      <c r="A29" s="277">
        <v>5</v>
      </c>
      <c r="B29" s="277"/>
      <c r="C29" s="277" t="s">
        <v>7</v>
      </c>
      <c r="D29" s="278">
        <f t="shared" ca="1" si="1"/>
        <v>44126</v>
      </c>
      <c r="E29" s="279">
        <f t="shared" si="2"/>
        <v>91233.75466666666</v>
      </c>
      <c r="F29" s="279">
        <f t="shared" si="3"/>
        <v>4072.935476190476</v>
      </c>
      <c r="G29" s="280">
        <f t="shared" si="0"/>
        <v>95306.690142857144</v>
      </c>
      <c r="H29" s="281">
        <f t="shared" si="4"/>
        <v>3907574.2958571436</v>
      </c>
    </row>
    <row r="30" spans="1:19" s="245" customFormat="1" ht="14.25" customHeight="1">
      <c r="A30" s="277">
        <v>6</v>
      </c>
      <c r="B30" s="277"/>
      <c r="C30" s="277" t="s">
        <v>8</v>
      </c>
      <c r="D30" s="278">
        <f t="shared" ca="1" si="1"/>
        <v>44157</v>
      </c>
      <c r="E30" s="279">
        <f t="shared" si="2"/>
        <v>91233.75466666666</v>
      </c>
      <c r="F30" s="279">
        <f t="shared" si="3"/>
        <v>4072.935476190476</v>
      </c>
      <c r="G30" s="280">
        <f t="shared" si="0"/>
        <v>95306.690142857144</v>
      </c>
      <c r="H30" s="281">
        <f t="shared" si="4"/>
        <v>3812267.6057142867</v>
      </c>
    </row>
    <row r="31" spans="1:19" s="245" customFormat="1" ht="14.25" customHeight="1">
      <c r="A31" s="277">
        <v>7</v>
      </c>
      <c r="B31" s="277"/>
      <c r="C31" s="277" t="s">
        <v>9</v>
      </c>
      <c r="D31" s="278">
        <f t="shared" ca="1" si="1"/>
        <v>44187</v>
      </c>
      <c r="E31" s="279">
        <f t="shared" si="2"/>
        <v>91233.75466666666</v>
      </c>
      <c r="F31" s="279">
        <f t="shared" si="3"/>
        <v>4072.935476190476</v>
      </c>
      <c r="G31" s="280">
        <f t="shared" si="0"/>
        <v>95306.690142857144</v>
      </c>
      <c r="H31" s="281">
        <f t="shared" si="4"/>
        <v>3716960.9155714298</v>
      </c>
    </row>
    <row r="32" spans="1:19" s="245" customFormat="1" ht="14.25" customHeight="1">
      <c r="A32" s="277">
        <v>8</v>
      </c>
      <c r="B32" s="277"/>
      <c r="C32" s="277" t="s">
        <v>10</v>
      </c>
      <c r="D32" s="278">
        <f t="shared" ca="1" si="1"/>
        <v>44218</v>
      </c>
      <c r="E32" s="279">
        <f t="shared" si="2"/>
        <v>91233.75466666666</v>
      </c>
      <c r="F32" s="279">
        <f t="shared" si="3"/>
        <v>4072.935476190476</v>
      </c>
      <c r="G32" s="280">
        <f t="shared" si="0"/>
        <v>95306.690142857144</v>
      </c>
      <c r="H32" s="281">
        <f t="shared" si="4"/>
        <v>3621654.2254285729</v>
      </c>
    </row>
    <row r="33" spans="1:8" s="245" customFormat="1" ht="14.25" customHeight="1">
      <c r="A33" s="277">
        <v>9</v>
      </c>
      <c r="B33" s="277"/>
      <c r="C33" s="277" t="s">
        <v>11</v>
      </c>
      <c r="D33" s="278">
        <f t="shared" ca="1" si="1"/>
        <v>44249</v>
      </c>
      <c r="E33" s="279">
        <f t="shared" si="2"/>
        <v>91233.75466666666</v>
      </c>
      <c r="F33" s="279">
        <f t="shared" si="3"/>
        <v>4072.935476190476</v>
      </c>
      <c r="G33" s="280">
        <f t="shared" si="0"/>
        <v>95306.690142857144</v>
      </c>
      <c r="H33" s="281">
        <f t="shared" si="4"/>
        <v>3526347.5352857159</v>
      </c>
    </row>
    <row r="34" spans="1:8" s="245" customFormat="1" ht="14.25" customHeight="1">
      <c r="A34" s="277">
        <v>10</v>
      </c>
      <c r="B34" s="277"/>
      <c r="C34" s="277" t="s">
        <v>12</v>
      </c>
      <c r="D34" s="278">
        <f t="shared" ca="1" si="1"/>
        <v>44277</v>
      </c>
      <c r="E34" s="279">
        <f t="shared" si="2"/>
        <v>91233.75466666666</v>
      </c>
      <c r="F34" s="279">
        <f t="shared" si="3"/>
        <v>4072.935476190476</v>
      </c>
      <c r="G34" s="280">
        <f t="shared" si="0"/>
        <v>95306.690142857144</v>
      </c>
      <c r="H34" s="281">
        <f t="shared" si="4"/>
        <v>3431040.845142859</v>
      </c>
    </row>
    <row r="35" spans="1:8" s="245" customFormat="1" ht="14.25" customHeight="1">
      <c r="A35" s="277">
        <v>11</v>
      </c>
      <c r="B35" s="277"/>
      <c r="C35" s="277" t="s">
        <v>13</v>
      </c>
      <c r="D35" s="278">
        <f t="shared" ca="1" si="1"/>
        <v>44308</v>
      </c>
      <c r="E35" s="279">
        <f t="shared" si="2"/>
        <v>91233.75466666666</v>
      </c>
      <c r="F35" s="279">
        <f t="shared" si="3"/>
        <v>4072.935476190476</v>
      </c>
      <c r="G35" s="280">
        <f t="shared" si="0"/>
        <v>95306.690142857144</v>
      </c>
      <c r="H35" s="281">
        <f t="shared" si="4"/>
        <v>3335734.1550000021</v>
      </c>
    </row>
    <row r="36" spans="1:8" s="245" customFormat="1" ht="14.25" customHeight="1">
      <c r="A36" s="277">
        <v>12</v>
      </c>
      <c r="B36" s="277"/>
      <c r="C36" s="277" t="s">
        <v>14</v>
      </c>
      <c r="D36" s="278">
        <f t="shared" ca="1" si="1"/>
        <v>44338</v>
      </c>
      <c r="E36" s="279">
        <f t="shared" si="2"/>
        <v>91233.75466666666</v>
      </c>
      <c r="F36" s="279">
        <f t="shared" si="3"/>
        <v>4072.935476190476</v>
      </c>
      <c r="G36" s="280">
        <f t="shared" si="0"/>
        <v>95306.690142857144</v>
      </c>
      <c r="H36" s="281">
        <f t="shared" si="4"/>
        <v>3240427.4648571452</v>
      </c>
    </row>
    <row r="37" spans="1:8" s="245" customFormat="1" ht="14.25" customHeight="1">
      <c r="A37" s="277">
        <v>13</v>
      </c>
      <c r="B37" s="277"/>
      <c r="C37" s="277" t="s">
        <v>15</v>
      </c>
      <c r="D37" s="278">
        <f t="shared" ca="1" si="1"/>
        <v>44369</v>
      </c>
      <c r="E37" s="279">
        <f t="shared" si="2"/>
        <v>91233.75466666666</v>
      </c>
      <c r="F37" s="279">
        <f t="shared" si="3"/>
        <v>4072.935476190476</v>
      </c>
      <c r="G37" s="280">
        <f t="shared" si="0"/>
        <v>95306.690142857144</v>
      </c>
      <c r="H37" s="281">
        <f t="shared" si="4"/>
        <v>3145120.7747142883</v>
      </c>
    </row>
    <row r="38" spans="1:8" s="245" customFormat="1" ht="14.25" customHeight="1">
      <c r="A38" s="277">
        <v>14</v>
      </c>
      <c r="B38" s="277"/>
      <c r="C38" s="277" t="s">
        <v>19</v>
      </c>
      <c r="D38" s="278">
        <f t="shared" ca="1" si="1"/>
        <v>44399</v>
      </c>
      <c r="E38" s="279">
        <f t="shared" si="2"/>
        <v>91233.75466666666</v>
      </c>
      <c r="F38" s="279">
        <f t="shared" si="3"/>
        <v>4072.935476190476</v>
      </c>
      <c r="G38" s="280">
        <f t="shared" si="0"/>
        <v>95306.690142857144</v>
      </c>
      <c r="H38" s="281">
        <f t="shared" si="4"/>
        <v>3049814.0845714314</v>
      </c>
    </row>
    <row r="39" spans="1:8" s="245" customFormat="1" ht="14.25" customHeight="1">
      <c r="A39" s="277">
        <v>15</v>
      </c>
      <c r="B39" s="277"/>
      <c r="C39" s="277" t="s">
        <v>20</v>
      </c>
      <c r="D39" s="278">
        <f t="shared" ca="1" si="1"/>
        <v>44430</v>
      </c>
      <c r="E39" s="279">
        <f t="shared" si="2"/>
        <v>91233.75466666666</v>
      </c>
      <c r="F39" s="279">
        <f t="shared" si="3"/>
        <v>4072.935476190476</v>
      </c>
      <c r="G39" s="280">
        <f t="shared" si="0"/>
        <v>95306.690142857144</v>
      </c>
      <c r="H39" s="281">
        <f t="shared" si="4"/>
        <v>2954507.3944285745</v>
      </c>
    </row>
    <row r="40" spans="1:8" s="245" customFormat="1" ht="14.25" customHeight="1">
      <c r="A40" s="277">
        <v>16</v>
      </c>
      <c r="B40" s="277"/>
      <c r="C40" s="277" t="s">
        <v>21</v>
      </c>
      <c r="D40" s="278">
        <f t="shared" ca="1" si="1"/>
        <v>44461</v>
      </c>
      <c r="E40" s="279">
        <f t="shared" si="2"/>
        <v>91233.75466666666</v>
      </c>
      <c r="F40" s="279">
        <f t="shared" si="3"/>
        <v>4072.935476190476</v>
      </c>
      <c r="G40" s="280">
        <f t="shared" si="0"/>
        <v>95306.690142857144</v>
      </c>
      <c r="H40" s="281">
        <f t="shared" si="4"/>
        <v>2859200.7042857176</v>
      </c>
    </row>
    <row r="41" spans="1:8" s="245" customFormat="1" ht="14.25" customHeight="1">
      <c r="A41" s="277">
        <v>17</v>
      </c>
      <c r="B41" s="277"/>
      <c r="C41" s="277" t="s">
        <v>22</v>
      </c>
      <c r="D41" s="278">
        <f t="shared" ca="1" si="1"/>
        <v>44491</v>
      </c>
      <c r="E41" s="279">
        <f t="shared" si="2"/>
        <v>91233.75466666666</v>
      </c>
      <c r="F41" s="279">
        <f t="shared" si="3"/>
        <v>4072.935476190476</v>
      </c>
      <c r="G41" s="280">
        <f t="shared" si="0"/>
        <v>95306.690142857144</v>
      </c>
      <c r="H41" s="281">
        <f t="shared" si="4"/>
        <v>2763894.0141428607</v>
      </c>
    </row>
    <row r="42" spans="1:8" s="245" customFormat="1" ht="14.25" customHeight="1">
      <c r="A42" s="277">
        <v>18</v>
      </c>
      <c r="B42" s="277"/>
      <c r="C42" s="277" t="s">
        <v>23</v>
      </c>
      <c r="D42" s="278">
        <f t="shared" ca="1" si="1"/>
        <v>44522</v>
      </c>
      <c r="E42" s="279">
        <f t="shared" si="2"/>
        <v>91233.75466666666</v>
      </c>
      <c r="F42" s="279">
        <f t="shared" si="3"/>
        <v>4072.935476190476</v>
      </c>
      <c r="G42" s="280">
        <f t="shared" si="0"/>
        <v>95306.690142857144</v>
      </c>
      <c r="H42" s="281">
        <f t="shared" si="4"/>
        <v>2668587.3240000037</v>
      </c>
    </row>
    <row r="43" spans="1:8" s="245" customFormat="1" ht="14.25" customHeight="1">
      <c r="A43" s="277">
        <v>19</v>
      </c>
      <c r="B43" s="277"/>
      <c r="C43" s="277" t="s">
        <v>24</v>
      </c>
      <c r="D43" s="278">
        <f t="shared" ca="1" si="1"/>
        <v>44552</v>
      </c>
      <c r="E43" s="279">
        <f t="shared" si="2"/>
        <v>91233.75466666666</v>
      </c>
      <c r="F43" s="279">
        <f t="shared" si="3"/>
        <v>4072.935476190476</v>
      </c>
      <c r="G43" s="280">
        <f t="shared" si="0"/>
        <v>95306.690142857144</v>
      </c>
      <c r="H43" s="281">
        <f t="shared" si="4"/>
        <v>2573280.6338571468</v>
      </c>
    </row>
    <row r="44" spans="1:8" s="245" customFormat="1" ht="14.25" customHeight="1">
      <c r="A44" s="277">
        <v>20</v>
      </c>
      <c r="B44" s="277"/>
      <c r="C44" s="277" t="s">
        <v>25</v>
      </c>
      <c r="D44" s="278">
        <f t="shared" ca="1" si="1"/>
        <v>44583</v>
      </c>
      <c r="E44" s="279">
        <f t="shared" si="2"/>
        <v>91233.75466666666</v>
      </c>
      <c r="F44" s="279">
        <f t="shared" si="3"/>
        <v>4072.935476190476</v>
      </c>
      <c r="G44" s="280">
        <f t="shared" si="0"/>
        <v>95306.690142857144</v>
      </c>
      <c r="H44" s="281">
        <f t="shared" si="4"/>
        <v>2477973.9437142899</v>
      </c>
    </row>
    <row r="45" spans="1:8" s="245" customFormat="1" ht="14.25" customHeight="1">
      <c r="A45" s="277">
        <v>21</v>
      </c>
      <c r="B45" s="277"/>
      <c r="C45" s="277" t="s">
        <v>26</v>
      </c>
      <c r="D45" s="278">
        <f t="shared" ca="1" si="1"/>
        <v>44614</v>
      </c>
      <c r="E45" s="279">
        <f t="shared" si="2"/>
        <v>91233.75466666666</v>
      </c>
      <c r="F45" s="279">
        <f t="shared" si="3"/>
        <v>4072.935476190476</v>
      </c>
      <c r="G45" s="280">
        <f t="shared" si="0"/>
        <v>95306.690142857144</v>
      </c>
      <c r="H45" s="281">
        <f t="shared" si="4"/>
        <v>2382667.253571433</v>
      </c>
    </row>
    <row r="46" spans="1:8" s="245" customFormat="1" ht="14.25" customHeight="1">
      <c r="A46" s="277">
        <v>22</v>
      </c>
      <c r="B46" s="277"/>
      <c r="C46" s="277" t="s">
        <v>27</v>
      </c>
      <c r="D46" s="278">
        <f t="shared" ca="1" si="1"/>
        <v>44642</v>
      </c>
      <c r="E46" s="279">
        <f t="shared" si="2"/>
        <v>91233.75466666666</v>
      </c>
      <c r="F46" s="279">
        <f t="shared" si="3"/>
        <v>4072.935476190476</v>
      </c>
      <c r="G46" s="280">
        <f t="shared" si="0"/>
        <v>95306.690142857144</v>
      </c>
      <c r="H46" s="281">
        <f t="shared" si="4"/>
        <v>2287360.5634285761</v>
      </c>
    </row>
    <row r="47" spans="1:8" s="245" customFormat="1" ht="14.25" customHeight="1">
      <c r="A47" s="277">
        <v>23</v>
      </c>
      <c r="B47" s="277"/>
      <c r="C47" s="277" t="s">
        <v>28</v>
      </c>
      <c r="D47" s="278">
        <f t="shared" ca="1" si="1"/>
        <v>44673</v>
      </c>
      <c r="E47" s="279">
        <f t="shared" si="2"/>
        <v>91233.75466666666</v>
      </c>
      <c r="F47" s="279">
        <f t="shared" si="3"/>
        <v>4072.935476190476</v>
      </c>
      <c r="G47" s="280">
        <f t="shared" si="0"/>
        <v>95306.690142857144</v>
      </c>
      <c r="H47" s="281">
        <f t="shared" si="4"/>
        <v>2192053.8732857192</v>
      </c>
    </row>
    <row r="48" spans="1:8" s="245" customFormat="1" ht="14.25" customHeight="1">
      <c r="A48" s="277">
        <v>24</v>
      </c>
      <c r="B48" s="277"/>
      <c r="C48" s="277" t="s">
        <v>29</v>
      </c>
      <c r="D48" s="278">
        <f t="shared" ca="1" si="1"/>
        <v>44703</v>
      </c>
      <c r="E48" s="279">
        <f t="shared" si="2"/>
        <v>91233.75466666666</v>
      </c>
      <c r="F48" s="279">
        <f t="shared" si="3"/>
        <v>4072.935476190476</v>
      </c>
      <c r="G48" s="280">
        <f t="shared" si="0"/>
        <v>95306.690142857144</v>
      </c>
      <c r="H48" s="281">
        <f t="shared" si="4"/>
        <v>2096747.183142862</v>
      </c>
    </row>
    <row r="49" spans="1:8" s="245" customFormat="1" ht="14.25" customHeight="1">
      <c r="A49" s="277">
        <v>25</v>
      </c>
      <c r="B49" s="277"/>
      <c r="C49" s="277" t="s">
        <v>30</v>
      </c>
      <c r="D49" s="278">
        <f t="shared" ca="1" si="1"/>
        <v>44734</v>
      </c>
      <c r="E49" s="279">
        <f t="shared" si="2"/>
        <v>91233.75466666666</v>
      </c>
      <c r="F49" s="279">
        <f t="shared" si="3"/>
        <v>4072.935476190476</v>
      </c>
      <c r="G49" s="280">
        <f t="shared" si="0"/>
        <v>95306.690142857144</v>
      </c>
      <c r="H49" s="281">
        <f t="shared" si="4"/>
        <v>2001440.4930000049</v>
      </c>
    </row>
    <row r="50" spans="1:8" s="245" customFormat="1" ht="14.25" customHeight="1">
      <c r="A50" s="277">
        <v>26</v>
      </c>
      <c r="B50" s="277"/>
      <c r="C50" s="277" t="s">
        <v>48</v>
      </c>
      <c r="D50" s="278">
        <f t="shared" ca="1" si="1"/>
        <v>44764</v>
      </c>
      <c r="E50" s="279">
        <f t="shared" si="2"/>
        <v>91233.75466666666</v>
      </c>
      <c r="F50" s="279">
        <f t="shared" si="3"/>
        <v>4072.935476190476</v>
      </c>
      <c r="G50" s="280">
        <f t="shared" si="0"/>
        <v>95306.690142857144</v>
      </c>
      <c r="H50" s="281">
        <f t="shared" si="4"/>
        <v>1906133.8028571478</v>
      </c>
    </row>
    <row r="51" spans="1:8" s="245" customFormat="1" ht="14.25" customHeight="1">
      <c r="A51" s="277">
        <v>27</v>
      </c>
      <c r="B51" s="277"/>
      <c r="C51" s="277" t="s">
        <v>49</v>
      </c>
      <c r="D51" s="278">
        <f t="shared" ca="1" si="1"/>
        <v>44795</v>
      </c>
      <c r="E51" s="279">
        <f t="shared" si="2"/>
        <v>91233.75466666666</v>
      </c>
      <c r="F51" s="279">
        <f t="shared" si="3"/>
        <v>4072.935476190476</v>
      </c>
      <c r="G51" s="280">
        <f t="shared" si="0"/>
        <v>95306.690142857144</v>
      </c>
      <c r="H51" s="281">
        <f t="shared" si="4"/>
        <v>1810827.1127142906</v>
      </c>
    </row>
    <row r="52" spans="1:8" s="245" customFormat="1" ht="14.25" customHeight="1">
      <c r="A52" s="277">
        <v>28</v>
      </c>
      <c r="B52" s="277"/>
      <c r="C52" s="277" t="s">
        <v>50</v>
      </c>
      <c r="D52" s="278">
        <f t="shared" ca="1" si="1"/>
        <v>44826</v>
      </c>
      <c r="E52" s="279">
        <f t="shared" si="2"/>
        <v>91233.75466666666</v>
      </c>
      <c r="F52" s="279">
        <f t="shared" si="3"/>
        <v>4072.935476190476</v>
      </c>
      <c r="G52" s="280">
        <f t="shared" si="0"/>
        <v>95306.690142857144</v>
      </c>
      <c r="H52" s="281">
        <f t="shared" si="4"/>
        <v>1715520.4225714335</v>
      </c>
    </row>
    <row r="53" spans="1:8" s="245" customFormat="1" ht="14.25" customHeight="1">
      <c r="A53" s="277">
        <v>29</v>
      </c>
      <c r="B53" s="277"/>
      <c r="C53" s="277" t="s">
        <v>51</v>
      </c>
      <c r="D53" s="278">
        <f t="shared" ca="1" si="1"/>
        <v>44856</v>
      </c>
      <c r="E53" s="279">
        <f t="shared" si="2"/>
        <v>91233.75466666666</v>
      </c>
      <c r="F53" s="279">
        <f t="shared" si="3"/>
        <v>4072.935476190476</v>
      </c>
      <c r="G53" s="280">
        <f t="shared" si="0"/>
        <v>95306.690142857144</v>
      </c>
      <c r="H53" s="281">
        <f t="shared" si="4"/>
        <v>1620213.7324285763</v>
      </c>
    </row>
    <row r="54" spans="1:8" s="245" customFormat="1" ht="14.25" customHeight="1">
      <c r="A54" s="277">
        <v>30</v>
      </c>
      <c r="B54" s="277"/>
      <c r="C54" s="277" t="s">
        <v>52</v>
      </c>
      <c r="D54" s="278">
        <f t="shared" ca="1" si="1"/>
        <v>44887</v>
      </c>
      <c r="E54" s="279">
        <f t="shared" si="2"/>
        <v>91233.75466666666</v>
      </c>
      <c r="F54" s="279">
        <f t="shared" si="3"/>
        <v>4072.935476190476</v>
      </c>
      <c r="G54" s="280">
        <f t="shared" si="0"/>
        <v>95306.690142857144</v>
      </c>
      <c r="H54" s="281">
        <f t="shared" si="4"/>
        <v>1524907.0422857192</v>
      </c>
    </row>
    <row r="55" spans="1:8" s="245" customFormat="1" ht="14.25" customHeight="1">
      <c r="A55" s="277">
        <v>31</v>
      </c>
      <c r="B55" s="277"/>
      <c r="C55" s="277" t="s">
        <v>53</v>
      </c>
      <c r="D55" s="278">
        <f t="shared" ca="1" si="1"/>
        <v>44917</v>
      </c>
      <c r="E55" s="279">
        <f t="shared" si="2"/>
        <v>91233.75466666666</v>
      </c>
      <c r="F55" s="279">
        <f t="shared" si="3"/>
        <v>4072.935476190476</v>
      </c>
      <c r="G55" s="280">
        <f t="shared" si="0"/>
        <v>95306.690142857144</v>
      </c>
      <c r="H55" s="281">
        <f t="shared" si="4"/>
        <v>1429600.352142862</v>
      </c>
    </row>
    <row r="56" spans="1:8" s="245" customFormat="1" ht="14.25" customHeight="1">
      <c r="A56" s="277">
        <v>32</v>
      </c>
      <c r="B56" s="277"/>
      <c r="C56" s="277" t="s">
        <v>92</v>
      </c>
      <c r="D56" s="278">
        <f t="shared" ca="1" si="1"/>
        <v>44948</v>
      </c>
      <c r="E56" s="279">
        <f t="shared" si="2"/>
        <v>91233.75466666666</v>
      </c>
      <c r="F56" s="279">
        <f t="shared" si="3"/>
        <v>4072.935476190476</v>
      </c>
      <c r="G56" s="280">
        <f t="shared" si="0"/>
        <v>95306.690142857144</v>
      </c>
      <c r="H56" s="281">
        <f t="shared" si="4"/>
        <v>1334293.6620000049</v>
      </c>
    </row>
    <row r="57" spans="1:8" s="245" customFormat="1" ht="14.25" customHeight="1">
      <c r="A57" s="277">
        <v>33</v>
      </c>
      <c r="B57" s="277"/>
      <c r="C57" s="277" t="s">
        <v>93</v>
      </c>
      <c r="D57" s="278">
        <f t="shared" ca="1" si="1"/>
        <v>44979</v>
      </c>
      <c r="E57" s="279">
        <f t="shared" si="2"/>
        <v>91233.75466666666</v>
      </c>
      <c r="F57" s="279">
        <f t="shared" si="3"/>
        <v>4072.935476190476</v>
      </c>
      <c r="G57" s="280">
        <f t="shared" si="0"/>
        <v>95306.690142857144</v>
      </c>
      <c r="H57" s="281">
        <f t="shared" si="4"/>
        <v>1238986.9718571478</v>
      </c>
    </row>
    <row r="58" spans="1:8" s="245" customFormat="1" ht="14.25" customHeight="1">
      <c r="A58" s="277">
        <v>34</v>
      </c>
      <c r="B58" s="277"/>
      <c r="C58" s="277" t="s">
        <v>94</v>
      </c>
      <c r="D58" s="278">
        <f t="shared" ca="1" si="1"/>
        <v>45007</v>
      </c>
      <c r="E58" s="279">
        <f t="shared" si="2"/>
        <v>91233.75466666666</v>
      </c>
      <c r="F58" s="279">
        <f t="shared" si="3"/>
        <v>4072.935476190476</v>
      </c>
      <c r="G58" s="280">
        <f t="shared" si="0"/>
        <v>95306.690142857144</v>
      </c>
      <c r="H58" s="281">
        <f t="shared" si="4"/>
        <v>1143680.2817142906</v>
      </c>
    </row>
    <row r="59" spans="1:8" s="245" customFormat="1" ht="14.25" customHeight="1">
      <c r="A59" s="277">
        <v>35</v>
      </c>
      <c r="B59" s="277"/>
      <c r="C59" s="277" t="s">
        <v>95</v>
      </c>
      <c r="D59" s="278">
        <f t="shared" ca="1" si="1"/>
        <v>45038</v>
      </c>
      <c r="E59" s="279">
        <f t="shared" si="2"/>
        <v>91233.75466666666</v>
      </c>
      <c r="F59" s="279">
        <f t="shared" si="3"/>
        <v>4072.935476190476</v>
      </c>
      <c r="G59" s="280">
        <f t="shared" si="0"/>
        <v>95306.690142857144</v>
      </c>
      <c r="H59" s="281">
        <f t="shared" si="4"/>
        <v>1048373.5915714335</v>
      </c>
    </row>
    <row r="60" spans="1:8" s="245" customFormat="1" ht="14.25" customHeight="1">
      <c r="A60" s="277">
        <v>36</v>
      </c>
      <c r="B60" s="277"/>
      <c r="C60" s="277" t="s">
        <v>96</v>
      </c>
      <c r="D60" s="278">
        <f t="shared" ca="1" si="1"/>
        <v>45068</v>
      </c>
      <c r="E60" s="279">
        <f t="shared" si="2"/>
        <v>91233.75466666666</v>
      </c>
      <c r="F60" s="279">
        <f t="shared" si="3"/>
        <v>4072.935476190476</v>
      </c>
      <c r="G60" s="280">
        <f t="shared" si="0"/>
        <v>95306.690142857144</v>
      </c>
      <c r="H60" s="281">
        <f t="shared" si="4"/>
        <v>953066.90142857633</v>
      </c>
    </row>
    <row r="61" spans="1:8" s="245" customFormat="1" ht="14.25" customHeight="1">
      <c r="A61" s="277">
        <v>37</v>
      </c>
      <c r="B61" s="277"/>
      <c r="C61" s="277" t="s">
        <v>97</v>
      </c>
      <c r="D61" s="278">
        <f t="shared" ca="1" si="1"/>
        <v>45099</v>
      </c>
      <c r="E61" s="279">
        <f t="shared" si="2"/>
        <v>91233.75466666666</v>
      </c>
      <c r="F61" s="279">
        <f t="shared" si="3"/>
        <v>4072.935476190476</v>
      </c>
      <c r="G61" s="280">
        <f t="shared" si="0"/>
        <v>95306.690142857144</v>
      </c>
      <c r="H61" s="281">
        <f t="shared" si="4"/>
        <v>857760.21128571918</v>
      </c>
    </row>
    <row r="62" spans="1:8" s="245" customFormat="1" ht="14.25" customHeight="1">
      <c r="A62" s="277">
        <v>38</v>
      </c>
      <c r="B62" s="277"/>
      <c r="C62" s="277" t="s">
        <v>98</v>
      </c>
      <c r="D62" s="278">
        <f t="shared" ca="1" si="1"/>
        <v>45129</v>
      </c>
      <c r="E62" s="279">
        <f t="shared" si="2"/>
        <v>91233.75466666666</v>
      </c>
      <c r="F62" s="279">
        <f t="shared" si="3"/>
        <v>4072.935476190476</v>
      </c>
      <c r="G62" s="280">
        <f t="shared" si="0"/>
        <v>95306.690142857144</v>
      </c>
      <c r="H62" s="281">
        <f t="shared" si="4"/>
        <v>762453.52114286204</v>
      </c>
    </row>
    <row r="63" spans="1:8" s="245" customFormat="1" ht="14.25" customHeight="1">
      <c r="A63" s="277">
        <v>39</v>
      </c>
      <c r="B63" s="277"/>
      <c r="C63" s="277" t="s">
        <v>99</v>
      </c>
      <c r="D63" s="278">
        <f t="shared" ca="1" si="1"/>
        <v>45160</v>
      </c>
      <c r="E63" s="279">
        <f t="shared" si="2"/>
        <v>91233.75466666666</v>
      </c>
      <c r="F63" s="279">
        <f t="shared" si="3"/>
        <v>4072.935476190476</v>
      </c>
      <c r="G63" s="280">
        <f t="shared" si="0"/>
        <v>95306.690142857144</v>
      </c>
      <c r="H63" s="281">
        <f t="shared" si="4"/>
        <v>667146.8310000049</v>
      </c>
    </row>
    <row r="64" spans="1:8" s="245" customFormat="1" ht="14.25" customHeight="1">
      <c r="A64" s="277">
        <v>40</v>
      </c>
      <c r="B64" s="277"/>
      <c r="C64" s="277" t="s">
        <v>100</v>
      </c>
      <c r="D64" s="278">
        <f t="shared" ca="1" si="1"/>
        <v>45191</v>
      </c>
      <c r="E64" s="279">
        <f t="shared" si="2"/>
        <v>91233.75466666666</v>
      </c>
      <c r="F64" s="279">
        <f t="shared" si="3"/>
        <v>4072.935476190476</v>
      </c>
      <c r="G64" s="280">
        <f t="shared" si="0"/>
        <v>95306.690142857144</v>
      </c>
      <c r="H64" s="281">
        <f t="shared" si="4"/>
        <v>571840.14085714775</v>
      </c>
    </row>
    <row r="65" spans="1:8" s="245" customFormat="1" ht="14.25" customHeight="1">
      <c r="A65" s="277">
        <v>41</v>
      </c>
      <c r="B65" s="277"/>
      <c r="C65" s="277" t="s">
        <v>101</v>
      </c>
      <c r="D65" s="278">
        <f t="shared" ca="1" si="1"/>
        <v>45221</v>
      </c>
      <c r="E65" s="279">
        <f t="shared" si="2"/>
        <v>91233.75466666666</v>
      </c>
      <c r="F65" s="279">
        <f t="shared" si="3"/>
        <v>4072.935476190476</v>
      </c>
      <c r="G65" s="280">
        <f t="shared" si="0"/>
        <v>95306.690142857144</v>
      </c>
      <c r="H65" s="281">
        <f t="shared" si="4"/>
        <v>476533.45071429061</v>
      </c>
    </row>
    <row r="66" spans="1:8" s="245" customFormat="1" ht="14.25" customHeight="1">
      <c r="A66" s="277">
        <v>42</v>
      </c>
      <c r="B66" s="277"/>
      <c r="C66" s="277" t="s">
        <v>102</v>
      </c>
      <c r="D66" s="278">
        <f t="shared" ca="1" si="1"/>
        <v>45252</v>
      </c>
      <c r="E66" s="279">
        <f t="shared" si="2"/>
        <v>91233.75466666666</v>
      </c>
      <c r="F66" s="279">
        <f t="shared" si="3"/>
        <v>4072.935476190476</v>
      </c>
      <c r="G66" s="280">
        <f t="shared" si="0"/>
        <v>95306.690142857144</v>
      </c>
      <c r="H66" s="281">
        <f t="shared" si="4"/>
        <v>381226.76057143346</v>
      </c>
    </row>
    <row r="67" spans="1:8" s="245" customFormat="1" ht="14.25" customHeight="1">
      <c r="A67" s="277">
        <v>43</v>
      </c>
      <c r="B67" s="277"/>
      <c r="C67" s="277" t="s">
        <v>103</v>
      </c>
      <c r="D67" s="278">
        <f t="shared" ca="1" si="1"/>
        <v>45282</v>
      </c>
      <c r="E67" s="279">
        <f t="shared" si="2"/>
        <v>91233.75466666666</v>
      </c>
      <c r="F67" s="279">
        <f t="shared" si="3"/>
        <v>4072.935476190476</v>
      </c>
      <c r="G67" s="280">
        <f t="shared" si="0"/>
        <v>95306.690142857144</v>
      </c>
      <c r="H67" s="281">
        <f t="shared" si="4"/>
        <v>285920.07042857632</v>
      </c>
    </row>
    <row r="68" spans="1:8" s="245" customFormat="1" ht="14.25" customHeight="1">
      <c r="A68" s="277">
        <v>44</v>
      </c>
      <c r="B68" s="277"/>
      <c r="C68" s="277" t="s">
        <v>104</v>
      </c>
      <c r="D68" s="278">
        <f t="shared" ca="1" si="1"/>
        <v>45313</v>
      </c>
      <c r="E68" s="279">
        <f t="shared" si="2"/>
        <v>91233.75466666666</v>
      </c>
      <c r="F68" s="279">
        <f t="shared" si="3"/>
        <v>4072.935476190476</v>
      </c>
      <c r="G68" s="280">
        <f t="shared" si="0"/>
        <v>95306.690142857144</v>
      </c>
      <c r="H68" s="281">
        <f t="shared" si="4"/>
        <v>190613.38028571918</v>
      </c>
    </row>
    <row r="69" spans="1:8" s="245" customFormat="1" ht="14.25" customHeight="1">
      <c r="A69" s="277">
        <v>45</v>
      </c>
      <c r="B69" s="277"/>
      <c r="C69" s="277" t="s">
        <v>105</v>
      </c>
      <c r="D69" s="278">
        <f t="shared" ca="1" si="1"/>
        <v>45344</v>
      </c>
      <c r="E69" s="279">
        <f t="shared" si="2"/>
        <v>91233.75466666666</v>
      </c>
      <c r="F69" s="279">
        <f t="shared" si="3"/>
        <v>4072.935476190476</v>
      </c>
      <c r="G69" s="280">
        <f t="shared" si="0"/>
        <v>95306.690142857144</v>
      </c>
      <c r="H69" s="281">
        <f t="shared" si="4"/>
        <v>95306.690142862033</v>
      </c>
    </row>
    <row r="70" spans="1:8" s="245" customFormat="1" ht="14.25" customHeight="1">
      <c r="A70" s="277">
        <v>46</v>
      </c>
      <c r="B70" s="277"/>
      <c r="C70" s="277" t="s">
        <v>106</v>
      </c>
      <c r="D70" s="278">
        <f t="shared" ca="1" si="1"/>
        <v>45373</v>
      </c>
      <c r="E70" s="279">
        <f t="shared" si="2"/>
        <v>91233.75466666666</v>
      </c>
      <c r="F70" s="279">
        <f t="shared" si="3"/>
        <v>4072.935476190476</v>
      </c>
      <c r="G70" s="280">
        <f t="shared" si="0"/>
        <v>95306.690142857144</v>
      </c>
      <c r="H70" s="281">
        <f t="shared" si="4"/>
        <v>4.8894435167312622E-9</v>
      </c>
    </row>
    <row r="71" spans="1:8" s="245" customFormat="1" ht="14.25" customHeight="1">
      <c r="A71" s="446" t="s">
        <v>16</v>
      </c>
      <c r="B71" s="447"/>
      <c r="C71" s="447"/>
      <c r="D71" s="448"/>
      <c r="E71" s="284">
        <f>SUM(E23:E70)</f>
        <v>8211037.9199999925</v>
      </c>
      <c r="F71" s="284">
        <f>SUM(F23:F70)</f>
        <v>366564.19285714254</v>
      </c>
      <c r="G71" s="284">
        <f>SUM(G23:G70)</f>
        <v>8577602.1128571332</v>
      </c>
      <c r="H71" s="285"/>
    </row>
    <row r="72" spans="1:8">
      <c r="C72" s="287"/>
      <c r="D72" s="288"/>
      <c r="E72" s="289"/>
      <c r="F72" s="289"/>
      <c r="G72" s="289"/>
    </row>
    <row r="73" spans="1:8">
      <c r="A73" s="439" t="s">
        <v>364</v>
      </c>
      <c r="B73" s="439"/>
      <c r="C73" s="439"/>
      <c r="D73" s="439"/>
      <c r="E73" s="439"/>
      <c r="F73" s="439"/>
      <c r="G73" s="439"/>
      <c r="H73" s="439"/>
    </row>
    <row r="74" spans="1:8" ht="30.75" customHeight="1">
      <c r="A74" s="449" t="s">
        <v>365</v>
      </c>
      <c r="B74" s="449"/>
      <c r="C74" s="449"/>
      <c r="D74" s="449"/>
      <c r="E74" s="449"/>
      <c r="F74" s="449"/>
      <c r="G74" s="449"/>
      <c r="H74" s="449"/>
    </row>
    <row r="75" spans="1:8" ht="16.5" customHeight="1">
      <c r="A75" s="439" t="s">
        <v>366</v>
      </c>
      <c r="B75" s="439"/>
      <c r="C75" s="439"/>
      <c r="D75" s="439"/>
      <c r="E75" s="439"/>
      <c r="F75" s="439"/>
      <c r="G75" s="439"/>
      <c r="H75" s="439"/>
    </row>
    <row r="76" spans="1:8" ht="16.5" customHeight="1">
      <c r="A76" s="439" t="s">
        <v>367</v>
      </c>
      <c r="B76" s="439"/>
      <c r="C76" s="439"/>
      <c r="D76" s="439"/>
      <c r="E76" s="439"/>
      <c r="F76" s="439"/>
      <c r="G76" s="439"/>
      <c r="H76" s="439"/>
    </row>
    <row r="77" spans="1:8" ht="16.5" customHeight="1">
      <c r="A77" s="439" t="s">
        <v>368</v>
      </c>
      <c r="B77" s="439"/>
      <c r="C77" s="439"/>
      <c r="D77" s="439"/>
      <c r="E77" s="439"/>
      <c r="F77" s="439"/>
      <c r="G77" s="439"/>
      <c r="H77" s="439"/>
    </row>
    <row r="78" spans="1:8" ht="110.25" customHeight="1">
      <c r="A78" s="439" t="s">
        <v>369</v>
      </c>
      <c r="B78" s="439"/>
      <c r="C78" s="439"/>
      <c r="D78" s="439"/>
      <c r="E78" s="439"/>
      <c r="F78" s="439"/>
      <c r="G78" s="439"/>
      <c r="H78" s="439"/>
    </row>
    <row r="79" spans="1:8" ht="45" customHeight="1">
      <c r="A79" s="439" t="s">
        <v>370</v>
      </c>
      <c r="B79" s="439"/>
      <c r="C79" s="439"/>
      <c r="D79" s="439"/>
      <c r="E79" s="439"/>
      <c r="F79" s="439"/>
      <c r="G79" s="439"/>
      <c r="H79" s="439"/>
    </row>
    <row r="80" spans="1:8" ht="19.5" customHeight="1">
      <c r="A80" s="439" t="s">
        <v>371</v>
      </c>
      <c r="B80" s="439"/>
      <c r="C80" s="439"/>
      <c r="D80" s="439"/>
      <c r="E80" s="439"/>
      <c r="F80" s="439"/>
      <c r="G80" s="439"/>
      <c r="H80" s="439"/>
    </row>
    <row r="81" spans="1:8">
      <c r="A81" s="439"/>
      <c r="B81" s="439"/>
      <c r="C81" s="439"/>
      <c r="D81" s="439"/>
      <c r="E81" s="439"/>
      <c r="F81" s="439"/>
      <c r="G81" s="439"/>
      <c r="H81" s="439"/>
    </row>
    <row r="82" spans="1:8">
      <c r="A82" s="233" t="s">
        <v>17</v>
      </c>
      <c r="G82" s="230"/>
    </row>
    <row r="83" spans="1:8">
      <c r="G83" s="230"/>
    </row>
    <row r="84" spans="1:8" ht="15" customHeight="1">
      <c r="A84" s="290"/>
      <c r="B84" s="290"/>
      <c r="C84" s="290"/>
      <c r="E84" s="290"/>
      <c r="F84" s="290"/>
      <c r="G84" s="291"/>
    </row>
    <row r="85" spans="1:8">
      <c r="A85" s="452" t="s">
        <v>355</v>
      </c>
      <c r="B85" s="452"/>
      <c r="C85" s="452"/>
      <c r="E85" s="452" t="s">
        <v>18</v>
      </c>
      <c r="F85" s="452"/>
      <c r="G85" s="452"/>
    </row>
  </sheetData>
  <sheetProtection password="CAF1" sheet="1" objects="1" scenarios="1" selectLockedCells="1"/>
  <mergeCells count="21">
    <mergeCell ref="A79:H79"/>
    <mergeCell ref="A80:H80"/>
    <mergeCell ref="A81:H81"/>
    <mergeCell ref="A85:C85"/>
    <mergeCell ref="E85:G85"/>
    <mergeCell ref="H1:H2"/>
    <mergeCell ref="C5:H5"/>
    <mergeCell ref="C6:H6"/>
    <mergeCell ref="C7:H7"/>
    <mergeCell ref="C8:H8"/>
    <mergeCell ref="A71:D71"/>
    <mergeCell ref="A22:G22"/>
    <mergeCell ref="A9:B9"/>
    <mergeCell ref="C9:H9"/>
    <mergeCell ref="C10:H10"/>
    <mergeCell ref="A78:H78"/>
    <mergeCell ref="A73:H73"/>
    <mergeCell ref="A74:H74"/>
    <mergeCell ref="A75:H75"/>
    <mergeCell ref="A76:H76"/>
    <mergeCell ref="A77:H77"/>
  </mergeCells>
  <hyperlinks>
    <hyperlink ref="J3" location="'DATA SHEET'!A1" display="Return to Data Sheet" xr:uid="{00000000-0004-0000-1900-000000000000}"/>
    <hyperlink ref="C1" location="'DATA SHEET'!A1" display="HIGHLANDS PRIME, INC." xr:uid="{00000000-0004-0000-1900-000001000000}"/>
  </hyperlinks>
  <pageMargins left="0.7" right="0.7" top="0.75" bottom="0.75" header="0.3" footer="0.3"/>
  <pageSetup paperSize="258" scale="5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6">
    <tabColor rgb="FF389E8F"/>
    <pageSetUpPr fitToPage="1"/>
  </sheetPr>
  <dimension ref="A1:S95"/>
  <sheetViews>
    <sheetView showGridLines="0" zoomScaleNormal="100" workbookViewId="0">
      <selection activeCell="C15" sqref="C15"/>
    </sheetView>
  </sheetViews>
  <sheetFormatPr baseColWidth="10" defaultColWidth="0" defaultRowHeight="14" zeroHeight="1"/>
  <cols>
    <col min="1" max="1" width="11.83203125" style="37" customWidth="1"/>
    <col min="2" max="2" width="10.5" style="37" customWidth="1"/>
    <col min="3" max="3" width="24.1640625" style="37" customWidth="1"/>
    <col min="4" max="4" width="16.6640625" style="38" customWidth="1"/>
    <col min="5" max="5" width="13.6640625" style="37" bestFit="1" customWidth="1"/>
    <col min="6" max="6" width="11" style="37" bestFit="1" customWidth="1"/>
    <col min="7" max="7" width="12.5" style="39" bestFit="1" customWidth="1"/>
    <col min="8" max="8" width="15.83203125" style="37" bestFit="1" customWidth="1"/>
    <col min="9" max="12" width="9.1640625" style="37" customWidth="1"/>
    <col min="13" max="19" width="0" style="37" hidden="1" customWidth="1"/>
    <col min="20" max="16384" width="9.1640625" style="37" hidden="1"/>
  </cols>
  <sheetData>
    <row r="1" spans="1:10" ht="12.75" customHeight="1">
      <c r="C1" s="240" t="s">
        <v>35</v>
      </c>
      <c r="H1" s="478" t="s">
        <v>66</v>
      </c>
    </row>
    <row r="2" spans="1:10">
      <c r="C2" s="230" t="s">
        <v>348</v>
      </c>
      <c r="H2" s="478"/>
    </row>
    <row r="3" spans="1:10">
      <c r="C3" s="230" t="s">
        <v>36</v>
      </c>
    </row>
    <row r="4" spans="1:10">
      <c r="J4" s="311" t="s">
        <v>305</v>
      </c>
    </row>
    <row r="5" spans="1:10">
      <c r="A5" s="312" t="s">
        <v>0</v>
      </c>
      <c r="B5" s="340"/>
      <c r="C5" s="468" t="str">
        <f>'DATA SHEET'!D10</f>
        <v xml:space="preserve"> </v>
      </c>
      <c r="D5" s="468"/>
      <c r="E5" s="468"/>
      <c r="F5" s="468"/>
      <c r="G5" s="468"/>
      <c r="H5" s="469"/>
    </row>
    <row r="6" spans="1:10">
      <c r="A6" s="335" t="s">
        <v>31</v>
      </c>
      <c r="B6" s="341"/>
      <c r="C6" s="456" t="str">
        <f>VLOOKUP('DATA SHEET'!$D$11,' Garden Suites PL'!C6:F28,1,FALSE)</f>
        <v>GA</v>
      </c>
      <c r="D6" s="456"/>
      <c r="E6" s="456"/>
      <c r="F6" s="456"/>
      <c r="G6" s="456"/>
      <c r="H6" s="457"/>
    </row>
    <row r="7" spans="1:10">
      <c r="A7" s="335" t="s">
        <v>37</v>
      </c>
      <c r="B7" s="341"/>
      <c r="C7" s="470">
        <f>VLOOKUP('DATA SHEET'!D11,' Garden Suites PL'!C6:F28,3,0)</f>
        <v>67.900000000000006</v>
      </c>
      <c r="D7" s="470"/>
      <c r="E7" s="470"/>
      <c r="F7" s="470"/>
      <c r="G7" s="470"/>
      <c r="H7" s="471"/>
    </row>
    <row r="8" spans="1:10">
      <c r="A8" s="246" t="s">
        <v>352</v>
      </c>
      <c r="B8" s="286"/>
      <c r="C8" s="458" t="str">
        <f>VLOOKUP('DATA SHEET'!D11,' Garden Suites PL'!C6:D28,2,0)</f>
        <v>1-Bedroom Terrace Suite</v>
      </c>
      <c r="D8" s="458"/>
      <c r="E8" s="458"/>
      <c r="F8" s="458"/>
      <c r="G8" s="458"/>
      <c r="H8" s="459"/>
    </row>
    <row r="9" spans="1:10">
      <c r="A9" s="438" t="s">
        <v>356</v>
      </c>
      <c r="B9" s="436"/>
      <c r="C9" s="472">
        <f>VLOOKUP('DATA SHEET'!D11,' Garden Suites PL'!C6:H28,5,0)</f>
        <v>9961680</v>
      </c>
      <c r="D9" s="472"/>
      <c r="E9" s="472"/>
      <c r="F9" s="472"/>
      <c r="G9" s="472"/>
      <c r="H9" s="473"/>
    </row>
    <row r="10" spans="1:10">
      <c r="A10" s="338" t="s">
        <v>33</v>
      </c>
      <c r="B10" s="342"/>
      <c r="C10" s="474" t="str">
        <f>+'DATA SHEET'!D21</f>
        <v>20% DP, 80% over 54 months</v>
      </c>
      <c r="D10" s="474"/>
      <c r="E10" s="474"/>
      <c r="F10" s="474"/>
      <c r="G10" s="474"/>
      <c r="H10" s="475"/>
    </row>
    <row r="11" spans="1:10">
      <c r="E11" s="314"/>
    </row>
    <row r="12" spans="1:10">
      <c r="A12" s="39" t="s">
        <v>55</v>
      </c>
      <c r="B12" s="39"/>
    </row>
    <row r="13" spans="1:10">
      <c r="A13" s="233" t="s">
        <v>359</v>
      </c>
      <c r="D13" s="194">
        <f>(C9-650000)</f>
        <v>9311680</v>
      </c>
      <c r="E13" s="316" t="str">
        <f>LEFT(C8,9)</f>
        <v>1-Bedroom</v>
      </c>
      <c r="F13" s="316"/>
      <c r="G13" s="352"/>
      <c r="H13" s="194"/>
    </row>
    <row r="14" spans="1:10">
      <c r="A14" s="228" t="s">
        <v>71</v>
      </c>
      <c r="B14" s="228"/>
      <c r="C14" s="369">
        <v>0.02</v>
      </c>
      <c r="D14" s="256">
        <f>IF(C14&lt;=2%,(D13*C14),"BEYOND MAX DISC.")</f>
        <v>186233.60000000001</v>
      </c>
      <c r="E14" s="38"/>
      <c r="F14" s="38"/>
      <c r="G14" s="315"/>
      <c r="H14" s="194"/>
    </row>
    <row r="15" spans="1:10">
      <c r="A15" s="228" t="s">
        <v>378</v>
      </c>
      <c r="B15" s="228"/>
      <c r="C15" s="368">
        <v>0.02</v>
      </c>
      <c r="D15" s="194">
        <f>IF(C15&lt;=2%,((D13-D14)*C15),"BEYOND MAX DISC.")</f>
        <v>182508.92800000001</v>
      </c>
      <c r="E15" s="38"/>
      <c r="F15" s="38"/>
      <c r="G15" s="315"/>
      <c r="H15" s="194"/>
    </row>
    <row r="16" spans="1:10">
      <c r="A16" s="228" t="s">
        <v>379</v>
      </c>
      <c r="B16" s="228"/>
      <c r="C16" s="228"/>
      <c r="D16" s="349">
        <v>230000</v>
      </c>
      <c r="E16" s="38"/>
      <c r="F16" s="38"/>
      <c r="G16" s="315"/>
      <c r="H16" s="194"/>
    </row>
    <row r="17" spans="1:19">
      <c r="A17" s="230" t="s">
        <v>361</v>
      </c>
      <c r="B17" s="39"/>
      <c r="C17" s="234"/>
      <c r="D17" s="318">
        <f>+D13-SUM(D14:D16)</f>
        <v>8712937.4719999991</v>
      </c>
      <c r="E17" s="38"/>
      <c r="F17" s="38"/>
      <c r="G17" s="315"/>
      <c r="H17" s="194"/>
    </row>
    <row r="18" spans="1:19" s="233" customFormat="1">
      <c r="A18" s="267" t="s">
        <v>350</v>
      </c>
      <c r="B18" s="267"/>
      <c r="C18" s="229">
        <v>0.05</v>
      </c>
      <c r="D18" s="319">
        <f>(D17/1.12)*C18</f>
        <v>388970.42285714281</v>
      </c>
      <c r="E18" s="252"/>
      <c r="F18" s="252"/>
      <c r="G18" s="253"/>
      <c r="H18" s="252"/>
      <c r="I18" s="252"/>
      <c r="J18" s="252"/>
      <c r="K18" s="252"/>
      <c r="L18" s="252"/>
      <c r="M18" s="252"/>
      <c r="N18" s="252"/>
      <c r="O18" s="252"/>
      <c r="P18" s="252"/>
      <c r="Q18" s="254"/>
      <c r="R18" s="254"/>
      <c r="S18" s="255"/>
    </row>
    <row r="19" spans="1:19" s="233" customFormat="1" ht="15" thickBot="1">
      <c r="A19" s="230" t="s">
        <v>58</v>
      </c>
      <c r="B19" s="230"/>
      <c r="C19" s="230"/>
      <c r="D19" s="270">
        <f>+D17+D18</f>
        <v>9101907.8948571421</v>
      </c>
      <c r="E19" s="252"/>
      <c r="F19" s="252"/>
      <c r="G19" s="253"/>
      <c r="H19" s="252"/>
      <c r="I19" s="252"/>
      <c r="J19" s="252"/>
      <c r="K19" s="252"/>
      <c r="L19" s="252"/>
      <c r="M19" s="252"/>
      <c r="N19" s="252"/>
      <c r="O19" s="252"/>
      <c r="P19" s="252"/>
      <c r="Q19" s="254"/>
      <c r="R19" s="254"/>
      <c r="S19" s="255"/>
    </row>
    <row r="20" spans="1:19" ht="15" thickTop="1"/>
    <row r="21" spans="1:19" ht="13.5" customHeight="1">
      <c r="A21" s="271" t="s">
        <v>34</v>
      </c>
      <c r="B21" s="271" t="s">
        <v>347</v>
      </c>
      <c r="C21" s="271" t="s">
        <v>2</v>
      </c>
      <c r="D21" s="271" t="s">
        <v>343</v>
      </c>
      <c r="E21" s="271" t="s">
        <v>363</v>
      </c>
      <c r="F21" s="271" t="s">
        <v>344</v>
      </c>
      <c r="G21" s="272" t="s">
        <v>349</v>
      </c>
      <c r="H21" s="271" t="s">
        <v>345</v>
      </c>
    </row>
    <row r="22" spans="1:19" ht="13.5" customHeight="1">
      <c r="A22" s="453" t="s">
        <v>346</v>
      </c>
      <c r="B22" s="454"/>
      <c r="C22" s="454"/>
      <c r="D22" s="454"/>
      <c r="E22" s="454"/>
      <c r="F22" s="454"/>
      <c r="G22" s="455"/>
      <c r="H22" s="310">
        <f>+D19</f>
        <v>9101907.8948571421</v>
      </c>
    </row>
    <row r="23" spans="1:19" ht="13.5" customHeight="1">
      <c r="A23" s="320">
        <v>0</v>
      </c>
      <c r="B23" s="320"/>
      <c r="C23" s="320" t="s">
        <v>38</v>
      </c>
      <c r="D23" s="321">
        <f ca="1">'DATA SHEET'!D9</f>
        <v>43973</v>
      </c>
      <c r="E23" s="322">
        <f>IF(E13="1-Bedroom",50000,100000)</f>
        <v>50000</v>
      </c>
      <c r="F23" s="322"/>
      <c r="G23" s="323">
        <f>+SUM(E23:F23)</f>
        <v>50000</v>
      </c>
      <c r="H23" s="324">
        <f>D19-G23</f>
        <v>9051907.8948571421</v>
      </c>
    </row>
    <row r="24" spans="1:19" ht="13.5" customHeight="1">
      <c r="A24" s="320">
        <v>1</v>
      </c>
      <c r="B24" s="325">
        <v>0.2</v>
      </c>
      <c r="C24" s="320" t="s">
        <v>68</v>
      </c>
      <c r="D24" s="321">
        <f ca="1">EDATE(D23,1)</f>
        <v>44004</v>
      </c>
      <c r="E24" s="322">
        <f>(D17*20%)-E23</f>
        <v>1692587.4944</v>
      </c>
      <c r="F24" s="322">
        <f>(D18*20%)-F23</f>
        <v>77794.084571428568</v>
      </c>
      <c r="G24" s="323">
        <f t="shared" ref="G24:G79" si="0">+SUM(E24:F24)</f>
        <v>1770381.5789714286</v>
      </c>
      <c r="H24" s="324">
        <f>H23-G24</f>
        <v>7281526.3158857133</v>
      </c>
    </row>
    <row r="25" spans="1:19" ht="13.5" customHeight="1">
      <c r="A25" s="320"/>
      <c r="B25" s="325">
        <v>0.8</v>
      </c>
      <c r="C25" s="320" t="s">
        <v>354</v>
      </c>
      <c r="D25" s="321"/>
      <c r="E25" s="322"/>
      <c r="F25" s="322"/>
      <c r="G25" s="323"/>
      <c r="H25" s="324"/>
    </row>
    <row r="26" spans="1:19" ht="13.5" customHeight="1">
      <c r="A26" s="320">
        <v>2</v>
      </c>
      <c r="B26" s="320"/>
      <c r="C26" s="320" t="s">
        <v>4</v>
      </c>
      <c r="D26" s="321">
        <f ca="1">EDATE(D24,1)</f>
        <v>44034</v>
      </c>
      <c r="E26" s="322">
        <f>($D$17*80%)/54</f>
        <v>129080.55514074073</v>
      </c>
      <c r="F26" s="322">
        <f>($D$18*80%)/54</f>
        <v>5762.5247830687831</v>
      </c>
      <c r="G26" s="323">
        <f t="shared" si="0"/>
        <v>134843.07992380951</v>
      </c>
      <c r="H26" s="324">
        <f>H24-G26</f>
        <v>7146683.2359619038</v>
      </c>
    </row>
    <row r="27" spans="1:19" ht="13.5" customHeight="1">
      <c r="A27" s="320">
        <v>3</v>
      </c>
      <c r="B27" s="320"/>
      <c r="C27" s="320" t="s">
        <v>5</v>
      </c>
      <c r="D27" s="321">
        <f t="shared" ref="D27:D79" ca="1" si="1">EDATE(D26,1)</f>
        <v>44065</v>
      </c>
      <c r="E27" s="322">
        <f t="shared" ref="E27:E79" si="2">($D$17*80%)/54</f>
        <v>129080.55514074073</v>
      </c>
      <c r="F27" s="322">
        <f t="shared" ref="F27:F79" si="3">($D$18*80%)/54</f>
        <v>5762.5247830687831</v>
      </c>
      <c r="G27" s="323">
        <f t="shared" si="0"/>
        <v>134843.07992380951</v>
      </c>
      <c r="H27" s="324">
        <f t="shared" ref="H27:H79" si="4">H26-G27</f>
        <v>7011840.1560380943</v>
      </c>
    </row>
    <row r="28" spans="1:19" ht="13.5" customHeight="1">
      <c r="A28" s="320">
        <v>4</v>
      </c>
      <c r="B28" s="320"/>
      <c r="C28" s="320" t="s">
        <v>6</v>
      </c>
      <c r="D28" s="321">
        <f t="shared" ca="1" si="1"/>
        <v>44096</v>
      </c>
      <c r="E28" s="322">
        <f t="shared" si="2"/>
        <v>129080.55514074073</v>
      </c>
      <c r="F28" s="322">
        <f t="shared" si="3"/>
        <v>5762.5247830687831</v>
      </c>
      <c r="G28" s="323">
        <f t="shared" si="0"/>
        <v>134843.07992380951</v>
      </c>
      <c r="H28" s="324">
        <f t="shared" si="4"/>
        <v>6876997.0761142848</v>
      </c>
    </row>
    <row r="29" spans="1:19" ht="13.5" customHeight="1">
      <c r="A29" s="320">
        <v>5</v>
      </c>
      <c r="B29" s="320"/>
      <c r="C29" s="320" t="s">
        <v>7</v>
      </c>
      <c r="D29" s="321">
        <f t="shared" ca="1" si="1"/>
        <v>44126</v>
      </c>
      <c r="E29" s="322">
        <f t="shared" si="2"/>
        <v>129080.55514074073</v>
      </c>
      <c r="F29" s="322">
        <f t="shared" si="3"/>
        <v>5762.5247830687831</v>
      </c>
      <c r="G29" s="323">
        <f t="shared" si="0"/>
        <v>134843.07992380951</v>
      </c>
      <c r="H29" s="324">
        <f t="shared" si="4"/>
        <v>6742153.9961904753</v>
      </c>
    </row>
    <row r="30" spans="1:19" ht="13.5" customHeight="1">
      <c r="A30" s="320">
        <v>6</v>
      </c>
      <c r="B30" s="320"/>
      <c r="C30" s="320" t="s">
        <v>8</v>
      </c>
      <c r="D30" s="321">
        <f t="shared" ca="1" si="1"/>
        <v>44157</v>
      </c>
      <c r="E30" s="322">
        <f t="shared" si="2"/>
        <v>129080.55514074073</v>
      </c>
      <c r="F30" s="322">
        <f t="shared" si="3"/>
        <v>5762.5247830687831</v>
      </c>
      <c r="G30" s="323">
        <f t="shared" si="0"/>
        <v>134843.07992380951</v>
      </c>
      <c r="H30" s="324">
        <f t="shared" si="4"/>
        <v>6607310.9162666658</v>
      </c>
    </row>
    <row r="31" spans="1:19" ht="13.5" customHeight="1">
      <c r="A31" s="320">
        <v>7</v>
      </c>
      <c r="B31" s="320"/>
      <c r="C31" s="320" t="s">
        <v>9</v>
      </c>
      <c r="D31" s="321">
        <f t="shared" ca="1" si="1"/>
        <v>44187</v>
      </c>
      <c r="E31" s="322">
        <f t="shared" si="2"/>
        <v>129080.55514074073</v>
      </c>
      <c r="F31" s="322">
        <f t="shared" si="3"/>
        <v>5762.5247830687831</v>
      </c>
      <c r="G31" s="323">
        <f t="shared" si="0"/>
        <v>134843.07992380951</v>
      </c>
      <c r="H31" s="324">
        <f t="shared" si="4"/>
        <v>6472467.8363428563</v>
      </c>
    </row>
    <row r="32" spans="1:19" ht="13.5" customHeight="1">
      <c r="A32" s="320">
        <v>8</v>
      </c>
      <c r="B32" s="320"/>
      <c r="C32" s="320" t="s">
        <v>10</v>
      </c>
      <c r="D32" s="321">
        <f t="shared" ca="1" si="1"/>
        <v>44218</v>
      </c>
      <c r="E32" s="322">
        <f t="shared" si="2"/>
        <v>129080.55514074073</v>
      </c>
      <c r="F32" s="322">
        <f t="shared" si="3"/>
        <v>5762.5247830687831</v>
      </c>
      <c r="G32" s="323">
        <f t="shared" si="0"/>
        <v>134843.07992380951</v>
      </c>
      <c r="H32" s="324">
        <f t="shared" si="4"/>
        <v>6337624.7564190468</v>
      </c>
    </row>
    <row r="33" spans="1:8" ht="13.5" customHeight="1">
      <c r="A33" s="320">
        <v>9</v>
      </c>
      <c r="B33" s="320"/>
      <c r="C33" s="320" t="s">
        <v>11</v>
      </c>
      <c r="D33" s="321">
        <f t="shared" ca="1" si="1"/>
        <v>44249</v>
      </c>
      <c r="E33" s="322">
        <f t="shared" si="2"/>
        <v>129080.55514074073</v>
      </c>
      <c r="F33" s="322">
        <f t="shared" si="3"/>
        <v>5762.5247830687831</v>
      </c>
      <c r="G33" s="323">
        <f t="shared" si="0"/>
        <v>134843.07992380951</v>
      </c>
      <c r="H33" s="324">
        <f t="shared" si="4"/>
        <v>6202781.6764952373</v>
      </c>
    </row>
    <row r="34" spans="1:8" ht="13.5" customHeight="1">
      <c r="A34" s="320">
        <v>10</v>
      </c>
      <c r="B34" s="320"/>
      <c r="C34" s="320" t="s">
        <v>12</v>
      </c>
      <c r="D34" s="321">
        <f t="shared" ca="1" si="1"/>
        <v>44277</v>
      </c>
      <c r="E34" s="322">
        <f t="shared" si="2"/>
        <v>129080.55514074073</v>
      </c>
      <c r="F34" s="322">
        <f t="shared" si="3"/>
        <v>5762.5247830687831</v>
      </c>
      <c r="G34" s="323">
        <f t="shared" si="0"/>
        <v>134843.07992380951</v>
      </c>
      <c r="H34" s="324">
        <f t="shared" si="4"/>
        <v>6067938.5965714278</v>
      </c>
    </row>
    <row r="35" spans="1:8" ht="13.5" customHeight="1">
      <c r="A35" s="320">
        <v>11</v>
      </c>
      <c r="B35" s="320"/>
      <c r="C35" s="320" t="s">
        <v>13</v>
      </c>
      <c r="D35" s="321">
        <f t="shared" ca="1" si="1"/>
        <v>44308</v>
      </c>
      <c r="E35" s="322">
        <f t="shared" si="2"/>
        <v>129080.55514074073</v>
      </c>
      <c r="F35" s="322">
        <f t="shared" si="3"/>
        <v>5762.5247830687831</v>
      </c>
      <c r="G35" s="323">
        <f t="shared" si="0"/>
        <v>134843.07992380951</v>
      </c>
      <c r="H35" s="324">
        <f t="shared" si="4"/>
        <v>5933095.5166476183</v>
      </c>
    </row>
    <row r="36" spans="1:8" ht="13.5" customHeight="1">
      <c r="A36" s="320">
        <v>12</v>
      </c>
      <c r="B36" s="320"/>
      <c r="C36" s="320" t="s">
        <v>14</v>
      </c>
      <c r="D36" s="321">
        <f t="shared" ca="1" si="1"/>
        <v>44338</v>
      </c>
      <c r="E36" s="322">
        <f t="shared" si="2"/>
        <v>129080.55514074073</v>
      </c>
      <c r="F36" s="322">
        <f t="shared" si="3"/>
        <v>5762.5247830687831</v>
      </c>
      <c r="G36" s="323">
        <f t="shared" si="0"/>
        <v>134843.07992380951</v>
      </c>
      <c r="H36" s="324">
        <f t="shared" si="4"/>
        <v>5798252.4367238088</v>
      </c>
    </row>
    <row r="37" spans="1:8" ht="13.5" customHeight="1">
      <c r="A37" s="320">
        <v>13</v>
      </c>
      <c r="B37" s="320"/>
      <c r="C37" s="320" t="s">
        <v>15</v>
      </c>
      <c r="D37" s="321">
        <f t="shared" ca="1" si="1"/>
        <v>44369</v>
      </c>
      <c r="E37" s="322">
        <f t="shared" si="2"/>
        <v>129080.55514074073</v>
      </c>
      <c r="F37" s="322">
        <f t="shared" si="3"/>
        <v>5762.5247830687831</v>
      </c>
      <c r="G37" s="323">
        <f t="shared" si="0"/>
        <v>134843.07992380951</v>
      </c>
      <c r="H37" s="324">
        <f t="shared" si="4"/>
        <v>5663409.3567999993</v>
      </c>
    </row>
    <row r="38" spans="1:8" ht="13.5" customHeight="1">
      <c r="A38" s="320">
        <v>14</v>
      </c>
      <c r="B38" s="320"/>
      <c r="C38" s="320" t="s">
        <v>19</v>
      </c>
      <c r="D38" s="321">
        <f t="shared" ca="1" si="1"/>
        <v>44399</v>
      </c>
      <c r="E38" s="322">
        <f t="shared" si="2"/>
        <v>129080.55514074073</v>
      </c>
      <c r="F38" s="322">
        <f t="shared" si="3"/>
        <v>5762.5247830687831</v>
      </c>
      <c r="G38" s="323">
        <f t="shared" si="0"/>
        <v>134843.07992380951</v>
      </c>
      <c r="H38" s="324">
        <f t="shared" si="4"/>
        <v>5528566.2768761897</v>
      </c>
    </row>
    <row r="39" spans="1:8" ht="13.5" customHeight="1">
      <c r="A39" s="320">
        <v>15</v>
      </c>
      <c r="B39" s="320"/>
      <c r="C39" s="320" t="s">
        <v>20</v>
      </c>
      <c r="D39" s="321">
        <f t="shared" ca="1" si="1"/>
        <v>44430</v>
      </c>
      <c r="E39" s="322">
        <f t="shared" si="2"/>
        <v>129080.55514074073</v>
      </c>
      <c r="F39" s="322">
        <f t="shared" si="3"/>
        <v>5762.5247830687831</v>
      </c>
      <c r="G39" s="323">
        <f t="shared" si="0"/>
        <v>134843.07992380951</v>
      </c>
      <c r="H39" s="324">
        <f t="shared" si="4"/>
        <v>5393723.1969523802</v>
      </c>
    </row>
    <row r="40" spans="1:8" ht="13.5" customHeight="1">
      <c r="A40" s="320">
        <v>16</v>
      </c>
      <c r="B40" s="320"/>
      <c r="C40" s="320" t="s">
        <v>21</v>
      </c>
      <c r="D40" s="321">
        <f t="shared" ca="1" si="1"/>
        <v>44461</v>
      </c>
      <c r="E40" s="322">
        <f t="shared" si="2"/>
        <v>129080.55514074073</v>
      </c>
      <c r="F40" s="322">
        <f t="shared" si="3"/>
        <v>5762.5247830687831</v>
      </c>
      <c r="G40" s="323">
        <f t="shared" si="0"/>
        <v>134843.07992380951</v>
      </c>
      <c r="H40" s="324">
        <f t="shared" si="4"/>
        <v>5258880.1170285707</v>
      </c>
    </row>
    <row r="41" spans="1:8" ht="13.5" customHeight="1">
      <c r="A41" s="320">
        <v>17</v>
      </c>
      <c r="B41" s="320"/>
      <c r="C41" s="320" t="s">
        <v>22</v>
      </c>
      <c r="D41" s="321">
        <f t="shared" ca="1" si="1"/>
        <v>44491</v>
      </c>
      <c r="E41" s="322">
        <f t="shared" si="2"/>
        <v>129080.55514074073</v>
      </c>
      <c r="F41" s="322">
        <f t="shared" si="3"/>
        <v>5762.5247830687831</v>
      </c>
      <c r="G41" s="323">
        <f t="shared" si="0"/>
        <v>134843.07992380951</v>
      </c>
      <c r="H41" s="324">
        <f t="shared" si="4"/>
        <v>5124037.0371047612</v>
      </c>
    </row>
    <row r="42" spans="1:8" ht="13.5" customHeight="1">
      <c r="A42" s="320">
        <v>18</v>
      </c>
      <c r="B42" s="320"/>
      <c r="C42" s="320" t="s">
        <v>23</v>
      </c>
      <c r="D42" s="321">
        <f t="shared" ca="1" si="1"/>
        <v>44522</v>
      </c>
      <c r="E42" s="322">
        <f t="shared" si="2"/>
        <v>129080.55514074073</v>
      </c>
      <c r="F42" s="322">
        <f t="shared" si="3"/>
        <v>5762.5247830687831</v>
      </c>
      <c r="G42" s="323">
        <f t="shared" si="0"/>
        <v>134843.07992380951</v>
      </c>
      <c r="H42" s="324">
        <f t="shared" si="4"/>
        <v>4989193.9571809517</v>
      </c>
    </row>
    <row r="43" spans="1:8" ht="13.5" customHeight="1">
      <c r="A43" s="320">
        <v>19</v>
      </c>
      <c r="B43" s="320"/>
      <c r="C43" s="320" t="s">
        <v>24</v>
      </c>
      <c r="D43" s="321">
        <f t="shared" ca="1" si="1"/>
        <v>44552</v>
      </c>
      <c r="E43" s="322">
        <f t="shared" si="2"/>
        <v>129080.55514074073</v>
      </c>
      <c r="F43" s="322">
        <f t="shared" si="3"/>
        <v>5762.5247830687831</v>
      </c>
      <c r="G43" s="323">
        <f t="shared" si="0"/>
        <v>134843.07992380951</v>
      </c>
      <c r="H43" s="324">
        <f t="shared" si="4"/>
        <v>4854350.8772571422</v>
      </c>
    </row>
    <row r="44" spans="1:8" ht="13.5" customHeight="1">
      <c r="A44" s="320">
        <v>20</v>
      </c>
      <c r="B44" s="320"/>
      <c r="C44" s="320" t="s">
        <v>25</v>
      </c>
      <c r="D44" s="321">
        <f t="shared" ca="1" si="1"/>
        <v>44583</v>
      </c>
      <c r="E44" s="322">
        <f t="shared" si="2"/>
        <v>129080.55514074073</v>
      </c>
      <c r="F44" s="322">
        <f t="shared" si="3"/>
        <v>5762.5247830687831</v>
      </c>
      <c r="G44" s="323">
        <f t="shared" si="0"/>
        <v>134843.07992380951</v>
      </c>
      <c r="H44" s="324">
        <f t="shared" si="4"/>
        <v>4719507.7973333327</v>
      </c>
    </row>
    <row r="45" spans="1:8" ht="13.5" customHeight="1">
      <c r="A45" s="320">
        <v>21</v>
      </c>
      <c r="B45" s="320"/>
      <c r="C45" s="320" t="s">
        <v>26</v>
      </c>
      <c r="D45" s="321">
        <f t="shared" ca="1" si="1"/>
        <v>44614</v>
      </c>
      <c r="E45" s="322">
        <f t="shared" si="2"/>
        <v>129080.55514074073</v>
      </c>
      <c r="F45" s="322">
        <f t="shared" si="3"/>
        <v>5762.5247830687831</v>
      </c>
      <c r="G45" s="323">
        <f t="shared" si="0"/>
        <v>134843.07992380951</v>
      </c>
      <c r="H45" s="324">
        <f t="shared" si="4"/>
        <v>4584664.7174095232</v>
      </c>
    </row>
    <row r="46" spans="1:8" ht="13.5" customHeight="1">
      <c r="A46" s="320">
        <v>22</v>
      </c>
      <c r="B46" s="320"/>
      <c r="C46" s="320" t="s">
        <v>27</v>
      </c>
      <c r="D46" s="321">
        <f t="shared" ca="1" si="1"/>
        <v>44642</v>
      </c>
      <c r="E46" s="322">
        <f t="shared" si="2"/>
        <v>129080.55514074073</v>
      </c>
      <c r="F46" s="322">
        <f t="shared" si="3"/>
        <v>5762.5247830687831</v>
      </c>
      <c r="G46" s="323">
        <f t="shared" si="0"/>
        <v>134843.07992380951</v>
      </c>
      <c r="H46" s="324">
        <f t="shared" si="4"/>
        <v>4449821.6374857137</v>
      </c>
    </row>
    <row r="47" spans="1:8" ht="13.5" customHeight="1">
      <c r="A47" s="320">
        <v>23</v>
      </c>
      <c r="B47" s="320"/>
      <c r="C47" s="320" t="s">
        <v>28</v>
      </c>
      <c r="D47" s="321">
        <f t="shared" ca="1" si="1"/>
        <v>44673</v>
      </c>
      <c r="E47" s="322">
        <f t="shared" si="2"/>
        <v>129080.55514074073</v>
      </c>
      <c r="F47" s="322">
        <f t="shared" si="3"/>
        <v>5762.5247830687831</v>
      </c>
      <c r="G47" s="323">
        <f t="shared" si="0"/>
        <v>134843.07992380951</v>
      </c>
      <c r="H47" s="324">
        <f t="shared" si="4"/>
        <v>4314978.5575619042</v>
      </c>
    </row>
    <row r="48" spans="1:8" ht="13.5" customHeight="1">
      <c r="A48" s="320">
        <v>24</v>
      </c>
      <c r="B48" s="320"/>
      <c r="C48" s="320" t="s">
        <v>29</v>
      </c>
      <c r="D48" s="321">
        <f t="shared" ca="1" si="1"/>
        <v>44703</v>
      </c>
      <c r="E48" s="322">
        <f t="shared" si="2"/>
        <v>129080.55514074073</v>
      </c>
      <c r="F48" s="322">
        <f t="shared" si="3"/>
        <v>5762.5247830687831</v>
      </c>
      <c r="G48" s="323">
        <f t="shared" si="0"/>
        <v>134843.07992380951</v>
      </c>
      <c r="H48" s="324">
        <f t="shared" si="4"/>
        <v>4180135.4776380947</v>
      </c>
    </row>
    <row r="49" spans="1:8" ht="13.5" customHeight="1">
      <c r="A49" s="320">
        <v>25</v>
      </c>
      <c r="B49" s="320"/>
      <c r="C49" s="320" t="s">
        <v>30</v>
      </c>
      <c r="D49" s="321">
        <f t="shared" ca="1" si="1"/>
        <v>44734</v>
      </c>
      <c r="E49" s="322">
        <f t="shared" si="2"/>
        <v>129080.55514074073</v>
      </c>
      <c r="F49" s="322">
        <f t="shared" si="3"/>
        <v>5762.5247830687831</v>
      </c>
      <c r="G49" s="323">
        <f t="shared" si="0"/>
        <v>134843.07992380951</v>
      </c>
      <c r="H49" s="324">
        <f t="shared" si="4"/>
        <v>4045292.3977142852</v>
      </c>
    </row>
    <row r="50" spans="1:8" ht="13.5" customHeight="1">
      <c r="A50" s="320">
        <v>26</v>
      </c>
      <c r="B50" s="320"/>
      <c r="C50" s="320" t="s">
        <v>48</v>
      </c>
      <c r="D50" s="321">
        <f t="shared" ca="1" si="1"/>
        <v>44764</v>
      </c>
      <c r="E50" s="322">
        <f t="shared" si="2"/>
        <v>129080.55514074073</v>
      </c>
      <c r="F50" s="322">
        <f t="shared" si="3"/>
        <v>5762.5247830687831</v>
      </c>
      <c r="G50" s="323">
        <f t="shared" si="0"/>
        <v>134843.07992380951</v>
      </c>
      <c r="H50" s="324">
        <f t="shared" si="4"/>
        <v>3910449.3177904757</v>
      </c>
    </row>
    <row r="51" spans="1:8" ht="13.5" customHeight="1">
      <c r="A51" s="320">
        <v>27</v>
      </c>
      <c r="B51" s="320"/>
      <c r="C51" s="320" t="s">
        <v>49</v>
      </c>
      <c r="D51" s="321">
        <f t="shared" ca="1" si="1"/>
        <v>44795</v>
      </c>
      <c r="E51" s="322">
        <f t="shared" si="2"/>
        <v>129080.55514074073</v>
      </c>
      <c r="F51" s="322">
        <f t="shared" si="3"/>
        <v>5762.5247830687831</v>
      </c>
      <c r="G51" s="323">
        <f t="shared" si="0"/>
        <v>134843.07992380951</v>
      </c>
      <c r="H51" s="324">
        <f t="shared" si="4"/>
        <v>3775606.2378666662</v>
      </c>
    </row>
    <row r="52" spans="1:8" ht="13.5" customHeight="1">
      <c r="A52" s="320">
        <v>28</v>
      </c>
      <c r="B52" s="320"/>
      <c r="C52" s="320" t="s">
        <v>50</v>
      </c>
      <c r="D52" s="321">
        <f t="shared" ca="1" si="1"/>
        <v>44826</v>
      </c>
      <c r="E52" s="322">
        <f t="shared" si="2"/>
        <v>129080.55514074073</v>
      </c>
      <c r="F52" s="322">
        <f t="shared" si="3"/>
        <v>5762.5247830687831</v>
      </c>
      <c r="G52" s="323">
        <f t="shared" si="0"/>
        <v>134843.07992380951</v>
      </c>
      <c r="H52" s="324">
        <f t="shared" si="4"/>
        <v>3640763.1579428567</v>
      </c>
    </row>
    <row r="53" spans="1:8" ht="13.5" customHeight="1">
      <c r="A53" s="320">
        <v>29</v>
      </c>
      <c r="B53" s="320"/>
      <c r="C53" s="320" t="s">
        <v>51</v>
      </c>
      <c r="D53" s="321">
        <f t="shared" ca="1" si="1"/>
        <v>44856</v>
      </c>
      <c r="E53" s="322">
        <f t="shared" si="2"/>
        <v>129080.55514074073</v>
      </c>
      <c r="F53" s="322">
        <f t="shared" si="3"/>
        <v>5762.5247830687831</v>
      </c>
      <c r="G53" s="323">
        <f t="shared" si="0"/>
        <v>134843.07992380951</v>
      </c>
      <c r="H53" s="324">
        <f t="shared" si="4"/>
        <v>3505920.0780190472</v>
      </c>
    </row>
    <row r="54" spans="1:8" ht="13.5" customHeight="1">
      <c r="A54" s="320">
        <v>30</v>
      </c>
      <c r="B54" s="320"/>
      <c r="C54" s="320" t="s">
        <v>52</v>
      </c>
      <c r="D54" s="321">
        <f t="shared" ca="1" si="1"/>
        <v>44887</v>
      </c>
      <c r="E54" s="322">
        <f t="shared" si="2"/>
        <v>129080.55514074073</v>
      </c>
      <c r="F54" s="322">
        <f t="shared" si="3"/>
        <v>5762.5247830687831</v>
      </c>
      <c r="G54" s="323">
        <f t="shared" si="0"/>
        <v>134843.07992380951</v>
      </c>
      <c r="H54" s="324">
        <f t="shared" si="4"/>
        <v>3371076.9980952376</v>
      </c>
    </row>
    <row r="55" spans="1:8" ht="13.5" customHeight="1">
      <c r="A55" s="320">
        <v>31</v>
      </c>
      <c r="B55" s="320"/>
      <c r="C55" s="320" t="s">
        <v>53</v>
      </c>
      <c r="D55" s="321">
        <f t="shared" ca="1" si="1"/>
        <v>44917</v>
      </c>
      <c r="E55" s="322">
        <f t="shared" si="2"/>
        <v>129080.55514074073</v>
      </c>
      <c r="F55" s="322">
        <f t="shared" si="3"/>
        <v>5762.5247830687831</v>
      </c>
      <c r="G55" s="323">
        <f t="shared" si="0"/>
        <v>134843.07992380951</v>
      </c>
      <c r="H55" s="324">
        <f t="shared" si="4"/>
        <v>3236233.9181714281</v>
      </c>
    </row>
    <row r="56" spans="1:8" ht="13.5" customHeight="1">
      <c r="A56" s="320">
        <v>32</v>
      </c>
      <c r="B56" s="320"/>
      <c r="C56" s="320" t="s">
        <v>92</v>
      </c>
      <c r="D56" s="321">
        <f t="shared" ca="1" si="1"/>
        <v>44948</v>
      </c>
      <c r="E56" s="322">
        <f t="shared" si="2"/>
        <v>129080.55514074073</v>
      </c>
      <c r="F56" s="322">
        <f t="shared" si="3"/>
        <v>5762.5247830687831</v>
      </c>
      <c r="G56" s="323">
        <f t="shared" si="0"/>
        <v>134843.07992380951</v>
      </c>
      <c r="H56" s="324">
        <f t="shared" si="4"/>
        <v>3101390.8382476186</v>
      </c>
    </row>
    <row r="57" spans="1:8" ht="13.5" customHeight="1">
      <c r="A57" s="320">
        <v>33</v>
      </c>
      <c r="B57" s="320"/>
      <c r="C57" s="320" t="s">
        <v>93</v>
      </c>
      <c r="D57" s="321">
        <f t="shared" ca="1" si="1"/>
        <v>44979</v>
      </c>
      <c r="E57" s="322">
        <f t="shared" si="2"/>
        <v>129080.55514074073</v>
      </c>
      <c r="F57" s="322">
        <f t="shared" si="3"/>
        <v>5762.5247830687831</v>
      </c>
      <c r="G57" s="323">
        <f t="shared" si="0"/>
        <v>134843.07992380951</v>
      </c>
      <c r="H57" s="324">
        <f t="shared" si="4"/>
        <v>2966547.7583238091</v>
      </c>
    </row>
    <row r="58" spans="1:8" ht="13.5" customHeight="1">
      <c r="A58" s="320">
        <v>34</v>
      </c>
      <c r="B58" s="320"/>
      <c r="C58" s="320" t="s">
        <v>94</v>
      </c>
      <c r="D58" s="321">
        <f t="shared" ca="1" si="1"/>
        <v>45007</v>
      </c>
      <c r="E58" s="322">
        <f t="shared" si="2"/>
        <v>129080.55514074073</v>
      </c>
      <c r="F58" s="322">
        <f t="shared" si="3"/>
        <v>5762.5247830687831</v>
      </c>
      <c r="G58" s="323">
        <f t="shared" si="0"/>
        <v>134843.07992380951</v>
      </c>
      <c r="H58" s="324">
        <f t="shared" si="4"/>
        <v>2831704.6783999996</v>
      </c>
    </row>
    <row r="59" spans="1:8" ht="13.5" customHeight="1">
      <c r="A59" s="320">
        <v>35</v>
      </c>
      <c r="B59" s="320"/>
      <c r="C59" s="320" t="s">
        <v>95</v>
      </c>
      <c r="D59" s="321">
        <f t="shared" ca="1" si="1"/>
        <v>45038</v>
      </c>
      <c r="E59" s="322">
        <f t="shared" si="2"/>
        <v>129080.55514074073</v>
      </c>
      <c r="F59" s="322">
        <f t="shared" si="3"/>
        <v>5762.5247830687831</v>
      </c>
      <c r="G59" s="323">
        <f t="shared" si="0"/>
        <v>134843.07992380951</v>
      </c>
      <c r="H59" s="324">
        <f t="shared" si="4"/>
        <v>2696861.5984761901</v>
      </c>
    </row>
    <row r="60" spans="1:8" ht="13.5" customHeight="1">
      <c r="A60" s="320">
        <v>36</v>
      </c>
      <c r="B60" s="320"/>
      <c r="C60" s="320" t="s">
        <v>96</v>
      </c>
      <c r="D60" s="321">
        <f t="shared" ca="1" si="1"/>
        <v>45068</v>
      </c>
      <c r="E60" s="322">
        <f t="shared" si="2"/>
        <v>129080.55514074073</v>
      </c>
      <c r="F60" s="322">
        <f t="shared" si="3"/>
        <v>5762.5247830687831</v>
      </c>
      <c r="G60" s="323">
        <f t="shared" si="0"/>
        <v>134843.07992380951</v>
      </c>
      <c r="H60" s="324">
        <f t="shared" si="4"/>
        <v>2562018.5185523806</v>
      </c>
    </row>
    <row r="61" spans="1:8" ht="13.5" customHeight="1">
      <c r="A61" s="320">
        <v>37</v>
      </c>
      <c r="B61" s="320"/>
      <c r="C61" s="320" t="s">
        <v>97</v>
      </c>
      <c r="D61" s="321">
        <f t="shared" ca="1" si="1"/>
        <v>45099</v>
      </c>
      <c r="E61" s="322">
        <f t="shared" si="2"/>
        <v>129080.55514074073</v>
      </c>
      <c r="F61" s="322">
        <f t="shared" si="3"/>
        <v>5762.5247830687831</v>
      </c>
      <c r="G61" s="323">
        <f t="shared" si="0"/>
        <v>134843.07992380951</v>
      </c>
      <c r="H61" s="324">
        <f t="shared" si="4"/>
        <v>2427175.4386285711</v>
      </c>
    </row>
    <row r="62" spans="1:8" ht="13.5" customHeight="1">
      <c r="A62" s="320">
        <v>38</v>
      </c>
      <c r="B62" s="320"/>
      <c r="C62" s="320" t="s">
        <v>98</v>
      </c>
      <c r="D62" s="321">
        <f t="shared" ca="1" si="1"/>
        <v>45129</v>
      </c>
      <c r="E62" s="322">
        <f t="shared" si="2"/>
        <v>129080.55514074073</v>
      </c>
      <c r="F62" s="322">
        <f t="shared" si="3"/>
        <v>5762.5247830687831</v>
      </c>
      <c r="G62" s="323">
        <f t="shared" si="0"/>
        <v>134843.07992380951</v>
      </c>
      <c r="H62" s="324">
        <f t="shared" si="4"/>
        <v>2292332.3587047616</v>
      </c>
    </row>
    <row r="63" spans="1:8" ht="13.5" customHeight="1">
      <c r="A63" s="320">
        <v>39</v>
      </c>
      <c r="B63" s="320"/>
      <c r="C63" s="320" t="s">
        <v>99</v>
      </c>
      <c r="D63" s="321">
        <f t="shared" ca="1" si="1"/>
        <v>45160</v>
      </c>
      <c r="E63" s="322">
        <f t="shared" si="2"/>
        <v>129080.55514074073</v>
      </c>
      <c r="F63" s="322">
        <f t="shared" si="3"/>
        <v>5762.5247830687831</v>
      </c>
      <c r="G63" s="323">
        <f t="shared" si="0"/>
        <v>134843.07992380951</v>
      </c>
      <c r="H63" s="324">
        <f t="shared" si="4"/>
        <v>2157489.2787809521</v>
      </c>
    </row>
    <row r="64" spans="1:8" ht="13.5" customHeight="1">
      <c r="A64" s="320">
        <v>40</v>
      </c>
      <c r="B64" s="320"/>
      <c r="C64" s="320" t="s">
        <v>100</v>
      </c>
      <c r="D64" s="321">
        <f t="shared" ca="1" si="1"/>
        <v>45191</v>
      </c>
      <c r="E64" s="322">
        <f t="shared" si="2"/>
        <v>129080.55514074073</v>
      </c>
      <c r="F64" s="322">
        <f t="shared" si="3"/>
        <v>5762.5247830687831</v>
      </c>
      <c r="G64" s="323">
        <f t="shared" si="0"/>
        <v>134843.07992380951</v>
      </c>
      <c r="H64" s="324">
        <f t="shared" si="4"/>
        <v>2022646.1988571426</v>
      </c>
    </row>
    <row r="65" spans="1:8" ht="13.5" customHeight="1">
      <c r="A65" s="320">
        <v>41</v>
      </c>
      <c r="B65" s="320"/>
      <c r="C65" s="320" t="s">
        <v>101</v>
      </c>
      <c r="D65" s="321">
        <f t="shared" ca="1" si="1"/>
        <v>45221</v>
      </c>
      <c r="E65" s="322">
        <f t="shared" si="2"/>
        <v>129080.55514074073</v>
      </c>
      <c r="F65" s="322">
        <f t="shared" si="3"/>
        <v>5762.5247830687831</v>
      </c>
      <c r="G65" s="323">
        <f t="shared" si="0"/>
        <v>134843.07992380951</v>
      </c>
      <c r="H65" s="324">
        <f t="shared" si="4"/>
        <v>1887803.1189333331</v>
      </c>
    </row>
    <row r="66" spans="1:8" ht="13.5" customHeight="1">
      <c r="A66" s="320">
        <v>42</v>
      </c>
      <c r="B66" s="320"/>
      <c r="C66" s="320" t="s">
        <v>102</v>
      </c>
      <c r="D66" s="321">
        <f t="shared" ca="1" si="1"/>
        <v>45252</v>
      </c>
      <c r="E66" s="322">
        <f t="shared" si="2"/>
        <v>129080.55514074073</v>
      </c>
      <c r="F66" s="322">
        <f t="shared" si="3"/>
        <v>5762.5247830687831</v>
      </c>
      <c r="G66" s="323">
        <f t="shared" si="0"/>
        <v>134843.07992380951</v>
      </c>
      <c r="H66" s="324">
        <f t="shared" si="4"/>
        <v>1752960.0390095236</v>
      </c>
    </row>
    <row r="67" spans="1:8" ht="13.5" customHeight="1">
      <c r="A67" s="320">
        <v>43</v>
      </c>
      <c r="B67" s="320"/>
      <c r="C67" s="320" t="s">
        <v>103</v>
      </c>
      <c r="D67" s="321">
        <f t="shared" ca="1" si="1"/>
        <v>45282</v>
      </c>
      <c r="E67" s="322">
        <f t="shared" si="2"/>
        <v>129080.55514074073</v>
      </c>
      <c r="F67" s="322">
        <f t="shared" si="3"/>
        <v>5762.5247830687831</v>
      </c>
      <c r="G67" s="323">
        <f t="shared" si="0"/>
        <v>134843.07992380951</v>
      </c>
      <c r="H67" s="324">
        <f t="shared" si="4"/>
        <v>1618116.9590857141</v>
      </c>
    </row>
    <row r="68" spans="1:8" ht="13.5" customHeight="1">
      <c r="A68" s="320">
        <v>44</v>
      </c>
      <c r="B68" s="320"/>
      <c r="C68" s="320" t="s">
        <v>104</v>
      </c>
      <c r="D68" s="321">
        <f t="shared" ca="1" si="1"/>
        <v>45313</v>
      </c>
      <c r="E68" s="322">
        <f t="shared" si="2"/>
        <v>129080.55514074073</v>
      </c>
      <c r="F68" s="322">
        <f t="shared" si="3"/>
        <v>5762.5247830687831</v>
      </c>
      <c r="G68" s="323">
        <f t="shared" si="0"/>
        <v>134843.07992380951</v>
      </c>
      <c r="H68" s="324">
        <f t="shared" si="4"/>
        <v>1483273.8791619046</v>
      </c>
    </row>
    <row r="69" spans="1:8" ht="13.5" customHeight="1">
      <c r="A69" s="320">
        <v>45</v>
      </c>
      <c r="B69" s="320"/>
      <c r="C69" s="320" t="s">
        <v>105</v>
      </c>
      <c r="D69" s="321">
        <f t="shared" ca="1" si="1"/>
        <v>45344</v>
      </c>
      <c r="E69" s="322">
        <f t="shared" si="2"/>
        <v>129080.55514074073</v>
      </c>
      <c r="F69" s="322">
        <f t="shared" si="3"/>
        <v>5762.5247830687831</v>
      </c>
      <c r="G69" s="323">
        <f t="shared" si="0"/>
        <v>134843.07992380951</v>
      </c>
      <c r="H69" s="324">
        <f t="shared" si="4"/>
        <v>1348430.7992380951</v>
      </c>
    </row>
    <row r="70" spans="1:8" ht="13.5" customHeight="1">
      <c r="A70" s="320">
        <v>46</v>
      </c>
      <c r="B70" s="320"/>
      <c r="C70" s="320" t="s">
        <v>106</v>
      </c>
      <c r="D70" s="321">
        <f t="shared" ca="1" si="1"/>
        <v>45373</v>
      </c>
      <c r="E70" s="322">
        <f t="shared" si="2"/>
        <v>129080.55514074073</v>
      </c>
      <c r="F70" s="322">
        <f t="shared" si="3"/>
        <v>5762.5247830687831</v>
      </c>
      <c r="G70" s="323">
        <f t="shared" si="0"/>
        <v>134843.07992380951</v>
      </c>
      <c r="H70" s="324">
        <f t="shared" si="4"/>
        <v>1213587.7193142856</v>
      </c>
    </row>
    <row r="71" spans="1:8" ht="13.5" customHeight="1">
      <c r="A71" s="320">
        <v>47</v>
      </c>
      <c r="B71" s="320"/>
      <c r="C71" s="320" t="s">
        <v>107</v>
      </c>
      <c r="D71" s="321">
        <f t="shared" ca="1" si="1"/>
        <v>45404</v>
      </c>
      <c r="E71" s="322">
        <f t="shared" si="2"/>
        <v>129080.55514074073</v>
      </c>
      <c r="F71" s="322">
        <f t="shared" si="3"/>
        <v>5762.5247830687831</v>
      </c>
      <c r="G71" s="323">
        <f t="shared" si="0"/>
        <v>134843.07992380951</v>
      </c>
      <c r="H71" s="324">
        <f t="shared" si="4"/>
        <v>1078744.639390476</v>
      </c>
    </row>
    <row r="72" spans="1:8" ht="13.5" customHeight="1">
      <c r="A72" s="320">
        <v>48</v>
      </c>
      <c r="B72" s="320"/>
      <c r="C72" s="320" t="s">
        <v>108</v>
      </c>
      <c r="D72" s="321">
        <f t="shared" ca="1" si="1"/>
        <v>45434</v>
      </c>
      <c r="E72" s="322">
        <f t="shared" si="2"/>
        <v>129080.55514074073</v>
      </c>
      <c r="F72" s="322">
        <f t="shared" si="3"/>
        <v>5762.5247830687831</v>
      </c>
      <c r="G72" s="323">
        <f t="shared" si="0"/>
        <v>134843.07992380951</v>
      </c>
      <c r="H72" s="324">
        <f t="shared" si="4"/>
        <v>943901.55946666654</v>
      </c>
    </row>
    <row r="73" spans="1:8" ht="13.5" customHeight="1">
      <c r="A73" s="320">
        <v>49</v>
      </c>
      <c r="B73" s="320"/>
      <c r="C73" s="320" t="s">
        <v>109</v>
      </c>
      <c r="D73" s="321">
        <f t="shared" ca="1" si="1"/>
        <v>45465</v>
      </c>
      <c r="E73" s="322">
        <f t="shared" si="2"/>
        <v>129080.55514074073</v>
      </c>
      <c r="F73" s="322">
        <f t="shared" si="3"/>
        <v>5762.5247830687831</v>
      </c>
      <c r="G73" s="323">
        <f t="shared" si="0"/>
        <v>134843.07992380951</v>
      </c>
      <c r="H73" s="324">
        <f t="shared" si="4"/>
        <v>809058.47954285704</v>
      </c>
    </row>
    <row r="74" spans="1:8" ht="13.5" customHeight="1">
      <c r="A74" s="320">
        <v>50</v>
      </c>
      <c r="B74" s="320"/>
      <c r="C74" s="320" t="s">
        <v>110</v>
      </c>
      <c r="D74" s="321">
        <f t="shared" ca="1" si="1"/>
        <v>45495</v>
      </c>
      <c r="E74" s="322">
        <f t="shared" si="2"/>
        <v>129080.55514074073</v>
      </c>
      <c r="F74" s="322">
        <f t="shared" si="3"/>
        <v>5762.5247830687831</v>
      </c>
      <c r="G74" s="323">
        <f t="shared" si="0"/>
        <v>134843.07992380951</v>
      </c>
      <c r="H74" s="324">
        <f t="shared" si="4"/>
        <v>674215.39961904753</v>
      </c>
    </row>
    <row r="75" spans="1:8" ht="13.5" customHeight="1">
      <c r="A75" s="320">
        <v>51</v>
      </c>
      <c r="B75" s="320"/>
      <c r="C75" s="320" t="s">
        <v>111</v>
      </c>
      <c r="D75" s="321">
        <f t="shared" ca="1" si="1"/>
        <v>45526</v>
      </c>
      <c r="E75" s="322">
        <f t="shared" si="2"/>
        <v>129080.55514074073</v>
      </c>
      <c r="F75" s="322">
        <f t="shared" si="3"/>
        <v>5762.5247830687831</v>
      </c>
      <c r="G75" s="323">
        <f t="shared" si="0"/>
        <v>134843.07992380951</v>
      </c>
      <c r="H75" s="324">
        <f t="shared" si="4"/>
        <v>539372.31969523802</v>
      </c>
    </row>
    <row r="76" spans="1:8" ht="13.5" customHeight="1">
      <c r="A76" s="320">
        <v>52</v>
      </c>
      <c r="B76" s="320"/>
      <c r="C76" s="320" t="s">
        <v>112</v>
      </c>
      <c r="D76" s="321">
        <f t="shared" ca="1" si="1"/>
        <v>45557</v>
      </c>
      <c r="E76" s="322">
        <f t="shared" si="2"/>
        <v>129080.55514074073</v>
      </c>
      <c r="F76" s="322">
        <f t="shared" si="3"/>
        <v>5762.5247830687831</v>
      </c>
      <c r="G76" s="323">
        <f t="shared" si="0"/>
        <v>134843.07992380951</v>
      </c>
      <c r="H76" s="324">
        <f t="shared" si="4"/>
        <v>404529.23977142852</v>
      </c>
    </row>
    <row r="77" spans="1:8" ht="13.5" customHeight="1">
      <c r="A77" s="320">
        <v>53</v>
      </c>
      <c r="B77" s="320"/>
      <c r="C77" s="320" t="s">
        <v>113</v>
      </c>
      <c r="D77" s="321">
        <f t="shared" ca="1" si="1"/>
        <v>45587</v>
      </c>
      <c r="E77" s="322">
        <f t="shared" si="2"/>
        <v>129080.55514074073</v>
      </c>
      <c r="F77" s="322">
        <f t="shared" si="3"/>
        <v>5762.5247830687831</v>
      </c>
      <c r="G77" s="323">
        <f t="shared" si="0"/>
        <v>134843.07992380951</v>
      </c>
      <c r="H77" s="324">
        <f t="shared" si="4"/>
        <v>269686.15984761901</v>
      </c>
    </row>
    <row r="78" spans="1:8" ht="13.5" customHeight="1">
      <c r="A78" s="320">
        <v>54</v>
      </c>
      <c r="B78" s="320"/>
      <c r="C78" s="320" t="s">
        <v>114</v>
      </c>
      <c r="D78" s="321">
        <f t="shared" ca="1" si="1"/>
        <v>45618</v>
      </c>
      <c r="E78" s="322">
        <f t="shared" si="2"/>
        <v>129080.55514074073</v>
      </c>
      <c r="F78" s="322">
        <f t="shared" si="3"/>
        <v>5762.5247830687831</v>
      </c>
      <c r="G78" s="323">
        <f t="shared" si="0"/>
        <v>134843.07992380951</v>
      </c>
      <c r="H78" s="324">
        <f t="shared" si="4"/>
        <v>134843.07992380951</v>
      </c>
    </row>
    <row r="79" spans="1:8" ht="13.5" customHeight="1">
      <c r="A79" s="320">
        <v>55</v>
      </c>
      <c r="B79" s="320"/>
      <c r="C79" s="320" t="s">
        <v>115</v>
      </c>
      <c r="D79" s="321">
        <f t="shared" ca="1" si="1"/>
        <v>45648</v>
      </c>
      <c r="E79" s="322">
        <f t="shared" si="2"/>
        <v>129080.55514074073</v>
      </c>
      <c r="F79" s="322">
        <f t="shared" si="3"/>
        <v>5762.5247830687831</v>
      </c>
      <c r="G79" s="323">
        <f t="shared" si="0"/>
        <v>134843.07992380951</v>
      </c>
      <c r="H79" s="324">
        <f t="shared" si="4"/>
        <v>0</v>
      </c>
    </row>
    <row r="80" spans="1:8" ht="13.5" customHeight="1">
      <c r="A80" s="481" t="s">
        <v>16</v>
      </c>
      <c r="B80" s="482"/>
      <c r="C80" s="482"/>
      <c r="D80" s="483"/>
      <c r="E80" s="332">
        <f>SUM(E23:E79)</f>
        <v>8712937.472000014</v>
      </c>
      <c r="F80" s="332">
        <f>SUM(F23:F79)</f>
        <v>388970.4228571431</v>
      </c>
      <c r="G80" s="332">
        <f>SUM(G23:G79)</f>
        <v>9101907.8948571384</v>
      </c>
      <c r="H80" s="333"/>
    </row>
    <row r="81" spans="1:8" s="233" customFormat="1">
      <c r="C81" s="287"/>
      <c r="D81" s="288"/>
      <c r="E81" s="289"/>
      <c r="F81" s="289"/>
      <c r="G81" s="289"/>
    </row>
    <row r="82" spans="1:8" s="233" customFormat="1">
      <c r="A82" s="439" t="s">
        <v>364</v>
      </c>
      <c r="B82" s="439"/>
      <c r="C82" s="439"/>
      <c r="D82" s="439"/>
      <c r="E82" s="439"/>
      <c r="F82" s="439"/>
      <c r="G82" s="439"/>
      <c r="H82" s="439"/>
    </row>
    <row r="83" spans="1:8" s="233" customFormat="1" ht="30.75" customHeight="1">
      <c r="A83" s="449" t="s">
        <v>365</v>
      </c>
      <c r="B83" s="449"/>
      <c r="C83" s="449"/>
      <c r="D83" s="449"/>
      <c r="E83" s="449"/>
      <c r="F83" s="449"/>
      <c r="G83" s="449"/>
      <c r="H83" s="449"/>
    </row>
    <row r="84" spans="1:8" s="233" customFormat="1" ht="16.5" customHeight="1">
      <c r="A84" s="439" t="s">
        <v>366</v>
      </c>
      <c r="B84" s="439"/>
      <c r="C84" s="439"/>
      <c r="D84" s="439"/>
      <c r="E84" s="439"/>
      <c r="F84" s="439"/>
      <c r="G84" s="439"/>
      <c r="H84" s="439"/>
    </row>
    <row r="85" spans="1:8" s="233" customFormat="1" ht="16.5" customHeight="1">
      <c r="A85" s="439" t="s">
        <v>367</v>
      </c>
      <c r="B85" s="439"/>
      <c r="C85" s="439"/>
      <c r="D85" s="439"/>
      <c r="E85" s="439"/>
      <c r="F85" s="439"/>
      <c r="G85" s="439"/>
      <c r="H85" s="439"/>
    </row>
    <row r="86" spans="1:8" s="233" customFormat="1" ht="16.5" customHeight="1">
      <c r="A86" s="439" t="s">
        <v>368</v>
      </c>
      <c r="B86" s="439"/>
      <c r="C86" s="439"/>
      <c r="D86" s="439"/>
      <c r="E86" s="439"/>
      <c r="F86" s="439"/>
      <c r="G86" s="439"/>
      <c r="H86" s="439"/>
    </row>
    <row r="87" spans="1:8" s="233" customFormat="1" ht="110.25" customHeight="1">
      <c r="A87" s="439" t="s">
        <v>369</v>
      </c>
      <c r="B87" s="439"/>
      <c r="C87" s="439"/>
      <c r="D87" s="439"/>
      <c r="E87" s="439"/>
      <c r="F87" s="439"/>
      <c r="G87" s="439"/>
      <c r="H87" s="439"/>
    </row>
    <row r="88" spans="1:8" s="233" customFormat="1" ht="45" customHeight="1">
      <c r="A88" s="439" t="s">
        <v>370</v>
      </c>
      <c r="B88" s="439"/>
      <c r="C88" s="439"/>
      <c r="D88" s="439"/>
      <c r="E88" s="439"/>
      <c r="F88" s="439"/>
      <c r="G88" s="439"/>
      <c r="H88" s="439"/>
    </row>
    <row r="89" spans="1:8" s="233" customFormat="1" ht="19.5" customHeight="1">
      <c r="A89" s="439" t="s">
        <v>371</v>
      </c>
      <c r="B89" s="439"/>
      <c r="C89" s="439"/>
      <c r="D89" s="439"/>
      <c r="E89" s="439"/>
      <c r="F89" s="439"/>
      <c r="G89" s="439"/>
      <c r="H89" s="439"/>
    </row>
    <row r="90" spans="1:8" s="233" customFormat="1">
      <c r="A90" s="439"/>
      <c r="B90" s="439"/>
      <c r="C90" s="439"/>
      <c r="D90" s="439"/>
      <c r="E90" s="439"/>
      <c r="F90" s="439"/>
      <c r="G90" s="439"/>
      <c r="H90" s="439"/>
    </row>
    <row r="91" spans="1:8" s="233" customFormat="1">
      <c r="A91" s="233" t="s">
        <v>17</v>
      </c>
      <c r="D91" s="231"/>
      <c r="G91" s="230"/>
    </row>
    <row r="92" spans="1:8" s="233" customFormat="1">
      <c r="D92" s="231"/>
      <c r="G92" s="230"/>
    </row>
    <row r="93" spans="1:8" s="233" customFormat="1" ht="15" customHeight="1">
      <c r="A93" s="290"/>
      <c r="B93" s="290"/>
      <c r="C93" s="290"/>
      <c r="D93" s="231"/>
      <c r="E93" s="290"/>
      <c r="F93" s="290"/>
      <c r="G93" s="291"/>
    </row>
    <row r="94" spans="1:8" s="233" customFormat="1">
      <c r="A94" s="452" t="s">
        <v>355</v>
      </c>
      <c r="B94" s="452"/>
      <c r="C94" s="452"/>
      <c r="D94" s="231"/>
      <c r="E94" s="452" t="s">
        <v>18</v>
      </c>
      <c r="F94" s="452"/>
      <c r="G94" s="452"/>
    </row>
    <row r="95" spans="1:8"/>
  </sheetData>
  <sheetProtection password="CAF1" sheet="1" objects="1" scenarios="1" selectLockedCells="1"/>
  <mergeCells count="21">
    <mergeCell ref="A88:H88"/>
    <mergeCell ref="A89:H89"/>
    <mergeCell ref="A90:H90"/>
    <mergeCell ref="A94:C94"/>
    <mergeCell ref="E94:G94"/>
    <mergeCell ref="H1:H2"/>
    <mergeCell ref="C5:H5"/>
    <mergeCell ref="C6:H6"/>
    <mergeCell ref="C7:H7"/>
    <mergeCell ref="C8:H8"/>
    <mergeCell ref="A22:G22"/>
    <mergeCell ref="A80:D80"/>
    <mergeCell ref="A9:B9"/>
    <mergeCell ref="C9:H9"/>
    <mergeCell ref="C10:H10"/>
    <mergeCell ref="A87:H87"/>
    <mergeCell ref="A82:H82"/>
    <mergeCell ref="A83:H83"/>
    <mergeCell ref="A84:H84"/>
    <mergeCell ref="A85:H85"/>
    <mergeCell ref="A86:H86"/>
  </mergeCells>
  <hyperlinks>
    <hyperlink ref="J4" location="'DATA SHEET'!A1" display="Return to Data Sheet" xr:uid="{00000000-0004-0000-1A00-000000000000}"/>
    <hyperlink ref="C1" location="'DATA SHEET'!A1" display="HIGHLANDS PRIME, INC." xr:uid="{00000000-0004-0000-1A00-000001000000}"/>
  </hyperlinks>
  <printOptions horizontalCentered="1"/>
  <pageMargins left="0.7" right="0.7" top="0.75" bottom="0.5" header="0.3" footer="0.3"/>
  <pageSetup paperSize="258" scale="57" orientation="portrait" r:id="rId1"/>
  <headerFooter>
    <oddFooter>&amp;L&amp;8A project of HIGHLANDS PRIME, INC. Horizon Terraces HLURB License To Sell No. 032272&amp;R&amp;8Page &amp;P of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tabColor rgb="FF389E8F"/>
    <pageSetUpPr fitToPage="1"/>
  </sheetPr>
  <dimension ref="A1:L65"/>
  <sheetViews>
    <sheetView showGridLines="0" workbookViewId="0">
      <selection activeCell="C15" sqref="C15"/>
    </sheetView>
  </sheetViews>
  <sheetFormatPr baseColWidth="10" defaultColWidth="0" defaultRowHeight="15"/>
  <cols>
    <col min="1" max="1" width="11.83203125" style="37" customWidth="1"/>
    <col min="2" max="2" width="10.33203125" style="37" customWidth="1"/>
    <col min="3" max="3" width="24.5" style="37" customWidth="1"/>
    <col min="4" max="4" width="16.6640625" style="38" customWidth="1"/>
    <col min="5" max="6" width="15.6640625" style="37" customWidth="1"/>
    <col min="7" max="7" width="15.6640625" style="39" customWidth="1"/>
    <col min="8" max="8" width="15.6640625" style="37" customWidth="1"/>
    <col min="9" max="12" width="9.1640625" style="353" customWidth="1"/>
    <col min="13" max="16384" width="9.1640625" style="353" hidden="1"/>
  </cols>
  <sheetData>
    <row r="1" spans="1:10" ht="15" customHeight="1">
      <c r="C1" s="240" t="s">
        <v>35</v>
      </c>
      <c r="H1" s="478" t="s">
        <v>66</v>
      </c>
    </row>
    <row r="2" spans="1:10" ht="15" customHeight="1">
      <c r="C2" s="230" t="s">
        <v>348</v>
      </c>
      <c r="H2" s="478"/>
    </row>
    <row r="3" spans="1:10">
      <c r="C3" s="230" t="s">
        <v>36</v>
      </c>
    </row>
    <row r="4" spans="1:10">
      <c r="J4" s="311" t="s">
        <v>305</v>
      </c>
    </row>
    <row r="5" spans="1:10">
      <c r="A5" s="312" t="s">
        <v>0</v>
      </c>
      <c r="B5" s="340"/>
      <c r="C5" s="468" t="str">
        <f>'DATA SHEET'!D10</f>
        <v xml:space="preserve"> </v>
      </c>
      <c r="D5" s="468"/>
      <c r="E5" s="468"/>
      <c r="F5" s="468"/>
      <c r="G5" s="468"/>
      <c r="H5" s="469"/>
    </row>
    <row r="6" spans="1:10">
      <c r="A6" s="335" t="s">
        <v>31</v>
      </c>
      <c r="B6" s="341"/>
      <c r="C6" s="456" t="str">
        <f>VLOOKUP('DATA SHEET'!$D$11,' Garden Suites PL'!C6:F28,1,FALSE)</f>
        <v>GA</v>
      </c>
      <c r="D6" s="456"/>
      <c r="E6" s="456"/>
      <c r="F6" s="456"/>
      <c r="G6" s="456"/>
      <c r="H6" s="457"/>
    </row>
    <row r="7" spans="1:10">
      <c r="A7" s="335" t="s">
        <v>37</v>
      </c>
      <c r="B7" s="341"/>
      <c r="C7" s="470">
        <f>VLOOKUP('DATA SHEET'!D11,' Garden Suites PL'!C6:F28,3,0)</f>
        <v>67.900000000000006</v>
      </c>
      <c r="D7" s="470"/>
      <c r="E7" s="470"/>
      <c r="F7" s="470"/>
      <c r="G7" s="470"/>
      <c r="H7" s="471"/>
    </row>
    <row r="8" spans="1:10">
      <c r="A8" s="246" t="s">
        <v>352</v>
      </c>
      <c r="B8" s="286"/>
      <c r="C8" s="458" t="str">
        <f>VLOOKUP('DATA SHEET'!D11,' Garden Suites PL'!C6:D28,2,0)</f>
        <v>1-Bedroom Terrace Suite</v>
      </c>
      <c r="D8" s="458"/>
      <c r="E8" s="458"/>
      <c r="F8" s="458"/>
      <c r="G8" s="458"/>
      <c r="H8" s="459"/>
    </row>
    <row r="9" spans="1:10">
      <c r="A9" s="438" t="s">
        <v>356</v>
      </c>
      <c r="B9" s="436"/>
      <c r="C9" s="472">
        <f>VLOOKUP('DATA SHEET'!D11,' Garden Suites PL'!C6:G28,5,0)</f>
        <v>9961680</v>
      </c>
      <c r="D9" s="472"/>
      <c r="E9" s="472"/>
      <c r="F9" s="472"/>
      <c r="G9" s="472"/>
      <c r="H9" s="473"/>
    </row>
    <row r="10" spans="1:10">
      <c r="A10" s="338" t="s">
        <v>33</v>
      </c>
      <c r="B10" s="342"/>
      <c r="C10" s="496" t="str">
        <f>+'DATA SHEET'!D22</f>
        <v>10% DP, 10% over 24 months, 80% Lumpsum</v>
      </c>
      <c r="D10" s="496"/>
      <c r="E10" s="496"/>
      <c r="F10" s="496"/>
      <c r="G10" s="496"/>
      <c r="H10" s="497"/>
    </row>
    <row r="12" spans="1:10">
      <c r="A12" s="39" t="s">
        <v>55</v>
      </c>
      <c r="B12" s="39"/>
    </row>
    <row r="13" spans="1:10">
      <c r="A13" s="233" t="s">
        <v>359</v>
      </c>
      <c r="D13" s="194">
        <f>(C9-650000)</f>
        <v>9311680</v>
      </c>
      <c r="E13" s="316" t="str">
        <f>LEFT(C8,9)</f>
        <v>1-Bedroom</v>
      </c>
      <c r="F13" s="316"/>
      <c r="G13" s="352"/>
      <c r="H13" s="194"/>
    </row>
    <row r="14" spans="1:10" s="37" customFormat="1" ht="14">
      <c r="A14" s="228" t="s">
        <v>71</v>
      </c>
      <c r="B14" s="228"/>
      <c r="C14" s="369">
        <v>0.01</v>
      </c>
      <c r="D14" s="256">
        <f>IF(C14&lt;=1%,(D13*C14),"BEYOND MAX DISC.")</f>
        <v>93116.800000000003</v>
      </c>
      <c r="E14" s="38"/>
      <c r="F14" s="38"/>
      <c r="G14" s="315"/>
      <c r="H14" s="38"/>
      <c r="I14" s="38"/>
      <c r="J14" s="194"/>
    </row>
    <row r="15" spans="1:10" s="37" customFormat="1" ht="14">
      <c r="A15" s="228" t="s">
        <v>378</v>
      </c>
      <c r="B15" s="228"/>
      <c r="C15" s="368">
        <v>0.02</v>
      </c>
      <c r="D15" s="194">
        <f>IF(C15&lt;=2%,((D13-D14)*C15),"BEYOND MAX DISC.")</f>
        <v>184371.264</v>
      </c>
      <c r="E15" s="38"/>
      <c r="F15" s="38"/>
      <c r="G15" s="315"/>
      <c r="H15" s="38"/>
      <c r="I15" s="38"/>
      <c r="J15" s="194"/>
    </row>
    <row r="16" spans="1:10" s="37" customFormat="1" ht="14">
      <c r="A16" s="228" t="s">
        <v>379</v>
      </c>
      <c r="B16" s="228"/>
      <c r="C16" s="227"/>
      <c r="D16" s="349">
        <v>230000</v>
      </c>
      <c r="E16" s="38"/>
      <c r="F16" s="38"/>
      <c r="G16" s="315"/>
      <c r="H16" s="38"/>
      <c r="I16" s="38"/>
      <c r="J16" s="194"/>
    </row>
    <row r="17" spans="1:8">
      <c r="A17" s="230" t="s">
        <v>361</v>
      </c>
      <c r="B17" s="230"/>
      <c r="C17" s="233"/>
      <c r="D17" s="318">
        <f>+D13-SUM(D14:D16)</f>
        <v>8804191.9360000007</v>
      </c>
      <c r="E17" s="38"/>
      <c r="F17" s="38"/>
      <c r="G17" s="315"/>
    </row>
    <row r="18" spans="1:8">
      <c r="A18" s="267" t="s">
        <v>350</v>
      </c>
      <c r="B18" s="267"/>
      <c r="C18" s="229">
        <v>0.05</v>
      </c>
      <c r="D18" s="309">
        <f>(D17/1.12)*C18</f>
        <v>393044.28285714285</v>
      </c>
      <c r="E18" s="38"/>
      <c r="F18" s="38"/>
      <c r="G18" s="315"/>
    </row>
    <row r="19" spans="1:8" ht="16" thickBot="1">
      <c r="A19" s="230" t="s">
        <v>58</v>
      </c>
      <c r="B19" s="230"/>
      <c r="C19" s="230"/>
      <c r="D19" s="270">
        <f>+SUM(D17:D18)</f>
        <v>9197236.2188571431</v>
      </c>
      <c r="E19" s="38"/>
      <c r="F19" s="38"/>
      <c r="G19" s="315"/>
    </row>
    <row r="20" spans="1:8" ht="7.5" customHeight="1" thickTop="1"/>
    <row r="21" spans="1:8">
      <c r="A21" s="271" t="s">
        <v>34</v>
      </c>
      <c r="B21" s="271" t="s">
        <v>347</v>
      </c>
      <c r="C21" s="271" t="s">
        <v>2</v>
      </c>
      <c r="D21" s="271" t="s">
        <v>343</v>
      </c>
      <c r="E21" s="271" t="s">
        <v>363</v>
      </c>
      <c r="F21" s="271" t="s">
        <v>344</v>
      </c>
      <c r="G21" s="272" t="s">
        <v>349</v>
      </c>
      <c r="H21" s="271" t="s">
        <v>345</v>
      </c>
    </row>
    <row r="22" spans="1:8">
      <c r="A22" s="453" t="s">
        <v>346</v>
      </c>
      <c r="B22" s="454"/>
      <c r="C22" s="454"/>
      <c r="D22" s="454"/>
      <c r="E22" s="454"/>
      <c r="F22" s="454"/>
      <c r="G22" s="455"/>
      <c r="H22" s="310">
        <f>+D19</f>
        <v>9197236.2188571431</v>
      </c>
    </row>
    <row r="23" spans="1:8">
      <c r="A23" s="320">
        <v>0</v>
      </c>
      <c r="B23" s="320"/>
      <c r="C23" s="320" t="s">
        <v>38</v>
      </c>
      <c r="D23" s="321">
        <f ca="1">'DATA SHEET'!D9</f>
        <v>43973</v>
      </c>
      <c r="E23" s="322">
        <f>IF(E13="1-Bedroom",50000,100000)</f>
        <v>50000</v>
      </c>
      <c r="F23" s="322"/>
      <c r="G23" s="323">
        <f>+SUM(E23:F23)</f>
        <v>50000</v>
      </c>
      <c r="H23" s="324">
        <f>D19-G23</f>
        <v>9147236.2188571431</v>
      </c>
    </row>
    <row r="24" spans="1:8">
      <c r="A24" s="320">
        <v>1</v>
      </c>
      <c r="B24" s="325">
        <v>0.1</v>
      </c>
      <c r="C24" s="320" t="s">
        <v>306</v>
      </c>
      <c r="D24" s="321">
        <f ca="1">EDATE(D23,1)</f>
        <v>44004</v>
      </c>
      <c r="E24" s="322">
        <f>((D17*10%)-E23)</f>
        <v>830419.19360000012</v>
      </c>
      <c r="F24" s="322">
        <f>((D18*10%))</f>
        <v>39304.42828571429</v>
      </c>
      <c r="G24" s="323">
        <f t="shared" ref="G24:G50" si="0">+SUM(E24:F24)</f>
        <v>869723.62188571435</v>
      </c>
      <c r="H24" s="324">
        <f>H23-G24</f>
        <v>8277512.596971429</v>
      </c>
    </row>
    <row r="25" spans="1:8">
      <c r="A25" s="320"/>
      <c r="B25" s="325">
        <v>0.1</v>
      </c>
      <c r="C25" s="320" t="s">
        <v>351</v>
      </c>
      <c r="D25" s="321"/>
      <c r="E25" s="322"/>
      <c r="F25" s="322"/>
      <c r="G25" s="323"/>
      <c r="H25" s="324"/>
    </row>
    <row r="26" spans="1:8">
      <c r="A26" s="320">
        <v>2</v>
      </c>
      <c r="B26" s="320"/>
      <c r="C26" s="320" t="s">
        <v>4</v>
      </c>
      <c r="D26" s="321">
        <f ca="1">EDATE(D24,1)</f>
        <v>44034</v>
      </c>
      <c r="E26" s="322">
        <f>($D$17*10%)/24</f>
        <v>36684.133066666669</v>
      </c>
      <c r="F26" s="322">
        <f>($D$18*10%)/24</f>
        <v>1637.6845119047621</v>
      </c>
      <c r="G26" s="323">
        <f t="shared" si="0"/>
        <v>38321.817578571434</v>
      </c>
      <c r="H26" s="324">
        <f>H24-G26</f>
        <v>8239190.7793928571</v>
      </c>
    </row>
    <row r="27" spans="1:8">
      <c r="A27" s="320">
        <v>3</v>
      </c>
      <c r="B27" s="320"/>
      <c r="C27" s="320" t="s">
        <v>5</v>
      </c>
      <c r="D27" s="321">
        <f t="shared" ref="D27:D50" ca="1" si="1">EDATE(D26,1)</f>
        <v>44065</v>
      </c>
      <c r="E27" s="322">
        <f t="shared" ref="E27:E49" si="2">($D$17*10%)/24</f>
        <v>36684.133066666669</v>
      </c>
      <c r="F27" s="322">
        <f t="shared" ref="F27:F49" si="3">($D$18*10%)/24</f>
        <v>1637.6845119047621</v>
      </c>
      <c r="G27" s="323">
        <f t="shared" ref="G27:G49" si="4">+SUM(E27:F27)</f>
        <v>38321.817578571434</v>
      </c>
      <c r="H27" s="324">
        <f t="shared" ref="H27:H49" si="5">H26-G27</f>
        <v>8200868.9618142853</v>
      </c>
    </row>
    <row r="28" spans="1:8">
      <c r="A28" s="320">
        <v>4</v>
      </c>
      <c r="B28" s="320"/>
      <c r="C28" s="320" t="s">
        <v>6</v>
      </c>
      <c r="D28" s="321">
        <f t="shared" ca="1" si="1"/>
        <v>44096</v>
      </c>
      <c r="E28" s="322">
        <f t="shared" si="2"/>
        <v>36684.133066666669</v>
      </c>
      <c r="F28" s="322">
        <f t="shared" si="3"/>
        <v>1637.6845119047621</v>
      </c>
      <c r="G28" s="323">
        <f t="shared" si="4"/>
        <v>38321.817578571434</v>
      </c>
      <c r="H28" s="324">
        <f t="shared" si="5"/>
        <v>8162547.1442357134</v>
      </c>
    </row>
    <row r="29" spans="1:8">
      <c r="A29" s="320">
        <v>5</v>
      </c>
      <c r="B29" s="320"/>
      <c r="C29" s="320" t="s">
        <v>7</v>
      </c>
      <c r="D29" s="321">
        <f t="shared" ca="1" si="1"/>
        <v>44126</v>
      </c>
      <c r="E29" s="322">
        <f t="shared" si="2"/>
        <v>36684.133066666669</v>
      </c>
      <c r="F29" s="322">
        <f t="shared" si="3"/>
        <v>1637.6845119047621</v>
      </c>
      <c r="G29" s="323">
        <f t="shared" si="4"/>
        <v>38321.817578571434</v>
      </c>
      <c r="H29" s="324">
        <f t="shared" si="5"/>
        <v>8124225.3266571416</v>
      </c>
    </row>
    <row r="30" spans="1:8">
      <c r="A30" s="320">
        <v>6</v>
      </c>
      <c r="B30" s="320"/>
      <c r="C30" s="320" t="s">
        <v>8</v>
      </c>
      <c r="D30" s="321">
        <f t="shared" ca="1" si="1"/>
        <v>44157</v>
      </c>
      <c r="E30" s="322">
        <f t="shared" si="2"/>
        <v>36684.133066666669</v>
      </c>
      <c r="F30" s="322">
        <f t="shared" si="3"/>
        <v>1637.6845119047621</v>
      </c>
      <c r="G30" s="323">
        <f t="shared" si="4"/>
        <v>38321.817578571434</v>
      </c>
      <c r="H30" s="324">
        <f t="shared" si="5"/>
        <v>8085903.5090785697</v>
      </c>
    </row>
    <row r="31" spans="1:8">
      <c r="A31" s="320">
        <v>7</v>
      </c>
      <c r="B31" s="320"/>
      <c r="C31" s="320" t="s">
        <v>9</v>
      </c>
      <c r="D31" s="321">
        <f t="shared" ca="1" si="1"/>
        <v>44187</v>
      </c>
      <c r="E31" s="322">
        <f t="shared" si="2"/>
        <v>36684.133066666669</v>
      </c>
      <c r="F31" s="322">
        <f t="shared" si="3"/>
        <v>1637.6845119047621</v>
      </c>
      <c r="G31" s="323">
        <f t="shared" si="4"/>
        <v>38321.817578571434</v>
      </c>
      <c r="H31" s="324">
        <f t="shared" si="5"/>
        <v>8047581.6914999979</v>
      </c>
    </row>
    <row r="32" spans="1:8">
      <c r="A32" s="320">
        <v>8</v>
      </c>
      <c r="B32" s="320"/>
      <c r="C32" s="320" t="s">
        <v>10</v>
      </c>
      <c r="D32" s="321">
        <f t="shared" ca="1" si="1"/>
        <v>44218</v>
      </c>
      <c r="E32" s="322">
        <f t="shared" si="2"/>
        <v>36684.133066666669</v>
      </c>
      <c r="F32" s="322">
        <f t="shared" si="3"/>
        <v>1637.6845119047621</v>
      </c>
      <c r="G32" s="323">
        <f t="shared" si="4"/>
        <v>38321.817578571434</v>
      </c>
      <c r="H32" s="324">
        <f t="shared" si="5"/>
        <v>8009259.873921426</v>
      </c>
    </row>
    <row r="33" spans="1:8">
      <c r="A33" s="320">
        <v>9</v>
      </c>
      <c r="B33" s="320"/>
      <c r="C33" s="320" t="s">
        <v>11</v>
      </c>
      <c r="D33" s="321">
        <f t="shared" ca="1" si="1"/>
        <v>44249</v>
      </c>
      <c r="E33" s="322">
        <f t="shared" si="2"/>
        <v>36684.133066666669</v>
      </c>
      <c r="F33" s="322">
        <f t="shared" si="3"/>
        <v>1637.6845119047621</v>
      </c>
      <c r="G33" s="323">
        <f t="shared" si="4"/>
        <v>38321.817578571434</v>
      </c>
      <c r="H33" s="324">
        <f t="shared" si="5"/>
        <v>7970938.0563428542</v>
      </c>
    </row>
    <row r="34" spans="1:8">
      <c r="A34" s="320">
        <v>10</v>
      </c>
      <c r="B34" s="320"/>
      <c r="C34" s="320" t="s">
        <v>12</v>
      </c>
      <c r="D34" s="321">
        <f t="shared" ca="1" si="1"/>
        <v>44277</v>
      </c>
      <c r="E34" s="322">
        <f t="shared" si="2"/>
        <v>36684.133066666669</v>
      </c>
      <c r="F34" s="322">
        <f t="shared" si="3"/>
        <v>1637.6845119047621</v>
      </c>
      <c r="G34" s="323">
        <f t="shared" si="4"/>
        <v>38321.817578571434</v>
      </c>
      <c r="H34" s="324">
        <f t="shared" si="5"/>
        <v>7932616.2387642823</v>
      </c>
    </row>
    <row r="35" spans="1:8">
      <c r="A35" s="320">
        <v>11</v>
      </c>
      <c r="B35" s="320"/>
      <c r="C35" s="320" t="s">
        <v>13</v>
      </c>
      <c r="D35" s="321">
        <f t="shared" ca="1" si="1"/>
        <v>44308</v>
      </c>
      <c r="E35" s="322">
        <f t="shared" si="2"/>
        <v>36684.133066666669</v>
      </c>
      <c r="F35" s="322">
        <f t="shared" si="3"/>
        <v>1637.6845119047621</v>
      </c>
      <c r="G35" s="323">
        <f t="shared" si="4"/>
        <v>38321.817578571434</v>
      </c>
      <c r="H35" s="324">
        <f t="shared" si="5"/>
        <v>7894294.4211857105</v>
      </c>
    </row>
    <row r="36" spans="1:8">
      <c r="A36" s="320">
        <v>12</v>
      </c>
      <c r="B36" s="320"/>
      <c r="C36" s="320" t="s">
        <v>14</v>
      </c>
      <c r="D36" s="321">
        <f t="shared" ca="1" si="1"/>
        <v>44338</v>
      </c>
      <c r="E36" s="322">
        <f t="shared" si="2"/>
        <v>36684.133066666669</v>
      </c>
      <c r="F36" s="322">
        <f t="shared" si="3"/>
        <v>1637.6845119047621</v>
      </c>
      <c r="G36" s="323">
        <f t="shared" si="4"/>
        <v>38321.817578571434</v>
      </c>
      <c r="H36" s="324">
        <f t="shared" si="5"/>
        <v>7855972.6036071386</v>
      </c>
    </row>
    <row r="37" spans="1:8">
      <c r="A37" s="320">
        <v>13</v>
      </c>
      <c r="B37" s="320"/>
      <c r="C37" s="320" t="s">
        <v>15</v>
      </c>
      <c r="D37" s="321">
        <f t="shared" ca="1" si="1"/>
        <v>44369</v>
      </c>
      <c r="E37" s="322">
        <f t="shared" si="2"/>
        <v>36684.133066666669</v>
      </c>
      <c r="F37" s="322">
        <f t="shared" si="3"/>
        <v>1637.6845119047621</v>
      </c>
      <c r="G37" s="323">
        <f t="shared" si="4"/>
        <v>38321.817578571434</v>
      </c>
      <c r="H37" s="324">
        <f t="shared" si="5"/>
        <v>7817650.7860285668</v>
      </c>
    </row>
    <row r="38" spans="1:8">
      <c r="A38" s="320">
        <v>14</v>
      </c>
      <c r="B38" s="320"/>
      <c r="C38" s="320" t="s">
        <v>19</v>
      </c>
      <c r="D38" s="321">
        <f t="shared" ca="1" si="1"/>
        <v>44399</v>
      </c>
      <c r="E38" s="322">
        <f t="shared" si="2"/>
        <v>36684.133066666669</v>
      </c>
      <c r="F38" s="322">
        <f t="shared" si="3"/>
        <v>1637.6845119047621</v>
      </c>
      <c r="G38" s="323">
        <f t="shared" si="4"/>
        <v>38321.817578571434</v>
      </c>
      <c r="H38" s="324">
        <f t="shared" si="5"/>
        <v>7779328.9684499949</v>
      </c>
    </row>
    <row r="39" spans="1:8">
      <c r="A39" s="320">
        <v>15</v>
      </c>
      <c r="B39" s="320"/>
      <c r="C39" s="320" t="s">
        <v>20</v>
      </c>
      <c r="D39" s="321">
        <f t="shared" ca="1" si="1"/>
        <v>44430</v>
      </c>
      <c r="E39" s="322">
        <f t="shared" si="2"/>
        <v>36684.133066666669</v>
      </c>
      <c r="F39" s="322">
        <f t="shared" si="3"/>
        <v>1637.6845119047621</v>
      </c>
      <c r="G39" s="323">
        <f t="shared" si="4"/>
        <v>38321.817578571434</v>
      </c>
      <c r="H39" s="324">
        <f t="shared" si="5"/>
        <v>7741007.1508714231</v>
      </c>
    </row>
    <row r="40" spans="1:8">
      <c r="A40" s="320">
        <v>16</v>
      </c>
      <c r="B40" s="320"/>
      <c r="C40" s="320" t="s">
        <v>21</v>
      </c>
      <c r="D40" s="321">
        <f t="shared" ca="1" si="1"/>
        <v>44461</v>
      </c>
      <c r="E40" s="322">
        <f t="shared" si="2"/>
        <v>36684.133066666669</v>
      </c>
      <c r="F40" s="322">
        <f t="shared" si="3"/>
        <v>1637.6845119047621</v>
      </c>
      <c r="G40" s="323">
        <f t="shared" si="4"/>
        <v>38321.817578571434</v>
      </c>
      <c r="H40" s="324">
        <f t="shared" si="5"/>
        <v>7702685.3332928512</v>
      </c>
    </row>
    <row r="41" spans="1:8">
      <c r="A41" s="320">
        <v>17</v>
      </c>
      <c r="B41" s="320"/>
      <c r="C41" s="320" t="s">
        <v>22</v>
      </c>
      <c r="D41" s="321">
        <f t="shared" ca="1" si="1"/>
        <v>44491</v>
      </c>
      <c r="E41" s="322">
        <f t="shared" si="2"/>
        <v>36684.133066666669</v>
      </c>
      <c r="F41" s="322">
        <f t="shared" si="3"/>
        <v>1637.6845119047621</v>
      </c>
      <c r="G41" s="323">
        <f t="shared" si="4"/>
        <v>38321.817578571434</v>
      </c>
      <c r="H41" s="324">
        <f t="shared" si="5"/>
        <v>7664363.5157142794</v>
      </c>
    </row>
    <row r="42" spans="1:8">
      <c r="A42" s="320">
        <v>18</v>
      </c>
      <c r="B42" s="320"/>
      <c r="C42" s="320" t="s">
        <v>23</v>
      </c>
      <c r="D42" s="321">
        <f t="shared" ca="1" si="1"/>
        <v>44522</v>
      </c>
      <c r="E42" s="322">
        <f t="shared" si="2"/>
        <v>36684.133066666669</v>
      </c>
      <c r="F42" s="322">
        <f t="shared" si="3"/>
        <v>1637.6845119047621</v>
      </c>
      <c r="G42" s="323">
        <f t="shared" si="4"/>
        <v>38321.817578571434</v>
      </c>
      <c r="H42" s="324">
        <f t="shared" si="5"/>
        <v>7626041.6981357075</v>
      </c>
    </row>
    <row r="43" spans="1:8">
      <c r="A43" s="320">
        <v>19</v>
      </c>
      <c r="B43" s="320"/>
      <c r="C43" s="320" t="s">
        <v>24</v>
      </c>
      <c r="D43" s="321">
        <f t="shared" ca="1" si="1"/>
        <v>44552</v>
      </c>
      <c r="E43" s="322">
        <f t="shared" si="2"/>
        <v>36684.133066666669</v>
      </c>
      <c r="F43" s="322">
        <f t="shared" si="3"/>
        <v>1637.6845119047621</v>
      </c>
      <c r="G43" s="323">
        <f t="shared" si="4"/>
        <v>38321.817578571434</v>
      </c>
      <c r="H43" s="324">
        <f t="shared" si="5"/>
        <v>7587719.8805571357</v>
      </c>
    </row>
    <row r="44" spans="1:8">
      <c r="A44" s="320">
        <v>20</v>
      </c>
      <c r="B44" s="320"/>
      <c r="C44" s="320" t="s">
        <v>25</v>
      </c>
      <c r="D44" s="321">
        <f t="shared" ca="1" si="1"/>
        <v>44583</v>
      </c>
      <c r="E44" s="322">
        <f t="shared" si="2"/>
        <v>36684.133066666669</v>
      </c>
      <c r="F44" s="322">
        <f t="shared" si="3"/>
        <v>1637.6845119047621</v>
      </c>
      <c r="G44" s="323">
        <f t="shared" si="4"/>
        <v>38321.817578571434</v>
      </c>
      <c r="H44" s="324">
        <f t="shared" si="5"/>
        <v>7549398.0629785638</v>
      </c>
    </row>
    <row r="45" spans="1:8">
      <c r="A45" s="320">
        <v>21</v>
      </c>
      <c r="B45" s="320"/>
      <c r="C45" s="320" t="s">
        <v>26</v>
      </c>
      <c r="D45" s="321">
        <f t="shared" ca="1" si="1"/>
        <v>44614</v>
      </c>
      <c r="E45" s="322">
        <f t="shared" si="2"/>
        <v>36684.133066666669</v>
      </c>
      <c r="F45" s="322">
        <f t="shared" si="3"/>
        <v>1637.6845119047621</v>
      </c>
      <c r="G45" s="323">
        <f t="shared" si="4"/>
        <v>38321.817578571434</v>
      </c>
      <c r="H45" s="324">
        <f t="shared" si="5"/>
        <v>7511076.245399992</v>
      </c>
    </row>
    <row r="46" spans="1:8">
      <c r="A46" s="320">
        <v>22</v>
      </c>
      <c r="B46" s="320"/>
      <c r="C46" s="320" t="s">
        <v>27</v>
      </c>
      <c r="D46" s="321">
        <f t="shared" ca="1" si="1"/>
        <v>44642</v>
      </c>
      <c r="E46" s="322">
        <f t="shared" si="2"/>
        <v>36684.133066666669</v>
      </c>
      <c r="F46" s="322">
        <f t="shared" si="3"/>
        <v>1637.6845119047621</v>
      </c>
      <c r="G46" s="323">
        <f t="shared" si="4"/>
        <v>38321.817578571434</v>
      </c>
      <c r="H46" s="324">
        <f t="shared" si="5"/>
        <v>7472754.4278214201</v>
      </c>
    </row>
    <row r="47" spans="1:8">
      <c r="A47" s="320">
        <v>23</v>
      </c>
      <c r="B47" s="320"/>
      <c r="C47" s="320" t="s">
        <v>28</v>
      </c>
      <c r="D47" s="321">
        <f t="shared" ca="1" si="1"/>
        <v>44673</v>
      </c>
      <c r="E47" s="322">
        <f t="shared" si="2"/>
        <v>36684.133066666669</v>
      </c>
      <c r="F47" s="322">
        <f t="shared" si="3"/>
        <v>1637.6845119047621</v>
      </c>
      <c r="G47" s="323">
        <f t="shared" si="4"/>
        <v>38321.817578571434</v>
      </c>
      <c r="H47" s="324">
        <f t="shared" si="5"/>
        <v>7434432.6102428483</v>
      </c>
    </row>
    <row r="48" spans="1:8">
      <c r="A48" s="320">
        <v>24</v>
      </c>
      <c r="B48" s="320"/>
      <c r="C48" s="320" t="s">
        <v>29</v>
      </c>
      <c r="D48" s="321">
        <f t="shared" ca="1" si="1"/>
        <v>44703</v>
      </c>
      <c r="E48" s="322">
        <f t="shared" si="2"/>
        <v>36684.133066666669</v>
      </c>
      <c r="F48" s="322">
        <f t="shared" si="3"/>
        <v>1637.6845119047621</v>
      </c>
      <c r="G48" s="323">
        <f t="shared" si="4"/>
        <v>38321.817578571434</v>
      </c>
      <c r="H48" s="324">
        <f t="shared" si="5"/>
        <v>7396110.7926642764</v>
      </c>
    </row>
    <row r="49" spans="1:8">
      <c r="A49" s="320">
        <v>25</v>
      </c>
      <c r="B49" s="320"/>
      <c r="C49" s="320" t="s">
        <v>30</v>
      </c>
      <c r="D49" s="321">
        <f t="shared" ca="1" si="1"/>
        <v>44734</v>
      </c>
      <c r="E49" s="322">
        <f t="shared" si="2"/>
        <v>36684.133066666669</v>
      </c>
      <c r="F49" s="322">
        <f t="shared" si="3"/>
        <v>1637.6845119047621</v>
      </c>
      <c r="G49" s="323">
        <f t="shared" si="4"/>
        <v>38321.817578571434</v>
      </c>
      <c r="H49" s="324">
        <f t="shared" si="5"/>
        <v>7357788.9750857046</v>
      </c>
    </row>
    <row r="50" spans="1:8">
      <c r="A50" s="320">
        <v>32</v>
      </c>
      <c r="B50" s="325">
        <v>0.8</v>
      </c>
      <c r="C50" s="320" t="s">
        <v>39</v>
      </c>
      <c r="D50" s="321">
        <f t="shared" ca="1" si="1"/>
        <v>44764</v>
      </c>
      <c r="E50" s="322">
        <f>D17*80%</f>
        <v>7043353.5488000009</v>
      </c>
      <c r="F50" s="322">
        <f>D18*80%</f>
        <v>314435.42628571432</v>
      </c>
      <c r="G50" s="323">
        <f t="shared" si="0"/>
        <v>7357788.9750857148</v>
      </c>
      <c r="H50" s="324">
        <f>H49-G50</f>
        <v>-1.0244548320770264E-8</v>
      </c>
    </row>
    <row r="51" spans="1:8">
      <c r="A51" s="482" t="s">
        <v>16</v>
      </c>
      <c r="B51" s="482"/>
      <c r="C51" s="482"/>
      <c r="D51" s="483"/>
      <c r="E51" s="332">
        <f>SUM(E23:E50)</f>
        <v>8804191.9360000025</v>
      </c>
      <c r="F51" s="332">
        <f>SUM(F23:F50)</f>
        <v>393044.28285714297</v>
      </c>
      <c r="G51" s="332">
        <f>SUM(G23:G50)</f>
        <v>9197236.2188571431</v>
      </c>
      <c r="H51" s="354"/>
    </row>
    <row r="52" spans="1:8" s="233" customFormat="1" ht="14">
      <c r="C52" s="287"/>
      <c r="D52" s="288"/>
      <c r="E52" s="289"/>
      <c r="F52" s="289"/>
      <c r="G52" s="289"/>
    </row>
    <row r="53" spans="1:8" s="233" customFormat="1" ht="14">
      <c r="A53" s="439" t="s">
        <v>364</v>
      </c>
      <c r="B53" s="439"/>
      <c r="C53" s="439"/>
      <c r="D53" s="439"/>
      <c r="E53" s="439"/>
      <c r="F53" s="439"/>
      <c r="G53" s="439"/>
      <c r="H53" s="439"/>
    </row>
    <row r="54" spans="1:8" s="233" customFormat="1" ht="20.25" customHeight="1">
      <c r="A54" s="449" t="s">
        <v>365</v>
      </c>
      <c r="B54" s="449"/>
      <c r="C54" s="449"/>
      <c r="D54" s="449"/>
      <c r="E54" s="449"/>
      <c r="F54" s="449"/>
      <c r="G54" s="449"/>
      <c r="H54" s="449"/>
    </row>
    <row r="55" spans="1:8" s="233" customFormat="1" ht="16.5" customHeight="1">
      <c r="A55" s="439" t="s">
        <v>366</v>
      </c>
      <c r="B55" s="439"/>
      <c r="C55" s="439"/>
      <c r="D55" s="439"/>
      <c r="E55" s="439"/>
      <c r="F55" s="439"/>
      <c r="G55" s="439"/>
      <c r="H55" s="439"/>
    </row>
    <row r="56" spans="1:8" s="233" customFormat="1" ht="16.5" customHeight="1">
      <c r="A56" s="439" t="s">
        <v>367</v>
      </c>
      <c r="B56" s="439"/>
      <c r="C56" s="439"/>
      <c r="D56" s="439"/>
      <c r="E56" s="439"/>
      <c r="F56" s="439"/>
      <c r="G56" s="439"/>
      <c r="H56" s="439"/>
    </row>
    <row r="57" spans="1:8" s="233" customFormat="1" ht="16.5" customHeight="1">
      <c r="A57" s="439" t="s">
        <v>368</v>
      </c>
      <c r="B57" s="439"/>
      <c r="C57" s="439"/>
      <c r="D57" s="439"/>
      <c r="E57" s="439"/>
      <c r="F57" s="439"/>
      <c r="G57" s="439"/>
      <c r="H57" s="439"/>
    </row>
    <row r="58" spans="1:8" s="233" customFormat="1" ht="94.5" customHeight="1">
      <c r="A58" s="439" t="s">
        <v>369</v>
      </c>
      <c r="B58" s="439"/>
      <c r="C58" s="439"/>
      <c r="D58" s="439"/>
      <c r="E58" s="439"/>
      <c r="F58" s="439"/>
      <c r="G58" s="439"/>
      <c r="H58" s="439"/>
    </row>
    <row r="59" spans="1:8" s="233" customFormat="1" ht="44.25" customHeight="1">
      <c r="A59" s="439" t="s">
        <v>370</v>
      </c>
      <c r="B59" s="439"/>
      <c r="C59" s="439"/>
      <c r="D59" s="439"/>
      <c r="E59" s="439"/>
      <c r="F59" s="439"/>
      <c r="G59" s="439"/>
      <c r="H59" s="439"/>
    </row>
    <row r="60" spans="1:8" s="233" customFormat="1" ht="19.5" customHeight="1">
      <c r="A60" s="439" t="s">
        <v>371</v>
      </c>
      <c r="B60" s="439"/>
      <c r="C60" s="439"/>
      <c r="D60" s="439"/>
      <c r="E60" s="439"/>
      <c r="F60" s="439"/>
      <c r="G60" s="439"/>
      <c r="H60" s="439"/>
    </row>
    <row r="61" spans="1:8" s="233" customFormat="1" ht="14">
      <c r="A61" s="439"/>
      <c r="B61" s="439"/>
      <c r="C61" s="439"/>
      <c r="D61" s="439"/>
      <c r="E61" s="439"/>
      <c r="F61" s="439"/>
      <c r="G61" s="439"/>
      <c r="H61" s="439"/>
    </row>
    <row r="62" spans="1:8" s="233" customFormat="1" ht="14">
      <c r="A62" s="233" t="s">
        <v>17</v>
      </c>
      <c r="D62" s="231"/>
      <c r="G62" s="230"/>
    </row>
    <row r="63" spans="1:8" s="233" customFormat="1" ht="14">
      <c r="D63" s="231"/>
      <c r="G63" s="230"/>
    </row>
    <row r="64" spans="1:8" s="233" customFormat="1" ht="15" customHeight="1">
      <c r="A64" s="290"/>
      <c r="B64" s="290"/>
      <c r="C64" s="290"/>
      <c r="D64" s="231"/>
      <c r="E64" s="290"/>
      <c r="F64" s="290"/>
      <c r="G64" s="291"/>
    </row>
    <row r="65" spans="1:7" s="233" customFormat="1" ht="14">
      <c r="A65" s="452" t="s">
        <v>355</v>
      </c>
      <c r="B65" s="452"/>
      <c r="C65" s="452"/>
      <c r="D65" s="231"/>
      <c r="E65" s="452" t="s">
        <v>18</v>
      </c>
      <c r="F65" s="452"/>
      <c r="G65" s="452"/>
    </row>
  </sheetData>
  <sheetProtection password="CAF1" sheet="1" objects="1" scenarios="1" selectLockedCells="1"/>
  <mergeCells count="21">
    <mergeCell ref="A65:C65"/>
    <mergeCell ref="E65:G65"/>
    <mergeCell ref="A57:H57"/>
    <mergeCell ref="A58:H58"/>
    <mergeCell ref="A59:H59"/>
    <mergeCell ref="A60:H60"/>
    <mergeCell ref="A61:H61"/>
    <mergeCell ref="H1:H2"/>
    <mergeCell ref="C10:H10"/>
    <mergeCell ref="A9:B9"/>
    <mergeCell ref="C5:H5"/>
    <mergeCell ref="C6:H6"/>
    <mergeCell ref="C7:H7"/>
    <mergeCell ref="C8:H8"/>
    <mergeCell ref="C9:H9"/>
    <mergeCell ref="A53:H53"/>
    <mergeCell ref="A54:H54"/>
    <mergeCell ref="A55:H55"/>
    <mergeCell ref="A56:H56"/>
    <mergeCell ref="A22:G22"/>
    <mergeCell ref="A51:D51"/>
  </mergeCells>
  <hyperlinks>
    <hyperlink ref="J4" location="'DATA SHEET'!A1" display="Return to Data Sheet" xr:uid="{00000000-0004-0000-1B00-000000000000}"/>
    <hyperlink ref="C1" location="'DATA SHEET'!A1" display="HIGHLANDS PRIME, INC." xr:uid="{00000000-0004-0000-1B00-000001000000}"/>
  </hyperlinks>
  <printOptions horizontalCentered="1"/>
  <pageMargins left="0.7" right="0.7" top="0.75" bottom="0.75" header="0.3" footer="0.3"/>
  <pageSetup paperSize="5" scale="75"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tabColor rgb="FF389E8F"/>
    <pageSetUpPr fitToPage="1"/>
  </sheetPr>
  <dimension ref="A1:L65"/>
  <sheetViews>
    <sheetView showGridLines="0" workbookViewId="0">
      <selection activeCell="C15" sqref="C15"/>
    </sheetView>
  </sheetViews>
  <sheetFormatPr baseColWidth="10" defaultColWidth="0" defaultRowHeight="15"/>
  <cols>
    <col min="1" max="1" width="12.33203125" style="37" customWidth="1"/>
    <col min="2" max="2" width="10.1640625" style="37" customWidth="1"/>
    <col min="3" max="3" width="24" style="37" customWidth="1"/>
    <col min="4" max="4" width="11.83203125" style="38" bestFit="1" customWidth="1"/>
    <col min="5" max="5" width="12.5" style="37" bestFit="1" customWidth="1"/>
    <col min="6" max="6" width="13.6640625" style="37" bestFit="1" customWidth="1"/>
    <col min="7" max="7" width="13.5" style="37" bestFit="1" customWidth="1"/>
    <col min="8" max="8" width="15.6640625" style="37" customWidth="1"/>
    <col min="9" max="12" width="9.1640625" style="353" customWidth="1"/>
    <col min="13" max="16384" width="9.1640625" style="353" hidden="1"/>
  </cols>
  <sheetData>
    <row r="1" spans="1:10" ht="15" customHeight="1">
      <c r="C1" s="240" t="s">
        <v>35</v>
      </c>
      <c r="H1" s="478" t="s">
        <v>66</v>
      </c>
    </row>
    <row r="2" spans="1:10" ht="15" customHeight="1">
      <c r="C2" s="230" t="s">
        <v>348</v>
      </c>
      <c r="H2" s="478"/>
    </row>
    <row r="3" spans="1:10">
      <c r="C3" s="230" t="s">
        <v>36</v>
      </c>
    </row>
    <row r="4" spans="1:10">
      <c r="J4" s="311" t="s">
        <v>305</v>
      </c>
    </row>
    <row r="5" spans="1:10">
      <c r="A5" s="312" t="s">
        <v>0</v>
      </c>
      <c r="B5" s="340"/>
      <c r="C5" s="468" t="str">
        <f>'DATA SHEET'!D10</f>
        <v xml:space="preserve"> </v>
      </c>
      <c r="D5" s="468"/>
      <c r="E5" s="468"/>
      <c r="F5" s="468"/>
      <c r="G5" s="468"/>
      <c r="H5" s="469"/>
    </row>
    <row r="6" spans="1:10">
      <c r="A6" s="335" t="s">
        <v>31</v>
      </c>
      <c r="B6" s="341"/>
      <c r="C6" s="456" t="str">
        <f>VLOOKUP('DATA SHEET'!$D$11,' Garden Suites PL'!C6:F28,1,FALSE)</f>
        <v>GA</v>
      </c>
      <c r="D6" s="456"/>
      <c r="E6" s="456"/>
      <c r="F6" s="456"/>
      <c r="G6" s="456"/>
      <c r="H6" s="457"/>
    </row>
    <row r="7" spans="1:10">
      <c r="A7" s="335" t="s">
        <v>37</v>
      </c>
      <c r="B7" s="341"/>
      <c r="C7" s="470">
        <f>VLOOKUP('DATA SHEET'!D11,' Garden Suites PL'!C6:F28,3,0)</f>
        <v>67.900000000000006</v>
      </c>
      <c r="D7" s="470"/>
      <c r="E7" s="470"/>
      <c r="F7" s="470"/>
      <c r="G7" s="470"/>
      <c r="H7" s="471"/>
    </row>
    <row r="8" spans="1:10">
      <c r="A8" s="246" t="s">
        <v>352</v>
      </c>
      <c r="B8" s="286"/>
      <c r="C8" s="458" t="str">
        <f>VLOOKUP('DATA SHEET'!D11,' Garden Suites PL'!C6:D28,2,0)</f>
        <v>1-Bedroom Terrace Suite</v>
      </c>
      <c r="D8" s="458"/>
      <c r="E8" s="458"/>
      <c r="F8" s="458"/>
      <c r="G8" s="458"/>
      <c r="H8" s="459"/>
    </row>
    <row r="9" spans="1:10">
      <c r="A9" s="438" t="s">
        <v>356</v>
      </c>
      <c r="B9" s="436"/>
      <c r="C9" s="472">
        <f>VLOOKUP('DATA SHEET'!D11,' Garden Suites PL'!C6:G28,5,0)</f>
        <v>9961680</v>
      </c>
      <c r="D9" s="472"/>
      <c r="E9" s="472"/>
      <c r="F9" s="472"/>
      <c r="G9" s="472"/>
      <c r="H9" s="473"/>
    </row>
    <row r="10" spans="1:10">
      <c r="A10" s="338" t="s">
        <v>33</v>
      </c>
      <c r="B10" s="342"/>
      <c r="C10" s="496" t="str">
        <f>+'DATA SHEET'!D23</f>
        <v>5% DP, 15% over 24 months, 80% Lump Sum</v>
      </c>
      <c r="D10" s="496"/>
      <c r="E10" s="496"/>
      <c r="F10" s="496"/>
      <c r="G10" s="496"/>
      <c r="H10" s="497"/>
    </row>
    <row r="12" spans="1:10">
      <c r="A12" s="39" t="s">
        <v>55</v>
      </c>
      <c r="B12" s="39"/>
    </row>
    <row r="13" spans="1:10">
      <c r="A13" s="233" t="s">
        <v>359</v>
      </c>
      <c r="D13" s="194">
        <f>(C9-650000)</f>
        <v>9311680</v>
      </c>
      <c r="E13" s="316" t="str">
        <f>LEFT(C8,9)</f>
        <v>1-Bedroom</v>
      </c>
      <c r="F13" s="316"/>
      <c r="G13" s="316"/>
      <c r="H13" s="194"/>
    </row>
    <row r="14" spans="1:10" s="37" customFormat="1" ht="14">
      <c r="A14" s="228" t="s">
        <v>71</v>
      </c>
      <c r="B14" s="228"/>
      <c r="C14" s="369">
        <v>5.0000000000000001E-3</v>
      </c>
      <c r="D14" s="256">
        <f>IF(C14&lt;=0.5%,(D13*C14),"BEYOND MAX DISC.")</f>
        <v>46558.400000000001</v>
      </c>
      <c r="E14" s="38"/>
      <c r="F14" s="38"/>
      <c r="G14" s="38"/>
      <c r="H14" s="38"/>
      <c r="I14" s="38"/>
      <c r="J14" s="194"/>
    </row>
    <row r="15" spans="1:10" s="37" customFormat="1" ht="14">
      <c r="A15" s="228" t="s">
        <v>378</v>
      </c>
      <c r="B15" s="228"/>
      <c r="C15" s="368">
        <v>0.01</v>
      </c>
      <c r="D15" s="194">
        <f>IF(C15&lt;=1%,((D13-D14)*C15),"BEYOND MAX DISC.")</f>
        <v>92651.216</v>
      </c>
      <c r="E15" s="38"/>
      <c r="F15" s="38"/>
      <c r="G15" s="38"/>
      <c r="H15" s="38"/>
      <c r="I15" s="38"/>
      <c r="J15" s="194"/>
    </row>
    <row r="16" spans="1:10" s="37" customFormat="1" ht="14">
      <c r="A16" s="228" t="s">
        <v>379</v>
      </c>
      <c r="B16" s="228"/>
      <c r="C16" s="227"/>
      <c r="D16" s="349">
        <v>230000</v>
      </c>
      <c r="E16" s="38"/>
      <c r="F16" s="38"/>
      <c r="G16" s="38"/>
      <c r="H16" s="38"/>
      <c r="I16" s="38"/>
      <c r="J16" s="194"/>
    </row>
    <row r="17" spans="1:8">
      <c r="A17" s="230" t="s">
        <v>361</v>
      </c>
      <c r="B17" s="230"/>
      <c r="C17" s="233"/>
      <c r="D17" s="318">
        <f>+D13-SUM(D14:D16)</f>
        <v>8942470.3839999996</v>
      </c>
      <c r="E17" s="38"/>
      <c r="F17" s="38"/>
      <c r="G17" s="38"/>
    </row>
    <row r="18" spans="1:8">
      <c r="A18" s="267" t="s">
        <v>350</v>
      </c>
      <c r="B18" s="267"/>
      <c r="C18" s="229">
        <v>0.05</v>
      </c>
      <c r="D18" s="309">
        <f>(D17/1.12)*C18</f>
        <v>399217.42785714281</v>
      </c>
      <c r="E18" s="38"/>
      <c r="F18" s="38"/>
      <c r="G18" s="38"/>
    </row>
    <row r="19" spans="1:8" ht="16" thickBot="1">
      <c r="A19" s="230" t="s">
        <v>58</v>
      </c>
      <c r="B19" s="230"/>
      <c r="C19" s="230"/>
      <c r="D19" s="270">
        <f>+D17+D18</f>
        <v>9341687.8118571416</v>
      </c>
      <c r="E19" s="38"/>
      <c r="F19" s="38"/>
      <c r="G19" s="38"/>
    </row>
    <row r="20" spans="1:8" ht="7.5" customHeight="1" thickTop="1"/>
    <row r="21" spans="1:8">
      <c r="A21" s="271" t="s">
        <v>34</v>
      </c>
      <c r="B21" s="271" t="s">
        <v>347</v>
      </c>
      <c r="C21" s="271" t="s">
        <v>2</v>
      </c>
      <c r="D21" s="271" t="s">
        <v>343</v>
      </c>
      <c r="E21" s="271" t="s">
        <v>363</v>
      </c>
      <c r="F21" s="271" t="s">
        <v>344</v>
      </c>
      <c r="G21" s="272" t="s">
        <v>349</v>
      </c>
      <c r="H21" s="271" t="s">
        <v>345</v>
      </c>
    </row>
    <row r="22" spans="1:8">
      <c r="A22" s="453" t="s">
        <v>346</v>
      </c>
      <c r="B22" s="454"/>
      <c r="C22" s="454"/>
      <c r="D22" s="454"/>
      <c r="E22" s="454"/>
      <c r="F22" s="454"/>
      <c r="G22" s="455"/>
      <c r="H22" s="310">
        <f>+D19</f>
        <v>9341687.8118571416</v>
      </c>
    </row>
    <row r="23" spans="1:8">
      <c r="A23" s="320">
        <v>0</v>
      </c>
      <c r="B23" s="320"/>
      <c r="C23" s="320" t="s">
        <v>38</v>
      </c>
      <c r="D23" s="321">
        <f ca="1">'DATA SHEET'!D9</f>
        <v>43973</v>
      </c>
      <c r="E23" s="322">
        <f>IF(E13="1-Bedroom",50000,100000)</f>
        <v>50000</v>
      </c>
      <c r="F23" s="322"/>
      <c r="G23" s="323">
        <f>+SUM(E23:F23)</f>
        <v>50000</v>
      </c>
      <c r="H23" s="324">
        <f>D19-G23</f>
        <v>9291687.8118571416</v>
      </c>
    </row>
    <row r="24" spans="1:8">
      <c r="A24" s="320">
        <v>1</v>
      </c>
      <c r="B24" s="325">
        <v>0.05</v>
      </c>
      <c r="C24" s="320" t="s">
        <v>306</v>
      </c>
      <c r="D24" s="321">
        <f ca="1">EDATE(D23,1)</f>
        <v>44004</v>
      </c>
      <c r="E24" s="322">
        <f>((D17*5%)-E23)</f>
        <v>397123.51919999998</v>
      </c>
      <c r="F24" s="322">
        <f>((D18*5%))</f>
        <v>19960.871392857141</v>
      </c>
      <c r="G24" s="323">
        <f t="shared" ref="G24:G50" si="0">+SUM(E24:F24)</f>
        <v>417084.39059285715</v>
      </c>
      <c r="H24" s="324">
        <f>H23-G24</f>
        <v>8874603.4212642852</v>
      </c>
    </row>
    <row r="25" spans="1:8">
      <c r="A25" s="320"/>
      <c r="B25" s="325">
        <v>0.15</v>
      </c>
      <c r="C25" s="320" t="s">
        <v>351</v>
      </c>
      <c r="D25" s="321"/>
      <c r="E25" s="322"/>
      <c r="F25" s="322"/>
      <c r="G25" s="323"/>
      <c r="H25" s="324"/>
    </row>
    <row r="26" spans="1:8">
      <c r="A26" s="320">
        <v>2</v>
      </c>
      <c r="B26" s="320"/>
      <c r="C26" s="320" t="s">
        <v>4</v>
      </c>
      <c r="D26" s="321">
        <f ca="1">EDATE(D24,1)</f>
        <v>44034</v>
      </c>
      <c r="E26" s="322">
        <f>(D17*15%)/24</f>
        <v>55890.439899999998</v>
      </c>
      <c r="F26" s="322">
        <f>(D18*15%)/24</f>
        <v>2495.1089241071427</v>
      </c>
      <c r="G26" s="323">
        <f t="shared" si="0"/>
        <v>58385.548824107143</v>
      </c>
      <c r="H26" s="324">
        <f>H24-G26</f>
        <v>8816217.8724401779</v>
      </c>
    </row>
    <row r="27" spans="1:8">
      <c r="A27" s="320">
        <v>3</v>
      </c>
      <c r="B27" s="320"/>
      <c r="C27" s="320" t="s">
        <v>5</v>
      </c>
      <c r="D27" s="321">
        <f t="shared" ref="D27:D50" ca="1" si="1">EDATE(D26,1)</f>
        <v>44065</v>
      </c>
      <c r="E27" s="322">
        <f>E26</f>
        <v>55890.439899999998</v>
      </c>
      <c r="F27" s="322">
        <f t="shared" ref="F27:F49" si="2">+$F$26</f>
        <v>2495.1089241071427</v>
      </c>
      <c r="G27" s="323">
        <f t="shared" si="0"/>
        <v>58385.548824107143</v>
      </c>
      <c r="H27" s="324">
        <f t="shared" ref="H27:H50" si="3">H26-G27</f>
        <v>8757832.3236160707</v>
      </c>
    </row>
    <row r="28" spans="1:8">
      <c r="A28" s="320">
        <v>4</v>
      </c>
      <c r="B28" s="320"/>
      <c r="C28" s="320" t="s">
        <v>6</v>
      </c>
      <c r="D28" s="321">
        <f t="shared" ca="1" si="1"/>
        <v>44096</v>
      </c>
      <c r="E28" s="322">
        <f t="shared" ref="E28:E49" si="4">E27</f>
        <v>55890.439899999998</v>
      </c>
      <c r="F28" s="322">
        <f t="shared" si="2"/>
        <v>2495.1089241071427</v>
      </c>
      <c r="G28" s="323">
        <f t="shared" si="0"/>
        <v>58385.548824107143</v>
      </c>
      <c r="H28" s="324">
        <f t="shared" si="3"/>
        <v>8699446.7747919634</v>
      </c>
    </row>
    <row r="29" spans="1:8">
      <c r="A29" s="320">
        <v>5</v>
      </c>
      <c r="B29" s="320"/>
      <c r="C29" s="320" t="s">
        <v>7</v>
      </c>
      <c r="D29" s="321">
        <f t="shared" ca="1" si="1"/>
        <v>44126</v>
      </c>
      <c r="E29" s="322">
        <f t="shared" si="4"/>
        <v>55890.439899999998</v>
      </c>
      <c r="F29" s="322">
        <f t="shared" si="2"/>
        <v>2495.1089241071427</v>
      </c>
      <c r="G29" s="323">
        <f t="shared" si="0"/>
        <v>58385.548824107143</v>
      </c>
      <c r="H29" s="324">
        <f t="shared" si="3"/>
        <v>8641061.2259678561</v>
      </c>
    </row>
    <row r="30" spans="1:8">
      <c r="A30" s="320">
        <v>6</v>
      </c>
      <c r="B30" s="320"/>
      <c r="C30" s="320" t="s">
        <v>8</v>
      </c>
      <c r="D30" s="321">
        <f t="shared" ca="1" si="1"/>
        <v>44157</v>
      </c>
      <c r="E30" s="322">
        <f t="shared" si="4"/>
        <v>55890.439899999998</v>
      </c>
      <c r="F30" s="322">
        <f t="shared" si="2"/>
        <v>2495.1089241071427</v>
      </c>
      <c r="G30" s="323">
        <f t="shared" si="0"/>
        <v>58385.548824107143</v>
      </c>
      <c r="H30" s="324">
        <f t="shared" si="3"/>
        <v>8582675.6771437488</v>
      </c>
    </row>
    <row r="31" spans="1:8">
      <c r="A31" s="320">
        <v>7</v>
      </c>
      <c r="B31" s="320"/>
      <c r="C31" s="320" t="s">
        <v>9</v>
      </c>
      <c r="D31" s="321">
        <f t="shared" ca="1" si="1"/>
        <v>44187</v>
      </c>
      <c r="E31" s="322">
        <f t="shared" si="4"/>
        <v>55890.439899999998</v>
      </c>
      <c r="F31" s="322">
        <f t="shared" si="2"/>
        <v>2495.1089241071427</v>
      </c>
      <c r="G31" s="323">
        <f t="shared" si="0"/>
        <v>58385.548824107143</v>
      </c>
      <c r="H31" s="324">
        <f t="shared" si="3"/>
        <v>8524290.1283196416</v>
      </c>
    </row>
    <row r="32" spans="1:8">
      <c r="A32" s="320">
        <v>8</v>
      </c>
      <c r="B32" s="320"/>
      <c r="C32" s="320" t="s">
        <v>10</v>
      </c>
      <c r="D32" s="321">
        <f t="shared" ca="1" si="1"/>
        <v>44218</v>
      </c>
      <c r="E32" s="322">
        <f t="shared" si="4"/>
        <v>55890.439899999998</v>
      </c>
      <c r="F32" s="322">
        <f t="shared" si="2"/>
        <v>2495.1089241071427</v>
      </c>
      <c r="G32" s="323">
        <f t="shared" si="0"/>
        <v>58385.548824107143</v>
      </c>
      <c r="H32" s="324">
        <f t="shared" si="3"/>
        <v>8465904.5794955343</v>
      </c>
    </row>
    <row r="33" spans="1:8">
      <c r="A33" s="320">
        <v>9</v>
      </c>
      <c r="B33" s="320"/>
      <c r="C33" s="320" t="s">
        <v>11</v>
      </c>
      <c r="D33" s="321">
        <f t="shared" ca="1" si="1"/>
        <v>44249</v>
      </c>
      <c r="E33" s="322">
        <f t="shared" si="4"/>
        <v>55890.439899999998</v>
      </c>
      <c r="F33" s="322">
        <f t="shared" si="2"/>
        <v>2495.1089241071427</v>
      </c>
      <c r="G33" s="323">
        <f t="shared" si="0"/>
        <v>58385.548824107143</v>
      </c>
      <c r="H33" s="324">
        <f t="shared" si="3"/>
        <v>8407519.030671427</v>
      </c>
    </row>
    <row r="34" spans="1:8">
      <c r="A34" s="320">
        <v>10</v>
      </c>
      <c r="B34" s="320"/>
      <c r="C34" s="320" t="s">
        <v>12</v>
      </c>
      <c r="D34" s="321">
        <f t="shared" ca="1" si="1"/>
        <v>44277</v>
      </c>
      <c r="E34" s="322">
        <f t="shared" si="4"/>
        <v>55890.439899999998</v>
      </c>
      <c r="F34" s="322">
        <f t="shared" si="2"/>
        <v>2495.1089241071427</v>
      </c>
      <c r="G34" s="323">
        <f t="shared" si="0"/>
        <v>58385.548824107143</v>
      </c>
      <c r="H34" s="324">
        <f t="shared" si="3"/>
        <v>8349133.4818473198</v>
      </c>
    </row>
    <row r="35" spans="1:8">
      <c r="A35" s="320">
        <v>11</v>
      </c>
      <c r="B35" s="320"/>
      <c r="C35" s="320" t="s">
        <v>13</v>
      </c>
      <c r="D35" s="321">
        <f t="shared" ca="1" si="1"/>
        <v>44308</v>
      </c>
      <c r="E35" s="322">
        <f t="shared" si="4"/>
        <v>55890.439899999998</v>
      </c>
      <c r="F35" s="322">
        <f t="shared" si="2"/>
        <v>2495.1089241071427</v>
      </c>
      <c r="G35" s="323">
        <f t="shared" si="0"/>
        <v>58385.548824107143</v>
      </c>
      <c r="H35" s="324">
        <f t="shared" si="3"/>
        <v>8290747.9330232125</v>
      </c>
    </row>
    <row r="36" spans="1:8">
      <c r="A36" s="320">
        <v>12</v>
      </c>
      <c r="B36" s="320"/>
      <c r="C36" s="320" t="s">
        <v>14</v>
      </c>
      <c r="D36" s="321">
        <f t="shared" ca="1" si="1"/>
        <v>44338</v>
      </c>
      <c r="E36" s="322">
        <f t="shared" si="4"/>
        <v>55890.439899999998</v>
      </c>
      <c r="F36" s="322">
        <f t="shared" si="2"/>
        <v>2495.1089241071427</v>
      </c>
      <c r="G36" s="323">
        <f t="shared" si="0"/>
        <v>58385.548824107143</v>
      </c>
      <c r="H36" s="324">
        <f t="shared" si="3"/>
        <v>8232362.3841991052</v>
      </c>
    </row>
    <row r="37" spans="1:8">
      <c r="A37" s="320">
        <v>13</v>
      </c>
      <c r="B37" s="320"/>
      <c r="C37" s="320" t="s">
        <v>15</v>
      </c>
      <c r="D37" s="321">
        <f t="shared" ca="1" si="1"/>
        <v>44369</v>
      </c>
      <c r="E37" s="322">
        <f t="shared" si="4"/>
        <v>55890.439899999998</v>
      </c>
      <c r="F37" s="322">
        <f t="shared" si="2"/>
        <v>2495.1089241071427</v>
      </c>
      <c r="G37" s="323">
        <f t="shared" si="0"/>
        <v>58385.548824107143</v>
      </c>
      <c r="H37" s="324">
        <f t="shared" si="3"/>
        <v>8173976.8353749979</v>
      </c>
    </row>
    <row r="38" spans="1:8">
      <c r="A38" s="320">
        <v>14</v>
      </c>
      <c r="B38" s="320"/>
      <c r="C38" s="320" t="s">
        <v>19</v>
      </c>
      <c r="D38" s="321">
        <f t="shared" ca="1" si="1"/>
        <v>44399</v>
      </c>
      <c r="E38" s="322">
        <f t="shared" si="4"/>
        <v>55890.439899999998</v>
      </c>
      <c r="F38" s="322">
        <f t="shared" si="2"/>
        <v>2495.1089241071427</v>
      </c>
      <c r="G38" s="323">
        <f t="shared" si="0"/>
        <v>58385.548824107143</v>
      </c>
      <c r="H38" s="324">
        <f t="shared" si="3"/>
        <v>8115591.2865508907</v>
      </c>
    </row>
    <row r="39" spans="1:8">
      <c r="A39" s="320">
        <v>15</v>
      </c>
      <c r="B39" s="320"/>
      <c r="C39" s="320" t="s">
        <v>20</v>
      </c>
      <c r="D39" s="321">
        <f t="shared" ca="1" si="1"/>
        <v>44430</v>
      </c>
      <c r="E39" s="322">
        <f t="shared" si="4"/>
        <v>55890.439899999998</v>
      </c>
      <c r="F39" s="322">
        <f t="shared" si="2"/>
        <v>2495.1089241071427</v>
      </c>
      <c r="G39" s="323">
        <f t="shared" si="0"/>
        <v>58385.548824107143</v>
      </c>
      <c r="H39" s="324">
        <f t="shared" si="3"/>
        <v>8057205.7377267834</v>
      </c>
    </row>
    <row r="40" spans="1:8">
      <c r="A40" s="320">
        <v>16</v>
      </c>
      <c r="B40" s="320"/>
      <c r="C40" s="320" t="s">
        <v>21</v>
      </c>
      <c r="D40" s="321">
        <f t="shared" ca="1" si="1"/>
        <v>44461</v>
      </c>
      <c r="E40" s="322">
        <f t="shared" si="4"/>
        <v>55890.439899999998</v>
      </c>
      <c r="F40" s="322">
        <f t="shared" si="2"/>
        <v>2495.1089241071427</v>
      </c>
      <c r="G40" s="323">
        <f t="shared" si="0"/>
        <v>58385.548824107143</v>
      </c>
      <c r="H40" s="324">
        <f t="shared" si="3"/>
        <v>7998820.1889026761</v>
      </c>
    </row>
    <row r="41" spans="1:8">
      <c r="A41" s="320">
        <v>17</v>
      </c>
      <c r="B41" s="320"/>
      <c r="C41" s="320" t="s">
        <v>22</v>
      </c>
      <c r="D41" s="321">
        <f t="shared" ca="1" si="1"/>
        <v>44491</v>
      </c>
      <c r="E41" s="322">
        <f t="shared" si="4"/>
        <v>55890.439899999998</v>
      </c>
      <c r="F41" s="322">
        <f t="shared" si="2"/>
        <v>2495.1089241071427</v>
      </c>
      <c r="G41" s="323">
        <f t="shared" si="0"/>
        <v>58385.548824107143</v>
      </c>
      <c r="H41" s="324">
        <f t="shared" si="3"/>
        <v>7940434.6400785688</v>
      </c>
    </row>
    <row r="42" spans="1:8">
      <c r="A42" s="320">
        <v>18</v>
      </c>
      <c r="B42" s="320"/>
      <c r="C42" s="320" t="s">
        <v>23</v>
      </c>
      <c r="D42" s="321">
        <f t="shared" ca="1" si="1"/>
        <v>44522</v>
      </c>
      <c r="E42" s="322">
        <f t="shared" si="4"/>
        <v>55890.439899999998</v>
      </c>
      <c r="F42" s="322">
        <f t="shared" si="2"/>
        <v>2495.1089241071427</v>
      </c>
      <c r="G42" s="323">
        <f t="shared" si="0"/>
        <v>58385.548824107143</v>
      </c>
      <c r="H42" s="324">
        <f t="shared" si="3"/>
        <v>7882049.0912544616</v>
      </c>
    </row>
    <row r="43" spans="1:8">
      <c r="A43" s="320">
        <v>19</v>
      </c>
      <c r="B43" s="320"/>
      <c r="C43" s="320" t="s">
        <v>24</v>
      </c>
      <c r="D43" s="321">
        <f t="shared" ca="1" si="1"/>
        <v>44552</v>
      </c>
      <c r="E43" s="322">
        <f t="shared" si="4"/>
        <v>55890.439899999998</v>
      </c>
      <c r="F43" s="322">
        <f t="shared" si="2"/>
        <v>2495.1089241071427</v>
      </c>
      <c r="G43" s="323">
        <f t="shared" si="0"/>
        <v>58385.548824107143</v>
      </c>
      <c r="H43" s="324">
        <f t="shared" si="3"/>
        <v>7823663.5424303543</v>
      </c>
    </row>
    <row r="44" spans="1:8">
      <c r="A44" s="320">
        <v>20</v>
      </c>
      <c r="B44" s="320"/>
      <c r="C44" s="320" t="s">
        <v>25</v>
      </c>
      <c r="D44" s="321">
        <f t="shared" ca="1" si="1"/>
        <v>44583</v>
      </c>
      <c r="E44" s="322">
        <f t="shared" si="4"/>
        <v>55890.439899999998</v>
      </c>
      <c r="F44" s="322">
        <f t="shared" si="2"/>
        <v>2495.1089241071427</v>
      </c>
      <c r="G44" s="323">
        <f t="shared" si="0"/>
        <v>58385.548824107143</v>
      </c>
      <c r="H44" s="324">
        <f t="shared" si="3"/>
        <v>7765277.993606247</v>
      </c>
    </row>
    <row r="45" spans="1:8">
      <c r="A45" s="320">
        <v>21</v>
      </c>
      <c r="B45" s="320"/>
      <c r="C45" s="320" t="s">
        <v>26</v>
      </c>
      <c r="D45" s="321">
        <f t="shared" ca="1" si="1"/>
        <v>44614</v>
      </c>
      <c r="E45" s="322">
        <f t="shared" si="4"/>
        <v>55890.439899999998</v>
      </c>
      <c r="F45" s="322">
        <f t="shared" si="2"/>
        <v>2495.1089241071427</v>
      </c>
      <c r="G45" s="323">
        <f t="shared" si="0"/>
        <v>58385.548824107143</v>
      </c>
      <c r="H45" s="324">
        <f t="shared" si="3"/>
        <v>7706892.4447821397</v>
      </c>
    </row>
    <row r="46" spans="1:8">
      <c r="A46" s="320">
        <v>22</v>
      </c>
      <c r="B46" s="320"/>
      <c r="C46" s="320" t="s">
        <v>27</v>
      </c>
      <c r="D46" s="321">
        <f t="shared" ca="1" si="1"/>
        <v>44642</v>
      </c>
      <c r="E46" s="322">
        <f t="shared" si="4"/>
        <v>55890.439899999998</v>
      </c>
      <c r="F46" s="322">
        <f t="shared" si="2"/>
        <v>2495.1089241071427</v>
      </c>
      <c r="G46" s="323">
        <f t="shared" si="0"/>
        <v>58385.548824107143</v>
      </c>
      <c r="H46" s="324">
        <f t="shared" si="3"/>
        <v>7648506.8959580325</v>
      </c>
    </row>
    <row r="47" spans="1:8">
      <c r="A47" s="320">
        <v>23</v>
      </c>
      <c r="B47" s="320"/>
      <c r="C47" s="320" t="s">
        <v>28</v>
      </c>
      <c r="D47" s="321">
        <f t="shared" ca="1" si="1"/>
        <v>44673</v>
      </c>
      <c r="E47" s="322">
        <f t="shared" si="4"/>
        <v>55890.439899999998</v>
      </c>
      <c r="F47" s="322">
        <f t="shared" si="2"/>
        <v>2495.1089241071427</v>
      </c>
      <c r="G47" s="323">
        <f t="shared" si="0"/>
        <v>58385.548824107143</v>
      </c>
      <c r="H47" s="324">
        <f t="shared" si="3"/>
        <v>7590121.3471339252</v>
      </c>
    </row>
    <row r="48" spans="1:8">
      <c r="A48" s="320">
        <v>24</v>
      </c>
      <c r="B48" s="320"/>
      <c r="C48" s="320" t="s">
        <v>29</v>
      </c>
      <c r="D48" s="321">
        <f t="shared" ca="1" si="1"/>
        <v>44703</v>
      </c>
      <c r="E48" s="322">
        <f t="shared" si="4"/>
        <v>55890.439899999998</v>
      </c>
      <c r="F48" s="322">
        <f t="shared" si="2"/>
        <v>2495.1089241071427</v>
      </c>
      <c r="G48" s="323">
        <f t="shared" si="0"/>
        <v>58385.548824107143</v>
      </c>
      <c r="H48" s="324">
        <f t="shared" si="3"/>
        <v>7531735.7983098179</v>
      </c>
    </row>
    <row r="49" spans="1:8">
      <c r="A49" s="320">
        <v>25</v>
      </c>
      <c r="B49" s="320"/>
      <c r="C49" s="320" t="s">
        <v>30</v>
      </c>
      <c r="D49" s="321">
        <f t="shared" ca="1" si="1"/>
        <v>44734</v>
      </c>
      <c r="E49" s="322">
        <f t="shared" si="4"/>
        <v>55890.439899999998</v>
      </c>
      <c r="F49" s="322">
        <f t="shared" si="2"/>
        <v>2495.1089241071427</v>
      </c>
      <c r="G49" s="323">
        <f t="shared" si="0"/>
        <v>58385.548824107143</v>
      </c>
      <c r="H49" s="324">
        <f t="shared" si="3"/>
        <v>7473350.2494857106</v>
      </c>
    </row>
    <row r="50" spans="1:8">
      <c r="A50" s="320">
        <v>32</v>
      </c>
      <c r="B50" s="325">
        <v>0.8</v>
      </c>
      <c r="C50" s="320" t="s">
        <v>39</v>
      </c>
      <c r="D50" s="321">
        <f t="shared" ca="1" si="1"/>
        <v>44764</v>
      </c>
      <c r="E50" s="322">
        <f>D17*80%</f>
        <v>7153976.3071999997</v>
      </c>
      <c r="F50" s="322">
        <f>D18*80%</f>
        <v>319373.94228571426</v>
      </c>
      <c r="G50" s="323">
        <f t="shared" si="0"/>
        <v>7473350.2494857144</v>
      </c>
      <c r="H50" s="324">
        <f t="shared" si="3"/>
        <v>0</v>
      </c>
    </row>
    <row r="51" spans="1:8">
      <c r="A51" s="482" t="s">
        <v>16</v>
      </c>
      <c r="B51" s="482"/>
      <c r="C51" s="482"/>
      <c r="D51" s="483"/>
      <c r="E51" s="332">
        <f>SUM(E23:E50)</f>
        <v>8942470.3840000015</v>
      </c>
      <c r="F51" s="332">
        <f>SUM(F23:F50)</f>
        <v>399217.42785714287</v>
      </c>
      <c r="G51" s="332">
        <f>SUM(G23:G50)</f>
        <v>9341687.8118571416</v>
      </c>
      <c r="H51" s="354"/>
    </row>
    <row r="52" spans="1:8" s="233" customFormat="1" ht="14">
      <c r="C52" s="287"/>
      <c r="D52" s="288"/>
      <c r="E52" s="289"/>
      <c r="F52" s="289"/>
      <c r="G52" s="289"/>
    </row>
    <row r="53" spans="1:8" s="233" customFormat="1" ht="14">
      <c r="A53" s="439" t="s">
        <v>364</v>
      </c>
      <c r="B53" s="439"/>
      <c r="C53" s="439"/>
      <c r="D53" s="439"/>
      <c r="E53" s="439"/>
      <c r="F53" s="439"/>
      <c r="G53" s="439"/>
      <c r="H53" s="439"/>
    </row>
    <row r="54" spans="1:8" s="233" customFormat="1" ht="31.5" customHeight="1">
      <c r="A54" s="449" t="s">
        <v>365</v>
      </c>
      <c r="B54" s="449"/>
      <c r="C54" s="449"/>
      <c r="D54" s="449"/>
      <c r="E54" s="449"/>
      <c r="F54" s="449"/>
      <c r="G54" s="449"/>
      <c r="H54" s="449"/>
    </row>
    <row r="55" spans="1:8" s="233" customFormat="1" ht="16.5" customHeight="1">
      <c r="A55" s="439" t="s">
        <v>366</v>
      </c>
      <c r="B55" s="439"/>
      <c r="C55" s="439"/>
      <c r="D55" s="439"/>
      <c r="E55" s="439"/>
      <c r="F55" s="439"/>
      <c r="G55" s="439"/>
      <c r="H55" s="439"/>
    </row>
    <row r="56" spans="1:8" s="233" customFormat="1" ht="16.5" customHeight="1">
      <c r="A56" s="439" t="s">
        <v>367</v>
      </c>
      <c r="B56" s="439"/>
      <c r="C56" s="439"/>
      <c r="D56" s="439"/>
      <c r="E56" s="439"/>
      <c r="F56" s="439"/>
      <c r="G56" s="439"/>
      <c r="H56" s="439"/>
    </row>
    <row r="57" spans="1:8" s="233" customFormat="1" ht="16.5" customHeight="1">
      <c r="A57" s="439" t="s">
        <v>368</v>
      </c>
      <c r="B57" s="439"/>
      <c r="C57" s="439"/>
      <c r="D57" s="439"/>
      <c r="E57" s="439"/>
      <c r="F57" s="439"/>
      <c r="G57" s="439"/>
      <c r="H57" s="439"/>
    </row>
    <row r="58" spans="1:8" s="233" customFormat="1" ht="108" customHeight="1">
      <c r="A58" s="439" t="s">
        <v>369</v>
      </c>
      <c r="B58" s="439"/>
      <c r="C58" s="439"/>
      <c r="D58" s="439"/>
      <c r="E58" s="439"/>
      <c r="F58" s="439"/>
      <c r="G58" s="439"/>
      <c r="H58" s="439"/>
    </row>
    <row r="59" spans="1:8" s="233" customFormat="1" ht="44.25" customHeight="1">
      <c r="A59" s="439" t="s">
        <v>370</v>
      </c>
      <c r="B59" s="439"/>
      <c r="C59" s="439"/>
      <c r="D59" s="439"/>
      <c r="E59" s="439"/>
      <c r="F59" s="439"/>
      <c r="G59" s="439"/>
      <c r="H59" s="439"/>
    </row>
    <row r="60" spans="1:8" s="233" customFormat="1" ht="19.5" customHeight="1">
      <c r="A60" s="439" t="s">
        <v>371</v>
      </c>
      <c r="B60" s="439"/>
      <c r="C60" s="439"/>
      <c r="D60" s="439"/>
      <c r="E60" s="439"/>
      <c r="F60" s="439"/>
      <c r="G60" s="439"/>
      <c r="H60" s="439"/>
    </row>
    <row r="61" spans="1:8" s="233" customFormat="1" ht="14">
      <c r="A61" s="439"/>
      <c r="B61" s="439"/>
      <c r="C61" s="439"/>
      <c r="D61" s="439"/>
      <c r="E61" s="439"/>
      <c r="F61" s="439"/>
      <c r="G61" s="439"/>
      <c r="H61" s="439"/>
    </row>
    <row r="62" spans="1:8" s="233" customFormat="1" ht="14">
      <c r="A62" s="233" t="s">
        <v>17</v>
      </c>
      <c r="D62" s="231"/>
      <c r="G62" s="230"/>
    </row>
    <row r="63" spans="1:8" s="233" customFormat="1" ht="14">
      <c r="D63" s="231"/>
      <c r="G63" s="230"/>
    </row>
    <row r="64" spans="1:8" s="233" customFormat="1" ht="15" customHeight="1">
      <c r="A64" s="290"/>
      <c r="B64" s="290"/>
      <c r="C64" s="290"/>
      <c r="D64" s="231"/>
      <c r="E64" s="290"/>
      <c r="F64" s="290"/>
      <c r="G64" s="291"/>
    </row>
    <row r="65" spans="1:7" s="233" customFormat="1" ht="14">
      <c r="A65" s="452" t="s">
        <v>355</v>
      </c>
      <c r="B65" s="452"/>
      <c r="C65" s="452"/>
      <c r="D65" s="231"/>
      <c r="E65" s="452" t="s">
        <v>18</v>
      </c>
      <c r="F65" s="452"/>
      <c r="G65" s="452"/>
    </row>
  </sheetData>
  <sheetProtection password="CAF1" sheet="1" objects="1" scenarios="1" selectLockedCells="1"/>
  <mergeCells count="21">
    <mergeCell ref="A59:H59"/>
    <mergeCell ref="A60:H60"/>
    <mergeCell ref="A61:H61"/>
    <mergeCell ref="A65:C65"/>
    <mergeCell ref="E65:G65"/>
    <mergeCell ref="H1:H2"/>
    <mergeCell ref="C5:H5"/>
    <mergeCell ref="C6:H6"/>
    <mergeCell ref="C7:H7"/>
    <mergeCell ref="C8:H8"/>
    <mergeCell ref="A51:D51"/>
    <mergeCell ref="A22:G22"/>
    <mergeCell ref="A9:B9"/>
    <mergeCell ref="C9:H9"/>
    <mergeCell ref="C10:H10"/>
    <mergeCell ref="A58:H58"/>
    <mergeCell ref="A53:H53"/>
    <mergeCell ref="A54:H54"/>
    <mergeCell ref="A55:H55"/>
    <mergeCell ref="A56:H56"/>
    <mergeCell ref="A57:H57"/>
  </mergeCells>
  <hyperlinks>
    <hyperlink ref="J4" location="'DATA SHEET'!A1" display="Return to Data Sheet" xr:uid="{00000000-0004-0000-1C00-000000000000}"/>
    <hyperlink ref="C1" location="'DATA SHEET'!A1" display="HIGHLANDS PRIME, INC." xr:uid="{00000000-0004-0000-1C00-000001000000}"/>
  </hyperlinks>
  <printOptions horizontalCentered="1"/>
  <pageMargins left="0.7" right="0.7" top="0.75" bottom="0.75" header="0.3" footer="0.3"/>
  <pageSetup paperSize="5" scale="7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B2:N32"/>
  <sheetViews>
    <sheetView topLeftCell="B1" workbookViewId="0">
      <selection activeCell="B1" sqref="A1:XFD1048576"/>
    </sheetView>
  </sheetViews>
  <sheetFormatPr baseColWidth="10" defaultColWidth="9.1640625" defaultRowHeight="15"/>
  <cols>
    <col min="1" max="1" width="9.1640625" style="382"/>
    <col min="2" max="3" width="23.33203125" style="382" customWidth="1"/>
    <col min="4" max="4" width="26.83203125" style="382" bestFit="1" customWidth="1"/>
    <col min="5" max="5" width="28.5" style="382" customWidth="1"/>
    <col min="6" max="7" width="19.33203125" style="382" customWidth="1"/>
    <col min="8" max="8" width="19.33203125" style="398" customWidth="1"/>
    <col min="9" max="9" width="12.6640625" style="382" bestFit="1" customWidth="1"/>
    <col min="10" max="12" width="9.1640625" style="382" customWidth="1"/>
    <col min="13" max="13" width="15.5" style="382" customWidth="1"/>
    <col min="14" max="14" width="8.83203125" style="382" customWidth="1"/>
    <col min="15" max="16384" width="9.1640625" style="382"/>
  </cols>
  <sheetData>
    <row r="2" spans="2:14" ht="16">
      <c r="B2" s="378" t="s">
        <v>133</v>
      </c>
      <c r="C2" s="379"/>
      <c r="D2" s="379"/>
      <c r="E2" s="379"/>
      <c r="F2" s="379"/>
      <c r="G2" s="379"/>
      <c r="H2" s="380"/>
      <c r="I2" s="381"/>
    </row>
    <row r="3" spans="2:14" ht="16">
      <c r="B3" s="378" t="s">
        <v>137</v>
      </c>
      <c r="C3" s="379"/>
      <c r="D3" s="379"/>
      <c r="E3" s="379"/>
      <c r="F3" s="379"/>
      <c r="G3" s="379"/>
      <c r="H3" s="380"/>
      <c r="I3" s="381"/>
    </row>
    <row r="4" spans="2:14">
      <c r="B4" s="383"/>
      <c r="C4" s="379"/>
      <c r="D4" s="379"/>
      <c r="E4" s="379"/>
      <c r="F4" s="384" t="s">
        <v>134</v>
      </c>
      <c r="G4" s="384" t="s">
        <v>301</v>
      </c>
      <c r="H4" s="385"/>
      <c r="I4" s="381"/>
    </row>
    <row r="5" spans="2:14" ht="28">
      <c r="B5" s="386" t="s">
        <v>40</v>
      </c>
      <c r="C5" s="386" t="s">
        <v>138</v>
      </c>
      <c r="D5" s="386" t="s">
        <v>41</v>
      </c>
      <c r="E5" s="387" t="s">
        <v>135</v>
      </c>
      <c r="F5" s="387" t="s">
        <v>136</v>
      </c>
      <c r="G5" s="387" t="s">
        <v>300</v>
      </c>
      <c r="H5" s="388" t="s">
        <v>233</v>
      </c>
      <c r="I5" s="389"/>
      <c r="J5" s="386"/>
      <c r="K5" s="386"/>
      <c r="L5" s="387"/>
      <c r="M5" s="387"/>
      <c r="N5" s="388"/>
    </row>
    <row r="6" spans="2:14">
      <c r="B6" s="422" t="s">
        <v>145</v>
      </c>
      <c r="C6" s="379" t="s">
        <v>139</v>
      </c>
      <c r="D6" s="379" t="s">
        <v>140</v>
      </c>
      <c r="E6" s="390">
        <f>VLOOKUP(C6,'[6]garden suites'!$D$7:$AS$61,3,0)</f>
        <v>67.900000000000006</v>
      </c>
      <c r="F6" s="391">
        <f xml:space="preserve"> '[7]garden suites'!$G$7</f>
        <v>10061680</v>
      </c>
      <c r="G6" s="391">
        <f>'[8]ST. ANDREWS (Suites 1)'!$J9</f>
        <v>9961680</v>
      </c>
      <c r="H6" s="392">
        <v>230000</v>
      </c>
      <c r="I6" s="393"/>
    </row>
    <row r="7" spans="2:14">
      <c r="B7" s="422"/>
      <c r="C7" s="379" t="s">
        <v>141</v>
      </c>
      <c r="D7" s="379" t="s">
        <v>140</v>
      </c>
      <c r="E7" s="390">
        <f>VLOOKUP(C7,'[6]garden suites'!$D$7:$AS$61,3,0)</f>
        <v>67.900000000000006</v>
      </c>
      <c r="F7" s="391">
        <f>'[7]garden suites'!$G$8</f>
        <v>9150000</v>
      </c>
      <c r="G7" s="391">
        <f>'[8]ST. ANDREWS (Suites 1)'!$J10</f>
        <v>9050000</v>
      </c>
      <c r="H7" s="394">
        <v>230000</v>
      </c>
      <c r="I7" s="393"/>
    </row>
    <row r="8" spans="2:14">
      <c r="B8" s="422"/>
      <c r="C8" s="379" t="s">
        <v>142</v>
      </c>
      <c r="D8" s="379" t="s">
        <v>140</v>
      </c>
      <c r="E8" s="390">
        <f>VLOOKUP(C8,'[6]garden suites'!$D$7:$AS$61,3,0)</f>
        <v>67.900000000000006</v>
      </c>
      <c r="F8" s="391">
        <f>'[7]garden suites'!$G$9</f>
        <v>9150000</v>
      </c>
      <c r="G8" s="391">
        <f>'[8]ST. ANDREWS (Suites 1)'!$J11</f>
        <v>9050000</v>
      </c>
      <c r="H8" s="394">
        <v>230000</v>
      </c>
      <c r="I8" s="393"/>
    </row>
    <row r="9" spans="2:14">
      <c r="B9" s="422"/>
      <c r="C9" s="379" t="s">
        <v>143</v>
      </c>
      <c r="D9" s="379" t="s">
        <v>140</v>
      </c>
      <c r="E9" s="390">
        <f>VLOOKUP(C9,'[6]garden suites'!$D$7:$AS$61,3,0)</f>
        <v>67.900000000000006</v>
      </c>
      <c r="F9" s="391">
        <f>'[7]garden suites'!$G$10</f>
        <v>9150000</v>
      </c>
      <c r="G9" s="391">
        <f>'[8]ST. ANDREWS (Suites 1)'!$J12</f>
        <v>9050000</v>
      </c>
      <c r="H9" s="394">
        <v>230000</v>
      </c>
      <c r="I9" s="393"/>
    </row>
    <row r="10" spans="2:14">
      <c r="B10" s="422"/>
      <c r="C10" s="379" t="s">
        <v>144</v>
      </c>
      <c r="D10" s="379" t="s">
        <v>140</v>
      </c>
      <c r="E10" s="390">
        <f>VLOOKUP(C10,'[6]garden suites'!$D$7:$AS$61,3,0)</f>
        <v>67.900000000000006</v>
      </c>
      <c r="F10" s="391">
        <f>'[7]garden suites'!$G$11</f>
        <v>9150000</v>
      </c>
      <c r="G10" s="391">
        <f>'[8]ST. ANDREWS (Suites 1)'!$J13</f>
        <v>9050000</v>
      </c>
      <c r="H10" s="394">
        <v>230000</v>
      </c>
      <c r="I10" s="393"/>
    </row>
    <row r="11" spans="2:14">
      <c r="B11" s="422"/>
      <c r="C11" s="379" t="s">
        <v>145</v>
      </c>
      <c r="D11" s="379" t="s">
        <v>140</v>
      </c>
      <c r="E11" s="390">
        <f>'[8]ST. ANDREWS (Suites 1)'!$E$14</f>
        <v>67.900000000000006</v>
      </c>
      <c r="F11" s="391"/>
      <c r="G11" s="391">
        <f>'[8]ST. ANDREWS (Suites 1)'!$J14</f>
        <v>10517200</v>
      </c>
      <c r="H11" s="394">
        <v>230000</v>
      </c>
      <c r="I11" s="393"/>
    </row>
    <row r="12" spans="2:14">
      <c r="B12" s="422"/>
      <c r="C12" s="379" t="s">
        <v>148</v>
      </c>
      <c r="D12" s="379" t="s">
        <v>149</v>
      </c>
      <c r="E12" s="390">
        <f>'[8]ST. ANDREWS (Suites 1)'!$E$16</f>
        <v>43.12</v>
      </c>
      <c r="F12" s="391"/>
      <c r="G12" s="391">
        <f>'[8]ST. ANDREWS (Suites 1)'!$P$16</f>
        <v>6446000</v>
      </c>
      <c r="H12" s="394">
        <v>230000</v>
      </c>
      <c r="I12" s="393"/>
    </row>
    <row r="13" spans="2:14">
      <c r="B13" s="422"/>
      <c r="C13" s="379" t="s">
        <v>150</v>
      </c>
      <c r="D13" s="379" t="s">
        <v>149</v>
      </c>
      <c r="E13" s="390">
        <f>'[8]ST. ANDREWS (Suites 1)'!$E$17</f>
        <v>49.85</v>
      </c>
      <c r="F13" s="391"/>
      <c r="G13" s="391">
        <f>'[8]ST. ANDREWS (Suites 1)'!$J$17</f>
        <v>7014960</v>
      </c>
      <c r="H13" s="394">
        <v>230000</v>
      </c>
      <c r="I13" s="393"/>
    </row>
    <row r="14" spans="2:14">
      <c r="B14" s="422"/>
      <c r="C14" s="379"/>
      <c r="D14" s="379"/>
      <c r="E14" s="390"/>
      <c r="F14" s="391"/>
      <c r="G14" s="391"/>
      <c r="H14" s="380"/>
      <c r="I14" s="393"/>
    </row>
    <row r="15" spans="2:14">
      <c r="B15" s="422"/>
      <c r="C15" s="379"/>
      <c r="D15" s="379"/>
      <c r="E15" s="390"/>
      <c r="F15" s="391"/>
      <c r="G15" s="391"/>
      <c r="H15" s="380"/>
      <c r="I15" s="393"/>
    </row>
    <row r="16" spans="2:14">
      <c r="B16" s="422" t="s">
        <v>262</v>
      </c>
      <c r="C16" s="379"/>
      <c r="D16" s="379"/>
      <c r="E16" s="390"/>
      <c r="F16" s="391"/>
      <c r="G16" s="391"/>
      <c r="H16" s="380"/>
      <c r="I16" s="393"/>
    </row>
    <row r="17" spans="2:9">
      <c r="B17" s="422"/>
      <c r="C17" s="379"/>
      <c r="D17" s="379"/>
      <c r="E17" s="390"/>
      <c r="F17" s="391"/>
      <c r="G17" s="391"/>
      <c r="H17" s="380"/>
      <c r="I17" s="393"/>
    </row>
    <row r="18" spans="2:9">
      <c r="B18" s="422"/>
      <c r="C18" s="379"/>
      <c r="D18" s="379"/>
      <c r="E18" s="390"/>
      <c r="F18" s="391"/>
      <c r="G18" s="391"/>
      <c r="H18" s="380"/>
      <c r="I18" s="393"/>
    </row>
    <row r="19" spans="2:9">
      <c r="B19" s="422"/>
      <c r="C19" s="379"/>
      <c r="D19" s="379"/>
      <c r="E19" s="390"/>
      <c r="F19" s="391"/>
      <c r="G19" s="391"/>
      <c r="H19" s="380"/>
      <c r="I19" s="393"/>
    </row>
    <row r="20" spans="2:9">
      <c r="B20" s="422"/>
      <c r="C20" s="379"/>
      <c r="D20" s="379"/>
      <c r="E20" s="390"/>
      <c r="F20" s="391"/>
      <c r="G20" s="391"/>
      <c r="H20" s="380"/>
      <c r="I20" s="393"/>
    </row>
    <row r="21" spans="2:9">
      <c r="B21" s="422"/>
      <c r="C21" s="379"/>
      <c r="D21" s="379"/>
      <c r="E21" s="390"/>
      <c r="F21" s="391"/>
      <c r="G21" s="391"/>
      <c r="H21" s="380"/>
      <c r="I21" s="393"/>
    </row>
    <row r="22" spans="2:9">
      <c r="B22" s="422"/>
      <c r="C22" s="379"/>
      <c r="D22" s="379"/>
      <c r="E22" s="390"/>
      <c r="F22" s="391"/>
      <c r="G22" s="391"/>
      <c r="H22" s="380"/>
      <c r="I22" s="393"/>
    </row>
    <row r="23" spans="2:9">
      <c r="B23" s="422"/>
      <c r="C23" s="379"/>
      <c r="D23" s="379"/>
      <c r="E23" s="390"/>
      <c r="F23" s="391"/>
      <c r="G23" s="391"/>
      <c r="H23" s="380"/>
      <c r="I23" s="393"/>
    </row>
    <row r="24" spans="2:9">
      <c r="B24" s="422" t="s">
        <v>263</v>
      </c>
      <c r="C24" s="379"/>
      <c r="D24" s="379"/>
      <c r="E24" s="390"/>
      <c r="F24" s="391"/>
      <c r="G24" s="391"/>
      <c r="H24" s="380"/>
      <c r="I24" s="393"/>
    </row>
    <row r="25" spans="2:9">
      <c r="B25" s="422"/>
      <c r="C25" s="379"/>
      <c r="D25" s="379"/>
      <c r="E25" s="390"/>
      <c r="F25" s="391"/>
      <c r="G25" s="391"/>
      <c r="H25" s="380"/>
      <c r="I25" s="393"/>
    </row>
    <row r="26" spans="2:9">
      <c r="B26" s="422"/>
      <c r="C26" s="379"/>
      <c r="D26" s="379"/>
      <c r="E26" s="390"/>
      <c r="F26" s="391"/>
      <c r="G26" s="391"/>
      <c r="H26" s="380"/>
      <c r="I26" s="393"/>
    </row>
    <row r="27" spans="2:9">
      <c r="B27" s="422"/>
      <c r="C27" s="379"/>
      <c r="D27" s="379"/>
      <c r="E27" s="390"/>
      <c r="F27" s="391"/>
      <c r="G27" s="391"/>
      <c r="H27" s="380"/>
      <c r="I27" s="393"/>
    </row>
    <row r="28" spans="2:9" ht="16.5" hidden="1" customHeight="1">
      <c r="B28" s="395"/>
      <c r="C28" s="379" t="s">
        <v>173</v>
      </c>
      <c r="D28" s="379" t="s">
        <v>149</v>
      </c>
      <c r="E28" s="390">
        <f>VLOOKUP(C28,'[6]garden suites'!$D$7:$AS$61,3,0)</f>
        <v>43.12</v>
      </c>
      <c r="F28" s="391">
        <f>'[7]garden suites'!$G$57</f>
        <v>6932400</v>
      </c>
      <c r="G28" s="391">
        <f t="shared" ref="G28" si="0">F28-100000</f>
        <v>6832400</v>
      </c>
      <c r="H28" s="380">
        <v>0.05</v>
      </c>
      <c r="I28" s="393">
        <f>F28-100000</f>
        <v>6832400</v>
      </c>
    </row>
    <row r="29" spans="2:9">
      <c r="B29" s="379"/>
      <c r="C29" s="379"/>
      <c r="D29" s="379"/>
      <c r="E29" s="379"/>
      <c r="F29" s="379"/>
      <c r="G29" s="379"/>
      <c r="H29" s="380"/>
      <c r="I29" s="381"/>
    </row>
    <row r="30" spans="2:9" ht="21" customHeight="1">
      <c r="B30" s="396" t="s">
        <v>177</v>
      </c>
      <c r="C30" s="397"/>
      <c r="D30" s="397"/>
      <c r="E30" s="397"/>
      <c r="F30" s="397"/>
      <c r="G30" s="397"/>
      <c r="H30" s="397"/>
      <c r="I30" s="397"/>
    </row>
    <row r="31" spans="2:9">
      <c r="B31" s="379"/>
      <c r="C31" s="379"/>
      <c r="D31" s="379"/>
      <c r="E31" s="379"/>
      <c r="F31" s="379"/>
      <c r="G31" s="379"/>
      <c r="H31" s="380"/>
      <c r="I31" s="381"/>
    </row>
    <row r="32" spans="2:9">
      <c r="B32" s="381" t="s">
        <v>178</v>
      </c>
      <c r="C32" s="381"/>
      <c r="D32" s="381"/>
      <c r="E32" s="381"/>
      <c r="F32" s="391">
        <v>1000000</v>
      </c>
      <c r="G32" s="391"/>
      <c r="H32" s="380"/>
      <c r="I32" s="381"/>
    </row>
  </sheetData>
  <sheetProtection password="CAF1" sheet="1" objects="1" scenarios="1"/>
  <mergeCells count="3">
    <mergeCell ref="B6:B15"/>
    <mergeCell ref="B16:B23"/>
    <mergeCell ref="B24:B27"/>
  </mergeCells>
  <pageMargins left="0.7" right="0.7" top="0.75" bottom="0.75" header="0.3" footer="0.3"/>
  <pageSetup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4">
    <tabColor rgb="FF389E8F"/>
    <pageSetUpPr fitToPage="1"/>
  </sheetPr>
  <dimension ref="A1:L63"/>
  <sheetViews>
    <sheetView showGridLines="0" zoomScaleNormal="100" workbookViewId="0">
      <selection activeCell="C14" sqref="C14"/>
    </sheetView>
  </sheetViews>
  <sheetFormatPr baseColWidth="10" defaultColWidth="0" defaultRowHeight="14"/>
  <cols>
    <col min="1" max="1" width="12" style="37" customWidth="1"/>
    <col min="2" max="2" width="10.5" style="37" customWidth="1"/>
    <col min="3" max="3" width="24.5" style="37" customWidth="1"/>
    <col min="4" max="4" width="11.83203125" style="38" bestFit="1" customWidth="1"/>
    <col min="5" max="5" width="12.5" style="37" bestFit="1" customWidth="1"/>
    <col min="6" max="6" width="13.6640625" style="37" bestFit="1" customWidth="1"/>
    <col min="7" max="7" width="13.5" style="39" bestFit="1" customWidth="1"/>
    <col min="8" max="8" width="16.5" style="37" bestFit="1" customWidth="1"/>
    <col min="9" max="12" width="9.1640625" style="37" customWidth="1"/>
    <col min="13" max="16384" width="9.1640625" style="37" hidden="1"/>
  </cols>
  <sheetData>
    <row r="1" spans="1:10" ht="12.75" customHeight="1">
      <c r="C1" s="240" t="s">
        <v>35</v>
      </c>
      <c r="H1" s="478" t="s">
        <v>66</v>
      </c>
    </row>
    <row r="2" spans="1:10">
      <c r="C2" s="230" t="s">
        <v>348</v>
      </c>
      <c r="H2" s="478"/>
    </row>
    <row r="3" spans="1:10">
      <c r="C3" s="230" t="s">
        <v>36</v>
      </c>
      <c r="J3" s="311" t="s">
        <v>305</v>
      </c>
    </row>
    <row r="4" spans="1:10">
      <c r="H4" s="314"/>
    </row>
    <row r="5" spans="1:10">
      <c r="A5" s="312" t="s">
        <v>0</v>
      </c>
      <c r="B5" s="340"/>
      <c r="C5" s="489" t="str">
        <f>'DATA SHEET'!D10</f>
        <v xml:space="preserve"> </v>
      </c>
      <c r="D5" s="489"/>
      <c r="E5" s="489"/>
      <c r="F5" s="489"/>
      <c r="G5" s="489"/>
      <c r="H5" s="490"/>
    </row>
    <row r="6" spans="1:10">
      <c r="A6" s="335" t="s">
        <v>31</v>
      </c>
      <c r="B6" s="341"/>
      <c r="C6" s="456" t="str">
        <f>VLOOKUP('DATA SHEET'!$D$11,' Garden Suites PL'!C6:F28,1,FALSE)</f>
        <v>GA</v>
      </c>
      <c r="D6" s="456"/>
      <c r="E6" s="456"/>
      <c r="F6" s="456"/>
      <c r="G6" s="456"/>
      <c r="H6" s="457"/>
    </row>
    <row r="7" spans="1:10">
      <c r="A7" s="335" t="s">
        <v>37</v>
      </c>
      <c r="B7" s="341"/>
      <c r="C7" s="470">
        <f>VLOOKUP('DATA SHEET'!D11,' Garden Suites PL'!C6:F28,3,0)</f>
        <v>67.900000000000006</v>
      </c>
      <c r="D7" s="470"/>
      <c r="E7" s="470"/>
      <c r="F7" s="470"/>
      <c r="G7" s="470"/>
      <c r="H7" s="471"/>
    </row>
    <row r="8" spans="1:10">
      <c r="A8" s="246" t="s">
        <v>352</v>
      </c>
      <c r="B8" s="286"/>
      <c r="C8" s="458" t="str">
        <f>VLOOKUP('DATA SHEET'!D11,' Garden Suites PL'!C6:D28,2,0)</f>
        <v>1-Bedroom Terrace Suite</v>
      </c>
      <c r="D8" s="458"/>
      <c r="E8" s="458"/>
      <c r="F8" s="458"/>
      <c r="G8" s="458"/>
      <c r="H8" s="459"/>
    </row>
    <row r="9" spans="1:10">
      <c r="A9" s="438" t="s">
        <v>356</v>
      </c>
      <c r="B9" s="436"/>
      <c r="C9" s="472">
        <f>VLOOKUP('DATA SHEET'!D11,' Garden Suites PL'!C6:G28,5,0)</f>
        <v>9961680</v>
      </c>
      <c r="D9" s="472"/>
      <c r="E9" s="472"/>
      <c r="F9" s="472"/>
      <c r="G9" s="472"/>
      <c r="H9" s="473"/>
    </row>
    <row r="10" spans="1:10">
      <c r="A10" s="338" t="s">
        <v>33</v>
      </c>
      <c r="B10" s="342"/>
      <c r="C10" s="474" t="str">
        <f>+'DATA SHEET'!D24</f>
        <v>25% over 24 months, 75% Lumpsum</v>
      </c>
      <c r="D10" s="474"/>
      <c r="E10" s="474"/>
      <c r="F10" s="474"/>
      <c r="G10" s="474"/>
      <c r="H10" s="475"/>
    </row>
    <row r="11" spans="1:10">
      <c r="H11" s="314"/>
    </row>
    <row r="12" spans="1:10">
      <c r="A12" s="39" t="s">
        <v>55</v>
      </c>
      <c r="B12" s="39"/>
    </row>
    <row r="13" spans="1:10">
      <c r="A13" s="233" t="s">
        <v>359</v>
      </c>
      <c r="B13" s="233"/>
      <c r="D13" s="194">
        <f>(C9-650000)</f>
        <v>9311680</v>
      </c>
      <c r="E13" s="316" t="str">
        <f>LEFT(C8,9)</f>
        <v>1-Bedroom</v>
      </c>
      <c r="F13" s="316"/>
      <c r="G13" s="352"/>
    </row>
    <row r="14" spans="1:10">
      <c r="A14" s="228" t="s">
        <v>378</v>
      </c>
      <c r="B14" s="228"/>
      <c r="C14" s="368">
        <v>0.01</v>
      </c>
      <c r="D14" s="355">
        <f>IF(C14&lt;=1%,D13*C14,"BEYOND MAX DISC")</f>
        <v>93116.800000000003</v>
      </c>
      <c r="E14" s="356"/>
      <c r="F14" s="356"/>
      <c r="G14" s="357"/>
    </row>
    <row r="15" spans="1:10">
      <c r="A15" s="228" t="s">
        <v>379</v>
      </c>
      <c r="B15" s="228"/>
      <c r="C15" s="227"/>
      <c r="D15" s="349">
        <v>230000</v>
      </c>
      <c r="E15" s="356"/>
      <c r="F15" s="356"/>
      <c r="G15" s="357"/>
    </row>
    <row r="16" spans="1:10">
      <c r="A16" s="230" t="s">
        <v>361</v>
      </c>
      <c r="B16" s="230"/>
      <c r="C16" s="233"/>
      <c r="D16" s="318">
        <f>+D13-SUM(D14:D15)</f>
        <v>8988563.1999999993</v>
      </c>
      <c r="E16" s="38"/>
      <c r="F16" s="38"/>
      <c r="G16" s="315"/>
    </row>
    <row r="17" spans="1:10" s="353" customFormat="1" ht="15">
      <c r="A17" s="267" t="s">
        <v>350</v>
      </c>
      <c r="B17" s="267"/>
      <c r="C17" s="229">
        <v>0.05</v>
      </c>
      <c r="D17" s="309">
        <f>(D16/1.12)*C17</f>
        <v>401275.14285714278</v>
      </c>
      <c r="E17" s="38"/>
      <c r="F17" s="38"/>
      <c r="G17" s="315"/>
      <c r="H17" s="38"/>
      <c r="I17" s="38"/>
      <c r="J17" s="37"/>
    </row>
    <row r="18" spans="1:10" s="353" customFormat="1" ht="16" thickBot="1">
      <c r="A18" s="230" t="s">
        <v>58</v>
      </c>
      <c r="B18" s="230"/>
      <c r="C18" s="230"/>
      <c r="D18" s="270">
        <f>+D16+D17</f>
        <v>9389838.3428571429</v>
      </c>
      <c r="E18" s="38"/>
      <c r="F18" s="38"/>
      <c r="G18" s="315"/>
      <c r="H18" s="38"/>
      <c r="I18" s="38"/>
      <c r="J18" s="37"/>
    </row>
    <row r="19" spans="1:10" ht="15" thickTop="1">
      <c r="D19" s="194"/>
      <c r="E19" s="38"/>
      <c r="F19" s="38"/>
      <c r="G19" s="315"/>
    </row>
    <row r="20" spans="1:10">
      <c r="A20" s="271" t="s">
        <v>34</v>
      </c>
      <c r="B20" s="271" t="s">
        <v>347</v>
      </c>
      <c r="C20" s="271" t="s">
        <v>2</v>
      </c>
      <c r="D20" s="271" t="s">
        <v>343</v>
      </c>
      <c r="E20" s="271" t="s">
        <v>363</v>
      </c>
      <c r="F20" s="271" t="s">
        <v>344</v>
      </c>
      <c r="G20" s="272" t="s">
        <v>349</v>
      </c>
      <c r="H20" s="271" t="s">
        <v>345</v>
      </c>
    </row>
    <row r="21" spans="1:10">
      <c r="A21" s="495" t="s">
        <v>346</v>
      </c>
      <c r="B21" s="495"/>
      <c r="C21" s="495"/>
      <c r="D21" s="495"/>
      <c r="E21" s="495"/>
      <c r="F21" s="495"/>
      <c r="G21" s="495"/>
      <c r="H21" s="310">
        <f>+D18</f>
        <v>9389838.3428571429</v>
      </c>
    </row>
    <row r="22" spans="1:10">
      <c r="A22" s="320">
        <v>0</v>
      </c>
      <c r="B22" s="320"/>
      <c r="C22" s="320" t="s">
        <v>38</v>
      </c>
      <c r="D22" s="321">
        <f ca="1">'DATA SHEET'!D9</f>
        <v>43973</v>
      </c>
      <c r="E22" s="322">
        <f>IF(E13="1-Bedroom",50000,100000)</f>
        <v>50000</v>
      </c>
      <c r="F22" s="322"/>
      <c r="G22" s="323">
        <f>+SUM(E22:F22)</f>
        <v>50000</v>
      </c>
      <c r="H22" s="324">
        <f>D18-G22</f>
        <v>9339838.3428571429</v>
      </c>
    </row>
    <row r="23" spans="1:10">
      <c r="A23" s="320"/>
      <c r="B23" s="325">
        <v>0.25</v>
      </c>
      <c r="C23" s="320" t="s">
        <v>351</v>
      </c>
      <c r="D23" s="321"/>
      <c r="E23" s="322"/>
      <c r="F23" s="322"/>
      <c r="G23" s="323"/>
      <c r="H23" s="324"/>
    </row>
    <row r="24" spans="1:10">
      <c r="A24" s="320">
        <v>1</v>
      </c>
      <c r="B24" s="320"/>
      <c r="C24" s="320" t="s">
        <v>4</v>
      </c>
      <c r="D24" s="321">
        <f ca="1">EDATE(D22,1)</f>
        <v>44004</v>
      </c>
      <c r="E24" s="322">
        <f t="shared" ref="E24:E47" si="0">(($D$16*25%)-$E$22)/24</f>
        <v>91547.533333333326</v>
      </c>
      <c r="F24" s="322">
        <f t="shared" ref="F24:F47" si="1">(($D$17*25%)-$F$22)/24</f>
        <v>4179.9494047619037</v>
      </c>
      <c r="G24" s="323">
        <f t="shared" ref="G24:G48" si="2">+SUM(E24:F24)</f>
        <v>95727.482738095234</v>
      </c>
      <c r="H24" s="324">
        <f>H22-G24</f>
        <v>9244110.8601190485</v>
      </c>
    </row>
    <row r="25" spans="1:10">
      <c r="A25" s="320">
        <v>2</v>
      </c>
      <c r="B25" s="320"/>
      <c r="C25" s="320" t="s">
        <v>5</v>
      </c>
      <c r="D25" s="321">
        <f t="shared" ref="D25:D48" ca="1" si="3">EDATE(D24,1)</f>
        <v>44034</v>
      </c>
      <c r="E25" s="322">
        <f t="shared" si="0"/>
        <v>91547.533333333326</v>
      </c>
      <c r="F25" s="322">
        <f t="shared" si="1"/>
        <v>4179.9494047619037</v>
      </c>
      <c r="G25" s="323">
        <f t="shared" si="2"/>
        <v>95727.482738095234</v>
      </c>
      <c r="H25" s="324">
        <f t="shared" ref="H25:H47" si="4">H24-G25</f>
        <v>9148383.3773809541</v>
      </c>
    </row>
    <row r="26" spans="1:10">
      <c r="A26" s="320">
        <v>3</v>
      </c>
      <c r="B26" s="320"/>
      <c r="C26" s="320" t="s">
        <v>6</v>
      </c>
      <c r="D26" s="321">
        <f t="shared" ca="1" si="3"/>
        <v>44065</v>
      </c>
      <c r="E26" s="322">
        <f t="shared" si="0"/>
        <v>91547.533333333326</v>
      </c>
      <c r="F26" s="322">
        <f t="shared" si="1"/>
        <v>4179.9494047619037</v>
      </c>
      <c r="G26" s="323">
        <f t="shared" si="2"/>
        <v>95727.482738095234</v>
      </c>
      <c r="H26" s="324">
        <f t="shared" si="4"/>
        <v>9052655.8946428597</v>
      </c>
    </row>
    <row r="27" spans="1:10">
      <c r="A27" s="320">
        <v>4</v>
      </c>
      <c r="B27" s="320"/>
      <c r="C27" s="320" t="s">
        <v>7</v>
      </c>
      <c r="D27" s="321">
        <f t="shared" ca="1" si="3"/>
        <v>44096</v>
      </c>
      <c r="E27" s="322">
        <f t="shared" si="0"/>
        <v>91547.533333333326</v>
      </c>
      <c r="F27" s="322">
        <f t="shared" si="1"/>
        <v>4179.9494047619037</v>
      </c>
      <c r="G27" s="323">
        <f t="shared" si="2"/>
        <v>95727.482738095234</v>
      </c>
      <c r="H27" s="324">
        <f t="shared" si="4"/>
        <v>8956928.4119047653</v>
      </c>
    </row>
    <row r="28" spans="1:10">
      <c r="A28" s="320">
        <v>5</v>
      </c>
      <c r="B28" s="320"/>
      <c r="C28" s="320" t="s">
        <v>8</v>
      </c>
      <c r="D28" s="321">
        <f t="shared" ca="1" si="3"/>
        <v>44126</v>
      </c>
      <c r="E28" s="322">
        <f t="shared" si="0"/>
        <v>91547.533333333326</v>
      </c>
      <c r="F28" s="322">
        <f t="shared" si="1"/>
        <v>4179.9494047619037</v>
      </c>
      <c r="G28" s="323">
        <f t="shared" si="2"/>
        <v>95727.482738095234</v>
      </c>
      <c r="H28" s="324">
        <f t="shared" si="4"/>
        <v>8861200.9291666709</v>
      </c>
    </row>
    <row r="29" spans="1:10">
      <c r="A29" s="320">
        <v>6</v>
      </c>
      <c r="B29" s="320"/>
      <c r="C29" s="320" t="s">
        <v>9</v>
      </c>
      <c r="D29" s="321">
        <f t="shared" ca="1" si="3"/>
        <v>44157</v>
      </c>
      <c r="E29" s="322">
        <f t="shared" si="0"/>
        <v>91547.533333333326</v>
      </c>
      <c r="F29" s="322">
        <f t="shared" si="1"/>
        <v>4179.9494047619037</v>
      </c>
      <c r="G29" s="323">
        <f t="shared" si="2"/>
        <v>95727.482738095234</v>
      </c>
      <c r="H29" s="324">
        <f t="shared" si="4"/>
        <v>8765473.4464285765</v>
      </c>
    </row>
    <row r="30" spans="1:10">
      <c r="A30" s="320">
        <v>7</v>
      </c>
      <c r="B30" s="320"/>
      <c r="C30" s="320" t="s">
        <v>10</v>
      </c>
      <c r="D30" s="321">
        <f t="shared" ca="1" si="3"/>
        <v>44187</v>
      </c>
      <c r="E30" s="322">
        <f t="shared" si="0"/>
        <v>91547.533333333326</v>
      </c>
      <c r="F30" s="322">
        <f t="shared" si="1"/>
        <v>4179.9494047619037</v>
      </c>
      <c r="G30" s="323">
        <f t="shared" si="2"/>
        <v>95727.482738095234</v>
      </c>
      <c r="H30" s="324">
        <f t="shared" si="4"/>
        <v>8669745.9636904821</v>
      </c>
    </row>
    <row r="31" spans="1:10">
      <c r="A31" s="320">
        <v>8</v>
      </c>
      <c r="B31" s="320"/>
      <c r="C31" s="320" t="s">
        <v>11</v>
      </c>
      <c r="D31" s="321">
        <f t="shared" ca="1" si="3"/>
        <v>44218</v>
      </c>
      <c r="E31" s="322">
        <f t="shared" si="0"/>
        <v>91547.533333333326</v>
      </c>
      <c r="F31" s="322">
        <f t="shared" si="1"/>
        <v>4179.9494047619037</v>
      </c>
      <c r="G31" s="323">
        <f t="shared" si="2"/>
        <v>95727.482738095234</v>
      </c>
      <c r="H31" s="324">
        <f t="shared" si="4"/>
        <v>8574018.4809523877</v>
      </c>
    </row>
    <row r="32" spans="1:10">
      <c r="A32" s="320">
        <v>9</v>
      </c>
      <c r="B32" s="320"/>
      <c r="C32" s="320" t="s">
        <v>12</v>
      </c>
      <c r="D32" s="321">
        <f t="shared" ca="1" si="3"/>
        <v>44249</v>
      </c>
      <c r="E32" s="322">
        <f t="shared" si="0"/>
        <v>91547.533333333326</v>
      </c>
      <c r="F32" s="322">
        <f t="shared" si="1"/>
        <v>4179.9494047619037</v>
      </c>
      <c r="G32" s="323">
        <f t="shared" si="2"/>
        <v>95727.482738095234</v>
      </c>
      <c r="H32" s="324">
        <f t="shared" si="4"/>
        <v>8478290.9982142933</v>
      </c>
    </row>
    <row r="33" spans="1:8">
      <c r="A33" s="320">
        <v>10</v>
      </c>
      <c r="B33" s="320"/>
      <c r="C33" s="320" t="s">
        <v>13</v>
      </c>
      <c r="D33" s="321">
        <f t="shared" ca="1" si="3"/>
        <v>44277</v>
      </c>
      <c r="E33" s="322">
        <f t="shared" si="0"/>
        <v>91547.533333333326</v>
      </c>
      <c r="F33" s="322">
        <f t="shared" si="1"/>
        <v>4179.9494047619037</v>
      </c>
      <c r="G33" s="323">
        <f t="shared" si="2"/>
        <v>95727.482738095234</v>
      </c>
      <c r="H33" s="324">
        <f t="shared" si="4"/>
        <v>8382563.5154761979</v>
      </c>
    </row>
    <row r="34" spans="1:8">
      <c r="A34" s="320">
        <v>11</v>
      </c>
      <c r="B34" s="320"/>
      <c r="C34" s="320" t="s">
        <v>14</v>
      </c>
      <c r="D34" s="321">
        <f t="shared" ca="1" si="3"/>
        <v>44308</v>
      </c>
      <c r="E34" s="322">
        <f t="shared" si="0"/>
        <v>91547.533333333326</v>
      </c>
      <c r="F34" s="322">
        <f t="shared" si="1"/>
        <v>4179.9494047619037</v>
      </c>
      <c r="G34" s="323">
        <f t="shared" si="2"/>
        <v>95727.482738095234</v>
      </c>
      <c r="H34" s="324">
        <f t="shared" si="4"/>
        <v>8286836.0327381026</v>
      </c>
    </row>
    <row r="35" spans="1:8">
      <c r="A35" s="320">
        <v>12</v>
      </c>
      <c r="B35" s="320"/>
      <c r="C35" s="320" t="s">
        <v>15</v>
      </c>
      <c r="D35" s="321">
        <f t="shared" ca="1" si="3"/>
        <v>44338</v>
      </c>
      <c r="E35" s="322">
        <f t="shared" si="0"/>
        <v>91547.533333333326</v>
      </c>
      <c r="F35" s="322">
        <f t="shared" si="1"/>
        <v>4179.9494047619037</v>
      </c>
      <c r="G35" s="323">
        <f t="shared" si="2"/>
        <v>95727.482738095234</v>
      </c>
      <c r="H35" s="324">
        <f t="shared" si="4"/>
        <v>8191108.5500000073</v>
      </c>
    </row>
    <row r="36" spans="1:8">
      <c r="A36" s="320">
        <v>13</v>
      </c>
      <c r="B36" s="320"/>
      <c r="C36" s="320" t="s">
        <v>19</v>
      </c>
      <c r="D36" s="321">
        <f t="shared" ca="1" si="3"/>
        <v>44369</v>
      </c>
      <c r="E36" s="322">
        <f t="shared" si="0"/>
        <v>91547.533333333326</v>
      </c>
      <c r="F36" s="322">
        <f t="shared" si="1"/>
        <v>4179.9494047619037</v>
      </c>
      <c r="G36" s="323">
        <f t="shared" si="2"/>
        <v>95727.482738095234</v>
      </c>
      <c r="H36" s="324">
        <f t="shared" si="4"/>
        <v>8095381.0672619119</v>
      </c>
    </row>
    <row r="37" spans="1:8">
      <c r="A37" s="320">
        <v>14</v>
      </c>
      <c r="B37" s="320"/>
      <c r="C37" s="320" t="s">
        <v>20</v>
      </c>
      <c r="D37" s="321">
        <f t="shared" ca="1" si="3"/>
        <v>44399</v>
      </c>
      <c r="E37" s="322">
        <f t="shared" si="0"/>
        <v>91547.533333333326</v>
      </c>
      <c r="F37" s="322">
        <f t="shared" si="1"/>
        <v>4179.9494047619037</v>
      </c>
      <c r="G37" s="323">
        <f t="shared" si="2"/>
        <v>95727.482738095234</v>
      </c>
      <c r="H37" s="324">
        <f t="shared" si="4"/>
        <v>7999653.5845238166</v>
      </c>
    </row>
    <row r="38" spans="1:8">
      <c r="A38" s="320">
        <v>15</v>
      </c>
      <c r="B38" s="320"/>
      <c r="C38" s="320" t="s">
        <v>21</v>
      </c>
      <c r="D38" s="321">
        <f t="shared" ca="1" si="3"/>
        <v>44430</v>
      </c>
      <c r="E38" s="322">
        <f t="shared" si="0"/>
        <v>91547.533333333326</v>
      </c>
      <c r="F38" s="322">
        <f t="shared" si="1"/>
        <v>4179.9494047619037</v>
      </c>
      <c r="G38" s="323">
        <f t="shared" si="2"/>
        <v>95727.482738095234</v>
      </c>
      <c r="H38" s="324">
        <f t="shared" si="4"/>
        <v>7903926.1017857213</v>
      </c>
    </row>
    <row r="39" spans="1:8">
      <c r="A39" s="320">
        <v>16</v>
      </c>
      <c r="B39" s="320"/>
      <c r="C39" s="320" t="s">
        <v>22</v>
      </c>
      <c r="D39" s="321">
        <f t="shared" ca="1" si="3"/>
        <v>44461</v>
      </c>
      <c r="E39" s="322">
        <f t="shared" si="0"/>
        <v>91547.533333333326</v>
      </c>
      <c r="F39" s="322">
        <f t="shared" si="1"/>
        <v>4179.9494047619037</v>
      </c>
      <c r="G39" s="323">
        <f t="shared" si="2"/>
        <v>95727.482738095234</v>
      </c>
      <c r="H39" s="324">
        <f t="shared" si="4"/>
        <v>7808198.6190476259</v>
      </c>
    </row>
    <row r="40" spans="1:8">
      <c r="A40" s="320">
        <v>17</v>
      </c>
      <c r="B40" s="320"/>
      <c r="C40" s="320" t="s">
        <v>23</v>
      </c>
      <c r="D40" s="321">
        <f t="shared" ca="1" si="3"/>
        <v>44491</v>
      </c>
      <c r="E40" s="322">
        <f t="shared" si="0"/>
        <v>91547.533333333326</v>
      </c>
      <c r="F40" s="322">
        <f t="shared" si="1"/>
        <v>4179.9494047619037</v>
      </c>
      <c r="G40" s="323">
        <f t="shared" si="2"/>
        <v>95727.482738095234</v>
      </c>
      <c r="H40" s="324">
        <f t="shared" si="4"/>
        <v>7712471.1363095306</v>
      </c>
    </row>
    <row r="41" spans="1:8">
      <c r="A41" s="320">
        <v>18</v>
      </c>
      <c r="B41" s="320"/>
      <c r="C41" s="320" t="s">
        <v>24</v>
      </c>
      <c r="D41" s="321">
        <f t="shared" ca="1" si="3"/>
        <v>44522</v>
      </c>
      <c r="E41" s="322">
        <f t="shared" si="0"/>
        <v>91547.533333333326</v>
      </c>
      <c r="F41" s="322">
        <f t="shared" si="1"/>
        <v>4179.9494047619037</v>
      </c>
      <c r="G41" s="323">
        <f t="shared" si="2"/>
        <v>95727.482738095234</v>
      </c>
      <c r="H41" s="324">
        <f t="shared" si="4"/>
        <v>7616743.6535714353</v>
      </c>
    </row>
    <row r="42" spans="1:8">
      <c r="A42" s="320">
        <v>19</v>
      </c>
      <c r="B42" s="320"/>
      <c r="C42" s="320" t="s">
        <v>25</v>
      </c>
      <c r="D42" s="321">
        <f t="shared" ca="1" si="3"/>
        <v>44552</v>
      </c>
      <c r="E42" s="322">
        <f t="shared" si="0"/>
        <v>91547.533333333326</v>
      </c>
      <c r="F42" s="322">
        <f t="shared" si="1"/>
        <v>4179.9494047619037</v>
      </c>
      <c r="G42" s="323">
        <f t="shared" si="2"/>
        <v>95727.482738095234</v>
      </c>
      <c r="H42" s="324">
        <f t="shared" si="4"/>
        <v>7521016.1708333399</v>
      </c>
    </row>
    <row r="43" spans="1:8">
      <c r="A43" s="320">
        <v>20</v>
      </c>
      <c r="B43" s="320"/>
      <c r="C43" s="320" t="s">
        <v>26</v>
      </c>
      <c r="D43" s="321">
        <f t="shared" ca="1" si="3"/>
        <v>44583</v>
      </c>
      <c r="E43" s="322">
        <f t="shared" si="0"/>
        <v>91547.533333333326</v>
      </c>
      <c r="F43" s="322">
        <f t="shared" si="1"/>
        <v>4179.9494047619037</v>
      </c>
      <c r="G43" s="323">
        <f t="shared" si="2"/>
        <v>95727.482738095234</v>
      </c>
      <c r="H43" s="324">
        <f t="shared" si="4"/>
        <v>7425288.6880952446</v>
      </c>
    </row>
    <row r="44" spans="1:8">
      <c r="A44" s="320">
        <v>21</v>
      </c>
      <c r="B44" s="320"/>
      <c r="C44" s="320" t="s">
        <v>27</v>
      </c>
      <c r="D44" s="321">
        <f t="shared" ca="1" si="3"/>
        <v>44614</v>
      </c>
      <c r="E44" s="322">
        <f t="shared" si="0"/>
        <v>91547.533333333326</v>
      </c>
      <c r="F44" s="322">
        <f t="shared" si="1"/>
        <v>4179.9494047619037</v>
      </c>
      <c r="G44" s="323">
        <f t="shared" si="2"/>
        <v>95727.482738095234</v>
      </c>
      <c r="H44" s="324">
        <f t="shared" si="4"/>
        <v>7329561.2053571492</v>
      </c>
    </row>
    <row r="45" spans="1:8">
      <c r="A45" s="320">
        <v>22</v>
      </c>
      <c r="B45" s="320"/>
      <c r="C45" s="320" t="s">
        <v>28</v>
      </c>
      <c r="D45" s="321">
        <f t="shared" ca="1" si="3"/>
        <v>44642</v>
      </c>
      <c r="E45" s="322">
        <f t="shared" si="0"/>
        <v>91547.533333333326</v>
      </c>
      <c r="F45" s="322">
        <f t="shared" si="1"/>
        <v>4179.9494047619037</v>
      </c>
      <c r="G45" s="323">
        <f t="shared" si="2"/>
        <v>95727.482738095234</v>
      </c>
      <c r="H45" s="324">
        <f t="shared" si="4"/>
        <v>7233833.7226190539</v>
      </c>
    </row>
    <row r="46" spans="1:8">
      <c r="A46" s="320">
        <v>23</v>
      </c>
      <c r="B46" s="320"/>
      <c r="C46" s="320" t="s">
        <v>29</v>
      </c>
      <c r="D46" s="321">
        <f t="shared" ca="1" si="3"/>
        <v>44673</v>
      </c>
      <c r="E46" s="322">
        <f t="shared" si="0"/>
        <v>91547.533333333326</v>
      </c>
      <c r="F46" s="322">
        <f t="shared" si="1"/>
        <v>4179.9494047619037</v>
      </c>
      <c r="G46" s="323">
        <f t="shared" si="2"/>
        <v>95727.482738095234</v>
      </c>
      <c r="H46" s="324">
        <f t="shared" si="4"/>
        <v>7138106.2398809586</v>
      </c>
    </row>
    <row r="47" spans="1:8">
      <c r="A47" s="320">
        <v>24</v>
      </c>
      <c r="B47" s="320"/>
      <c r="C47" s="320" t="s">
        <v>30</v>
      </c>
      <c r="D47" s="321">
        <f t="shared" ca="1" si="3"/>
        <v>44703</v>
      </c>
      <c r="E47" s="322">
        <f t="shared" si="0"/>
        <v>91547.533333333326</v>
      </c>
      <c r="F47" s="322">
        <f t="shared" si="1"/>
        <v>4179.9494047619037</v>
      </c>
      <c r="G47" s="323">
        <f t="shared" si="2"/>
        <v>95727.482738095234</v>
      </c>
      <c r="H47" s="324">
        <f t="shared" si="4"/>
        <v>7042378.7571428632</v>
      </c>
    </row>
    <row r="48" spans="1:8">
      <c r="A48" s="320">
        <v>31</v>
      </c>
      <c r="B48" s="325">
        <v>0.75</v>
      </c>
      <c r="C48" s="320" t="s">
        <v>180</v>
      </c>
      <c r="D48" s="321">
        <f t="shared" ca="1" si="3"/>
        <v>44734</v>
      </c>
      <c r="E48" s="322">
        <f>D16*75%</f>
        <v>6741422.3999999994</v>
      </c>
      <c r="F48" s="322">
        <f>D17*75%</f>
        <v>300956.3571428571</v>
      </c>
      <c r="G48" s="323">
        <f t="shared" si="2"/>
        <v>7042378.7571428567</v>
      </c>
      <c r="H48" s="324">
        <f>H47-G48</f>
        <v>0</v>
      </c>
    </row>
    <row r="49" spans="1:8">
      <c r="A49" s="507" t="s">
        <v>16</v>
      </c>
      <c r="B49" s="507"/>
      <c r="C49" s="507"/>
      <c r="D49" s="507"/>
      <c r="E49" s="332">
        <f>SUM(E22:E48)</f>
        <v>8988563.1999999974</v>
      </c>
      <c r="F49" s="332">
        <f>SUM(F22:F48)</f>
        <v>401275.14285714284</v>
      </c>
      <c r="G49" s="332">
        <f>SUM(G22:G48)</f>
        <v>9389838.3428571429</v>
      </c>
      <c r="H49" s="333"/>
    </row>
    <row r="50" spans="1:8" s="233" customFormat="1">
      <c r="C50" s="287"/>
      <c r="D50" s="288"/>
      <c r="E50" s="289"/>
      <c r="F50" s="289"/>
      <c r="G50" s="289"/>
    </row>
    <row r="51" spans="1:8" s="233" customFormat="1">
      <c r="A51" s="439" t="s">
        <v>364</v>
      </c>
      <c r="B51" s="439"/>
      <c r="C51" s="439"/>
      <c r="D51" s="439"/>
      <c r="E51" s="439"/>
      <c r="F51" s="439"/>
      <c r="G51" s="439"/>
      <c r="H51" s="439"/>
    </row>
    <row r="52" spans="1:8" s="233" customFormat="1" ht="31.5" customHeight="1">
      <c r="A52" s="449" t="s">
        <v>365</v>
      </c>
      <c r="B52" s="449"/>
      <c r="C52" s="449"/>
      <c r="D52" s="449"/>
      <c r="E52" s="449"/>
      <c r="F52" s="449"/>
      <c r="G52" s="449"/>
      <c r="H52" s="449"/>
    </row>
    <row r="53" spans="1:8" s="233" customFormat="1" ht="16.5" customHeight="1">
      <c r="A53" s="439" t="s">
        <v>366</v>
      </c>
      <c r="B53" s="439"/>
      <c r="C53" s="439"/>
      <c r="D53" s="439"/>
      <c r="E53" s="439"/>
      <c r="F53" s="439"/>
      <c r="G53" s="439"/>
      <c r="H53" s="439"/>
    </row>
    <row r="54" spans="1:8" s="233" customFormat="1" ht="16.5" customHeight="1">
      <c r="A54" s="439" t="s">
        <v>367</v>
      </c>
      <c r="B54" s="439"/>
      <c r="C54" s="439"/>
      <c r="D54" s="439"/>
      <c r="E54" s="439"/>
      <c r="F54" s="439"/>
      <c r="G54" s="439"/>
      <c r="H54" s="439"/>
    </row>
    <row r="55" spans="1:8" s="233" customFormat="1" ht="16.5" customHeight="1">
      <c r="A55" s="439" t="s">
        <v>368</v>
      </c>
      <c r="B55" s="439"/>
      <c r="C55" s="439"/>
      <c r="D55" s="439"/>
      <c r="E55" s="439"/>
      <c r="F55" s="439"/>
      <c r="G55" s="439"/>
      <c r="H55" s="439"/>
    </row>
    <row r="56" spans="1:8" s="233" customFormat="1" ht="108" customHeight="1">
      <c r="A56" s="439" t="s">
        <v>369</v>
      </c>
      <c r="B56" s="439"/>
      <c r="C56" s="439"/>
      <c r="D56" s="439"/>
      <c r="E56" s="439"/>
      <c r="F56" s="439"/>
      <c r="G56" s="439"/>
      <c r="H56" s="439"/>
    </row>
    <row r="57" spans="1:8" s="233" customFormat="1" ht="44.25" customHeight="1">
      <c r="A57" s="439" t="s">
        <v>370</v>
      </c>
      <c r="B57" s="439"/>
      <c r="C57" s="439"/>
      <c r="D57" s="439"/>
      <c r="E57" s="439"/>
      <c r="F57" s="439"/>
      <c r="G57" s="439"/>
      <c r="H57" s="439"/>
    </row>
    <row r="58" spans="1:8" s="233" customFormat="1" ht="19.5" customHeight="1">
      <c r="A58" s="439" t="s">
        <v>371</v>
      </c>
      <c r="B58" s="439"/>
      <c r="C58" s="439"/>
      <c r="D58" s="439"/>
      <c r="E58" s="439"/>
      <c r="F58" s="439"/>
      <c r="G58" s="439"/>
      <c r="H58" s="439"/>
    </row>
    <row r="59" spans="1:8" s="233" customFormat="1">
      <c r="A59" s="439"/>
      <c r="B59" s="439"/>
      <c r="C59" s="439"/>
      <c r="D59" s="439"/>
      <c r="E59" s="439"/>
      <c r="F59" s="439"/>
      <c r="G59" s="439"/>
      <c r="H59" s="439"/>
    </row>
    <row r="60" spans="1:8" s="233" customFormat="1">
      <c r="A60" s="233" t="s">
        <v>17</v>
      </c>
      <c r="D60" s="231"/>
      <c r="G60" s="230"/>
    </row>
    <row r="61" spans="1:8" s="233" customFormat="1">
      <c r="D61" s="231"/>
      <c r="G61" s="230"/>
    </row>
    <row r="62" spans="1:8" s="233" customFormat="1" ht="15" customHeight="1">
      <c r="A62" s="290"/>
      <c r="B62" s="290"/>
      <c r="C62" s="290"/>
      <c r="D62" s="231"/>
      <c r="E62" s="290"/>
      <c r="F62" s="290"/>
      <c r="G62" s="291"/>
    </row>
    <row r="63" spans="1:8" s="233" customFormat="1">
      <c r="A63" s="452" t="s">
        <v>355</v>
      </c>
      <c r="B63" s="452"/>
      <c r="C63" s="452"/>
      <c r="D63" s="231"/>
      <c r="E63" s="452" t="s">
        <v>18</v>
      </c>
      <c r="F63" s="452"/>
      <c r="G63" s="452"/>
    </row>
  </sheetData>
  <sheetProtection password="CAF1" sheet="1" objects="1" scenarios="1" selectLockedCells="1"/>
  <mergeCells count="21">
    <mergeCell ref="A49:D49"/>
    <mergeCell ref="A56:H56"/>
    <mergeCell ref="A57:H57"/>
    <mergeCell ref="A58:H58"/>
    <mergeCell ref="A59:H59"/>
    <mergeCell ref="A63:C63"/>
    <mergeCell ref="E63:G63"/>
    <mergeCell ref="H1:H2"/>
    <mergeCell ref="A21:G21"/>
    <mergeCell ref="A9:B9"/>
    <mergeCell ref="C5:H5"/>
    <mergeCell ref="C6:H6"/>
    <mergeCell ref="C7:H7"/>
    <mergeCell ref="C8:H8"/>
    <mergeCell ref="C9:H9"/>
    <mergeCell ref="C10:H10"/>
    <mergeCell ref="A51:H51"/>
    <mergeCell ref="A52:H52"/>
    <mergeCell ref="A53:H53"/>
    <mergeCell ref="A54:H54"/>
    <mergeCell ref="A55:H55"/>
  </mergeCells>
  <hyperlinks>
    <hyperlink ref="J3" location="'DATA SHEET'!A1" display="Return to Data Sheet" xr:uid="{00000000-0004-0000-1D00-000000000000}"/>
    <hyperlink ref="C1" location="'DATA SHEET'!A1" display="HIGHLANDS PRIME, INC." xr:uid="{00000000-0004-0000-1D00-000001000000}"/>
  </hyperlinks>
  <printOptions horizontalCentered="1"/>
  <pageMargins left="0.7" right="0.7" top="0.75" bottom="0.5" header="0.3" footer="0.3"/>
  <pageSetup scale="75" orientation="portrait" r:id="rId1"/>
  <headerFooter>
    <oddFooter>&amp;L&amp;8A project of HIGHLANDS PRIME, INC. Horizon Terraces HLURB License To Sell No. 032272&amp;R&amp;8Page &amp;P of &amp;N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4">
    <tabColor theme="6" tint="-0.499984740745262"/>
    <pageSetUpPr fitToPage="1"/>
  </sheetPr>
  <dimension ref="A1:E70"/>
  <sheetViews>
    <sheetView showGridLines="0" showWhiteSpace="0" zoomScaleNormal="100" workbookViewId="0">
      <selection sqref="A1:IV65536"/>
    </sheetView>
  </sheetViews>
  <sheetFormatPr baseColWidth="10" defaultColWidth="9.1640625" defaultRowHeight="14"/>
  <cols>
    <col min="1" max="1" width="23.6640625" style="112" customWidth="1"/>
    <col min="2" max="2" width="12.6640625" style="112" customWidth="1"/>
    <col min="3" max="3" width="16.6640625" style="114" customWidth="1"/>
    <col min="4" max="5" width="15.6640625" style="112" customWidth="1"/>
    <col min="6" max="16384" width="9.1640625" style="112"/>
  </cols>
  <sheetData>
    <row r="1" spans="1:5" ht="12.75" customHeight="1">
      <c r="B1" s="113" t="s">
        <v>35</v>
      </c>
      <c r="E1" s="499" t="s">
        <v>66</v>
      </c>
    </row>
    <row r="2" spans="1:5">
      <c r="B2" s="115" t="s">
        <v>299</v>
      </c>
      <c r="E2" s="499"/>
    </row>
    <row r="3" spans="1:5">
      <c r="B3" s="115" t="s">
        <v>36</v>
      </c>
    </row>
    <row r="5" spans="1:5">
      <c r="A5" s="116" t="s">
        <v>0</v>
      </c>
      <c r="B5" s="508" t="str">
        <f>'DATA SHEET'!D10</f>
        <v xml:space="preserve"> </v>
      </c>
      <c r="C5" s="508"/>
      <c r="D5" s="508"/>
      <c r="E5" s="509"/>
    </row>
    <row r="6" spans="1:5">
      <c r="A6" s="117" t="s">
        <v>31</v>
      </c>
      <c r="B6" s="514" t="str">
        <f>VLOOKUP('DATA SHEET'!$D$11,' Garden Suites PL'!C6:F28,1,FALSE)</f>
        <v>GA</v>
      </c>
      <c r="C6" s="514"/>
      <c r="D6" s="514"/>
      <c r="E6" s="179"/>
    </row>
    <row r="7" spans="1:5">
      <c r="A7" s="117" t="s">
        <v>37</v>
      </c>
      <c r="B7" s="501">
        <f>VLOOKUP('DATA SHEET'!D11,' Garden Suites PL'!C6:F28,3,0)</f>
        <v>67.900000000000006</v>
      </c>
      <c r="C7" s="501"/>
      <c r="D7" s="501"/>
      <c r="E7" s="510"/>
    </row>
    <row r="8" spans="1:5">
      <c r="A8" s="117" t="s">
        <v>183</v>
      </c>
      <c r="B8" s="149" t="str">
        <f>VLOOKUP('DATA SHEET'!D11,' Garden Suites PL'!C6:D28,2,0)</f>
        <v>1-Bedroom Terrace Suite</v>
      </c>
      <c r="C8" s="150"/>
      <c r="D8" s="150"/>
      <c r="E8" s="151"/>
    </row>
    <row r="9" spans="1:5">
      <c r="A9" s="117" t="s">
        <v>303</v>
      </c>
      <c r="B9" s="502">
        <f>VLOOKUP('DATA SHEET'!D11,' Garden Suites PL'!C6:G28,5,0)</f>
        <v>9961680</v>
      </c>
      <c r="C9" s="502"/>
      <c r="D9" s="502"/>
      <c r="E9" s="511"/>
    </row>
    <row r="10" spans="1:5">
      <c r="A10" s="118" t="s">
        <v>33</v>
      </c>
      <c r="B10" s="512" t="s">
        <v>208</v>
      </c>
      <c r="C10" s="512"/>
      <c r="D10" s="512"/>
      <c r="E10" s="513"/>
    </row>
    <row r="12" spans="1:5">
      <c r="A12" s="115" t="s">
        <v>55</v>
      </c>
    </row>
    <row r="13" spans="1:5">
      <c r="A13" s="112" t="s">
        <v>61</v>
      </c>
      <c r="C13" s="119">
        <f>B9</f>
        <v>9961680</v>
      </c>
      <c r="D13" s="162" t="str">
        <f>LEFT(B8,9)</f>
        <v>1-Bedroom</v>
      </c>
    </row>
    <row r="14" spans="1:5">
      <c r="A14" s="164" t="s">
        <v>304</v>
      </c>
      <c r="B14" s="163"/>
      <c r="C14" s="134">
        <v>650000</v>
      </c>
      <c r="D14" s="114"/>
    </row>
    <row r="15" spans="1:5">
      <c r="A15" s="164"/>
      <c r="B15" s="163"/>
      <c r="C15" s="119">
        <f>C13-C14</f>
        <v>9311680</v>
      </c>
      <c r="D15" s="114"/>
    </row>
    <row r="16" spans="1:5">
      <c r="A16" s="164" t="s">
        <v>179</v>
      </c>
      <c r="B16" s="195">
        <f>VLOOKUP('DATA SHEET'!D11,' Garden Suites PL'!C6:H28,6,0)</f>
        <v>230000</v>
      </c>
      <c r="C16" s="140">
        <f>IF(B16&gt;VLOOKUP(B6,' Garden Suites PL'!C:H,5,0),"beyond maximum discount",(C15*B16))</f>
        <v>2141686400000</v>
      </c>
      <c r="D16" s="174">
        <f>VLOOKUP(B6,' Garden Suites PL'!C:H,5,0)</f>
        <v>9961680</v>
      </c>
    </row>
    <row r="17" spans="1:5" hidden="1">
      <c r="A17" s="164" t="s">
        <v>261</v>
      </c>
      <c r="B17" s="153"/>
      <c r="C17" s="140">
        <f>IF(B17&lt;=2%,((C13-C14-C16)*B17),"BEYOND MAX DISC.")</f>
        <v>0</v>
      </c>
      <c r="D17" s="174"/>
    </row>
    <row r="18" spans="1:5" ht="15" thickBot="1">
      <c r="A18" s="115" t="s">
        <v>58</v>
      </c>
      <c r="B18" s="115"/>
      <c r="C18" s="135">
        <f>C15-C16</f>
        <v>-2141677088320</v>
      </c>
      <c r="D18" s="114"/>
    </row>
    <row r="19" spans="1:5" ht="15" thickTop="1">
      <c r="C19" s="119"/>
      <c r="D19" s="114"/>
    </row>
    <row r="20" spans="1:5">
      <c r="A20" s="122" t="s">
        <v>34</v>
      </c>
      <c r="B20" s="122" t="s">
        <v>32</v>
      </c>
      <c r="C20" s="122" t="s">
        <v>2</v>
      </c>
      <c r="D20" s="122" t="s">
        <v>3</v>
      </c>
      <c r="E20" s="122" t="s">
        <v>67</v>
      </c>
    </row>
    <row r="21" spans="1:5">
      <c r="A21" s="123">
        <v>0</v>
      </c>
      <c r="B21" s="124">
        <f ca="1">'DATA SHEET'!D9</f>
        <v>43973</v>
      </c>
      <c r="C21" s="141" t="s">
        <v>38</v>
      </c>
      <c r="D21" s="175">
        <f>IF(D13="1-Bedroom",50000,100000)</f>
        <v>50000</v>
      </c>
      <c r="E21" s="126">
        <f>C18-D21</f>
        <v>-2141677138320</v>
      </c>
    </row>
    <row r="22" spans="1:5">
      <c r="A22" s="123">
        <v>1</v>
      </c>
      <c r="B22" s="124">
        <f ca="1">EDATE(B21,1)</f>
        <v>44004</v>
      </c>
      <c r="C22" s="160" t="s">
        <v>4</v>
      </c>
      <c r="D22" s="125">
        <f>((C18*20%)-D21)/36</f>
        <v>-11898207435.111111</v>
      </c>
      <c r="E22" s="126">
        <f>E21-D22</f>
        <v>-2129778930884.8889</v>
      </c>
    </row>
    <row r="23" spans="1:5">
      <c r="A23" s="123">
        <v>2</v>
      </c>
      <c r="B23" s="124">
        <f t="shared" ref="B23:B58" ca="1" si="0">EDATE(B22,1)</f>
        <v>44034</v>
      </c>
      <c r="C23" s="160" t="s">
        <v>5</v>
      </c>
      <c r="D23" s="125">
        <f>D22</f>
        <v>-11898207435.111111</v>
      </c>
      <c r="E23" s="126">
        <f t="shared" ref="E23:E58" si="1">E22-D23</f>
        <v>-2117880723449.7778</v>
      </c>
    </row>
    <row r="24" spans="1:5">
      <c r="A24" s="123">
        <v>3</v>
      </c>
      <c r="B24" s="124">
        <f t="shared" ca="1" si="0"/>
        <v>44065</v>
      </c>
      <c r="C24" s="160" t="s">
        <v>6</v>
      </c>
      <c r="D24" s="125">
        <f>D23</f>
        <v>-11898207435.111111</v>
      </c>
      <c r="E24" s="126">
        <f t="shared" si="1"/>
        <v>-2105982516014.6667</v>
      </c>
    </row>
    <row r="25" spans="1:5">
      <c r="A25" s="123">
        <v>4</v>
      </c>
      <c r="B25" s="124">
        <f t="shared" ca="1" si="0"/>
        <v>44096</v>
      </c>
      <c r="C25" s="160" t="s">
        <v>7</v>
      </c>
      <c r="D25" s="125">
        <f t="shared" ref="D25:D57" si="2">D24</f>
        <v>-11898207435.111111</v>
      </c>
      <c r="E25" s="126">
        <f t="shared" si="1"/>
        <v>-2094084308579.5557</v>
      </c>
    </row>
    <row r="26" spans="1:5">
      <c r="A26" s="123">
        <v>5</v>
      </c>
      <c r="B26" s="124">
        <f t="shared" ca="1" si="0"/>
        <v>44126</v>
      </c>
      <c r="C26" s="160" t="s">
        <v>8</v>
      </c>
      <c r="D26" s="125">
        <f t="shared" si="2"/>
        <v>-11898207435.111111</v>
      </c>
      <c r="E26" s="126">
        <f t="shared" si="1"/>
        <v>-2082186101144.4446</v>
      </c>
    </row>
    <row r="27" spans="1:5">
      <c r="A27" s="123">
        <v>6</v>
      </c>
      <c r="B27" s="124">
        <f t="shared" ca="1" si="0"/>
        <v>44157</v>
      </c>
      <c r="C27" s="160" t="s">
        <v>9</v>
      </c>
      <c r="D27" s="125">
        <f t="shared" si="2"/>
        <v>-11898207435.111111</v>
      </c>
      <c r="E27" s="126">
        <f t="shared" si="1"/>
        <v>-2070287893709.3335</v>
      </c>
    </row>
    <row r="28" spans="1:5">
      <c r="A28" s="123">
        <v>7</v>
      </c>
      <c r="B28" s="124">
        <f ca="1">EDATE(B27,1)</f>
        <v>44187</v>
      </c>
      <c r="C28" s="160" t="s">
        <v>10</v>
      </c>
      <c r="D28" s="125">
        <f t="shared" si="2"/>
        <v>-11898207435.111111</v>
      </c>
      <c r="E28" s="126">
        <f>E27-D28</f>
        <v>-2058389686274.2224</v>
      </c>
    </row>
    <row r="29" spans="1:5">
      <c r="A29" s="123">
        <v>8</v>
      </c>
      <c r="B29" s="124">
        <f t="shared" ca="1" si="0"/>
        <v>44218</v>
      </c>
      <c r="C29" s="160" t="s">
        <v>11</v>
      </c>
      <c r="D29" s="125">
        <f t="shared" si="2"/>
        <v>-11898207435.111111</v>
      </c>
      <c r="E29" s="126">
        <f t="shared" si="1"/>
        <v>-2046491478839.1113</v>
      </c>
    </row>
    <row r="30" spans="1:5">
      <c r="A30" s="123">
        <v>9</v>
      </c>
      <c r="B30" s="124">
        <f t="shared" ca="1" si="0"/>
        <v>44249</v>
      </c>
      <c r="C30" s="160" t="s">
        <v>12</v>
      </c>
      <c r="D30" s="125">
        <f t="shared" si="2"/>
        <v>-11898207435.111111</v>
      </c>
      <c r="E30" s="126">
        <f t="shared" si="1"/>
        <v>-2034593271404.0002</v>
      </c>
    </row>
    <row r="31" spans="1:5">
      <c r="A31" s="123">
        <v>10</v>
      </c>
      <c r="B31" s="124">
        <f t="shared" ca="1" si="0"/>
        <v>44277</v>
      </c>
      <c r="C31" s="160" t="s">
        <v>13</v>
      </c>
      <c r="D31" s="125">
        <f t="shared" si="2"/>
        <v>-11898207435.111111</v>
      </c>
      <c r="E31" s="126">
        <f t="shared" si="1"/>
        <v>-2022695063968.8892</v>
      </c>
    </row>
    <row r="32" spans="1:5">
      <c r="A32" s="123">
        <v>11</v>
      </c>
      <c r="B32" s="124">
        <f t="shared" ca="1" si="0"/>
        <v>44308</v>
      </c>
      <c r="C32" s="160" t="s">
        <v>14</v>
      </c>
      <c r="D32" s="125">
        <f t="shared" si="2"/>
        <v>-11898207435.111111</v>
      </c>
      <c r="E32" s="126">
        <f t="shared" si="1"/>
        <v>-2010796856533.7781</v>
      </c>
    </row>
    <row r="33" spans="1:5">
      <c r="A33" s="123">
        <v>12</v>
      </c>
      <c r="B33" s="124">
        <f t="shared" ca="1" si="0"/>
        <v>44338</v>
      </c>
      <c r="C33" s="160" t="s">
        <v>15</v>
      </c>
      <c r="D33" s="125">
        <f t="shared" si="2"/>
        <v>-11898207435.111111</v>
      </c>
      <c r="E33" s="126">
        <f t="shared" si="1"/>
        <v>-1998898649098.667</v>
      </c>
    </row>
    <row r="34" spans="1:5">
      <c r="A34" s="123">
        <v>13</v>
      </c>
      <c r="B34" s="124">
        <f t="shared" ca="1" si="0"/>
        <v>44369</v>
      </c>
      <c r="C34" s="160" t="s">
        <v>19</v>
      </c>
      <c r="D34" s="125">
        <f t="shared" si="2"/>
        <v>-11898207435.111111</v>
      </c>
      <c r="E34" s="126">
        <f t="shared" si="1"/>
        <v>-1987000441663.5559</v>
      </c>
    </row>
    <row r="35" spans="1:5">
      <c r="A35" s="123">
        <v>14</v>
      </c>
      <c r="B35" s="124">
        <f t="shared" ca="1" si="0"/>
        <v>44399</v>
      </c>
      <c r="C35" s="160" t="s">
        <v>20</v>
      </c>
      <c r="D35" s="125">
        <f t="shared" si="2"/>
        <v>-11898207435.111111</v>
      </c>
      <c r="E35" s="126">
        <f t="shared" si="1"/>
        <v>-1975102234228.4448</v>
      </c>
    </row>
    <row r="36" spans="1:5">
      <c r="A36" s="123">
        <v>15</v>
      </c>
      <c r="B36" s="124">
        <f t="shared" ca="1" si="0"/>
        <v>44430</v>
      </c>
      <c r="C36" s="160" t="s">
        <v>21</v>
      </c>
      <c r="D36" s="125">
        <f t="shared" si="2"/>
        <v>-11898207435.111111</v>
      </c>
      <c r="E36" s="126">
        <f t="shared" si="1"/>
        <v>-1963204026793.3337</v>
      </c>
    </row>
    <row r="37" spans="1:5">
      <c r="A37" s="123">
        <v>16</v>
      </c>
      <c r="B37" s="124">
        <f t="shared" ca="1" si="0"/>
        <v>44461</v>
      </c>
      <c r="C37" s="160" t="s">
        <v>22</v>
      </c>
      <c r="D37" s="125">
        <f t="shared" si="2"/>
        <v>-11898207435.111111</v>
      </c>
      <c r="E37" s="126">
        <f t="shared" si="1"/>
        <v>-1951305819358.2227</v>
      </c>
    </row>
    <row r="38" spans="1:5">
      <c r="A38" s="123">
        <v>17</v>
      </c>
      <c r="B38" s="124">
        <f t="shared" ca="1" si="0"/>
        <v>44491</v>
      </c>
      <c r="C38" s="160" t="s">
        <v>23</v>
      </c>
      <c r="D38" s="125">
        <f t="shared" si="2"/>
        <v>-11898207435.111111</v>
      </c>
      <c r="E38" s="126">
        <f t="shared" si="1"/>
        <v>-1939407611923.1116</v>
      </c>
    </row>
    <row r="39" spans="1:5">
      <c r="A39" s="123">
        <v>18</v>
      </c>
      <c r="B39" s="124">
        <f t="shared" ca="1" si="0"/>
        <v>44522</v>
      </c>
      <c r="C39" s="160" t="s">
        <v>24</v>
      </c>
      <c r="D39" s="125">
        <f t="shared" si="2"/>
        <v>-11898207435.111111</v>
      </c>
      <c r="E39" s="126">
        <f t="shared" si="1"/>
        <v>-1927509404488.0005</v>
      </c>
    </row>
    <row r="40" spans="1:5">
      <c r="A40" s="123">
        <v>19</v>
      </c>
      <c r="B40" s="124">
        <f t="shared" ca="1" si="0"/>
        <v>44552</v>
      </c>
      <c r="C40" s="160" t="s">
        <v>25</v>
      </c>
      <c r="D40" s="125">
        <f t="shared" si="2"/>
        <v>-11898207435.111111</v>
      </c>
      <c r="E40" s="126">
        <f t="shared" si="1"/>
        <v>-1915611197052.8894</v>
      </c>
    </row>
    <row r="41" spans="1:5">
      <c r="A41" s="123">
        <v>20</v>
      </c>
      <c r="B41" s="124">
        <f t="shared" ca="1" si="0"/>
        <v>44583</v>
      </c>
      <c r="C41" s="160" t="s">
        <v>26</v>
      </c>
      <c r="D41" s="125">
        <f t="shared" si="2"/>
        <v>-11898207435.111111</v>
      </c>
      <c r="E41" s="126">
        <f t="shared" si="1"/>
        <v>-1903712989617.7783</v>
      </c>
    </row>
    <row r="42" spans="1:5">
      <c r="A42" s="123">
        <v>21</v>
      </c>
      <c r="B42" s="124">
        <f t="shared" ca="1" si="0"/>
        <v>44614</v>
      </c>
      <c r="C42" s="160" t="s">
        <v>27</v>
      </c>
      <c r="D42" s="125">
        <f t="shared" si="2"/>
        <v>-11898207435.111111</v>
      </c>
      <c r="E42" s="126">
        <f t="shared" si="1"/>
        <v>-1891814782182.6672</v>
      </c>
    </row>
    <row r="43" spans="1:5">
      <c r="A43" s="123">
        <v>22</v>
      </c>
      <c r="B43" s="124">
        <f t="shared" ca="1" si="0"/>
        <v>44642</v>
      </c>
      <c r="C43" s="160" t="s">
        <v>28</v>
      </c>
      <c r="D43" s="125">
        <f t="shared" si="2"/>
        <v>-11898207435.111111</v>
      </c>
      <c r="E43" s="126">
        <f t="shared" si="1"/>
        <v>-1879916574747.5562</v>
      </c>
    </row>
    <row r="44" spans="1:5">
      <c r="A44" s="123">
        <v>23</v>
      </c>
      <c r="B44" s="124">
        <f t="shared" ca="1" si="0"/>
        <v>44673</v>
      </c>
      <c r="C44" s="160" t="s">
        <v>29</v>
      </c>
      <c r="D44" s="125">
        <f t="shared" si="2"/>
        <v>-11898207435.111111</v>
      </c>
      <c r="E44" s="126">
        <f t="shared" si="1"/>
        <v>-1868018367312.4451</v>
      </c>
    </row>
    <row r="45" spans="1:5">
      <c r="A45" s="123">
        <v>24</v>
      </c>
      <c r="B45" s="124">
        <f t="shared" ca="1" si="0"/>
        <v>44703</v>
      </c>
      <c r="C45" s="160" t="s">
        <v>30</v>
      </c>
      <c r="D45" s="125">
        <f t="shared" si="2"/>
        <v>-11898207435.111111</v>
      </c>
      <c r="E45" s="126">
        <f t="shared" si="1"/>
        <v>-1856120159877.334</v>
      </c>
    </row>
    <row r="46" spans="1:5">
      <c r="A46" s="123">
        <v>25</v>
      </c>
      <c r="B46" s="124">
        <f t="shared" ca="1" si="0"/>
        <v>44734</v>
      </c>
      <c r="C46" s="160" t="s">
        <v>48</v>
      </c>
      <c r="D46" s="125">
        <f t="shared" si="2"/>
        <v>-11898207435.111111</v>
      </c>
      <c r="E46" s="126">
        <f t="shared" si="1"/>
        <v>-1844221952442.2229</v>
      </c>
    </row>
    <row r="47" spans="1:5">
      <c r="A47" s="123">
        <v>26</v>
      </c>
      <c r="B47" s="124">
        <f t="shared" ca="1" si="0"/>
        <v>44764</v>
      </c>
      <c r="C47" s="160" t="s">
        <v>49</v>
      </c>
      <c r="D47" s="125">
        <f t="shared" si="2"/>
        <v>-11898207435.111111</v>
      </c>
      <c r="E47" s="126">
        <f t="shared" si="1"/>
        <v>-1832323745007.1118</v>
      </c>
    </row>
    <row r="48" spans="1:5">
      <c r="A48" s="123">
        <v>27</v>
      </c>
      <c r="B48" s="124">
        <f t="shared" ca="1" si="0"/>
        <v>44795</v>
      </c>
      <c r="C48" s="160" t="s">
        <v>50</v>
      </c>
      <c r="D48" s="125">
        <f t="shared" si="2"/>
        <v>-11898207435.111111</v>
      </c>
      <c r="E48" s="126">
        <f t="shared" si="1"/>
        <v>-1820425537572.0007</v>
      </c>
    </row>
    <row r="49" spans="1:5">
      <c r="A49" s="123">
        <v>28</v>
      </c>
      <c r="B49" s="124">
        <f t="shared" ca="1" si="0"/>
        <v>44826</v>
      </c>
      <c r="C49" s="160" t="s">
        <v>51</v>
      </c>
      <c r="D49" s="125">
        <f t="shared" si="2"/>
        <v>-11898207435.111111</v>
      </c>
      <c r="E49" s="126">
        <f t="shared" si="1"/>
        <v>-1808527330136.8896</v>
      </c>
    </row>
    <row r="50" spans="1:5">
      <c r="A50" s="123">
        <v>29</v>
      </c>
      <c r="B50" s="124">
        <f t="shared" ca="1" si="0"/>
        <v>44856</v>
      </c>
      <c r="C50" s="160" t="s">
        <v>52</v>
      </c>
      <c r="D50" s="125">
        <f t="shared" si="2"/>
        <v>-11898207435.111111</v>
      </c>
      <c r="E50" s="126">
        <f t="shared" si="1"/>
        <v>-1796629122701.7786</v>
      </c>
    </row>
    <row r="51" spans="1:5">
      <c r="A51" s="123">
        <v>30</v>
      </c>
      <c r="B51" s="124">
        <f t="shared" ca="1" si="0"/>
        <v>44887</v>
      </c>
      <c r="C51" s="160" t="s">
        <v>53</v>
      </c>
      <c r="D51" s="125">
        <f t="shared" si="2"/>
        <v>-11898207435.111111</v>
      </c>
      <c r="E51" s="126">
        <f t="shared" si="1"/>
        <v>-1784730915266.6675</v>
      </c>
    </row>
    <row r="52" spans="1:5">
      <c r="A52" s="123">
        <v>31</v>
      </c>
      <c r="B52" s="124">
        <f t="shared" ca="1" si="0"/>
        <v>44917</v>
      </c>
      <c r="C52" s="160" t="s">
        <v>92</v>
      </c>
      <c r="D52" s="125">
        <f t="shared" si="2"/>
        <v>-11898207435.111111</v>
      </c>
      <c r="E52" s="126">
        <f t="shared" si="1"/>
        <v>-1772832707831.5564</v>
      </c>
    </row>
    <row r="53" spans="1:5">
      <c r="A53" s="123">
        <v>32</v>
      </c>
      <c r="B53" s="124">
        <f t="shared" ca="1" si="0"/>
        <v>44948</v>
      </c>
      <c r="C53" s="160" t="s">
        <v>93</v>
      </c>
      <c r="D53" s="125">
        <f t="shared" si="2"/>
        <v>-11898207435.111111</v>
      </c>
      <c r="E53" s="126">
        <f t="shared" si="1"/>
        <v>-1760934500396.4453</v>
      </c>
    </row>
    <row r="54" spans="1:5">
      <c r="A54" s="123">
        <v>33</v>
      </c>
      <c r="B54" s="124">
        <f t="shared" ca="1" si="0"/>
        <v>44979</v>
      </c>
      <c r="C54" s="160" t="s">
        <v>94</v>
      </c>
      <c r="D54" s="125">
        <f t="shared" si="2"/>
        <v>-11898207435.111111</v>
      </c>
      <c r="E54" s="126">
        <f t="shared" si="1"/>
        <v>-1749036292961.3342</v>
      </c>
    </row>
    <row r="55" spans="1:5">
      <c r="A55" s="123">
        <v>34</v>
      </c>
      <c r="B55" s="124">
        <f t="shared" ca="1" si="0"/>
        <v>45007</v>
      </c>
      <c r="C55" s="160" t="s">
        <v>95</v>
      </c>
      <c r="D55" s="125">
        <f t="shared" si="2"/>
        <v>-11898207435.111111</v>
      </c>
      <c r="E55" s="126">
        <f t="shared" si="1"/>
        <v>-1737138085526.2231</v>
      </c>
    </row>
    <row r="56" spans="1:5">
      <c r="A56" s="123">
        <v>35</v>
      </c>
      <c r="B56" s="124">
        <f t="shared" ca="1" si="0"/>
        <v>45038</v>
      </c>
      <c r="C56" s="160" t="s">
        <v>96</v>
      </c>
      <c r="D56" s="125">
        <f t="shared" si="2"/>
        <v>-11898207435.111111</v>
      </c>
      <c r="E56" s="126">
        <f t="shared" si="1"/>
        <v>-1725239878091.1121</v>
      </c>
    </row>
    <row r="57" spans="1:5">
      <c r="A57" s="123">
        <v>36</v>
      </c>
      <c r="B57" s="124">
        <f t="shared" ca="1" si="0"/>
        <v>45068</v>
      </c>
      <c r="C57" s="160" t="s">
        <v>97</v>
      </c>
      <c r="D57" s="125">
        <f t="shared" si="2"/>
        <v>-11898207435.111111</v>
      </c>
      <c r="E57" s="126">
        <f t="shared" si="1"/>
        <v>-1713341670656.001</v>
      </c>
    </row>
    <row r="58" spans="1:5">
      <c r="A58" s="123">
        <v>37</v>
      </c>
      <c r="B58" s="124">
        <f t="shared" ca="1" si="0"/>
        <v>45099</v>
      </c>
      <c r="C58" s="160" t="s">
        <v>180</v>
      </c>
      <c r="D58" s="161">
        <f>C18*80%</f>
        <v>-1713341670656</v>
      </c>
      <c r="E58" s="126">
        <f t="shared" si="1"/>
        <v>0</v>
      </c>
    </row>
    <row r="59" spans="1:5">
      <c r="A59" s="127"/>
      <c r="B59" s="128"/>
      <c r="C59" s="129" t="s">
        <v>16</v>
      </c>
      <c r="D59" s="130">
        <f>SUM(D21:D58)</f>
        <v>-2141677088319.9998</v>
      </c>
      <c r="E59" s="127"/>
    </row>
    <row r="60" spans="1:5">
      <c r="A60" s="131" t="s">
        <v>62</v>
      </c>
      <c r="B60" s="136"/>
      <c r="C60" s="137"/>
      <c r="D60" s="138"/>
      <c r="E60" s="139"/>
    </row>
    <row r="61" spans="1:5">
      <c r="A61" s="132" t="s">
        <v>69</v>
      </c>
      <c r="B61" s="139"/>
      <c r="C61" s="137"/>
      <c r="D61" s="138"/>
      <c r="E61" s="139"/>
    </row>
    <row r="62" spans="1:5">
      <c r="A62" s="132" t="s">
        <v>70</v>
      </c>
      <c r="B62" s="139"/>
      <c r="C62" s="137"/>
      <c r="D62" s="138"/>
      <c r="E62" s="139"/>
    </row>
    <row r="63" spans="1:5">
      <c r="A63" s="132" t="s">
        <v>88</v>
      </c>
      <c r="B63" s="139"/>
      <c r="C63" s="137"/>
      <c r="D63" s="139"/>
      <c r="E63" s="139"/>
    </row>
    <row r="64" spans="1:5">
      <c r="A64" s="132" t="s">
        <v>74</v>
      </c>
      <c r="B64" s="139"/>
      <c r="C64" s="137"/>
      <c r="D64" s="139"/>
      <c r="E64" s="139"/>
    </row>
    <row r="65" spans="1:5">
      <c r="A65" s="132" t="s">
        <v>63</v>
      </c>
      <c r="B65" s="139"/>
      <c r="C65" s="137"/>
      <c r="D65" s="139"/>
      <c r="E65" s="139"/>
    </row>
    <row r="67" spans="1:5">
      <c r="A67" s="112" t="s">
        <v>17</v>
      </c>
    </row>
    <row r="69" spans="1:5">
      <c r="A69" s="133"/>
      <c r="D69" s="133"/>
    </row>
    <row r="70" spans="1:5">
      <c r="A70" s="114" t="s">
        <v>18</v>
      </c>
      <c r="D70" s="114" t="s">
        <v>18</v>
      </c>
    </row>
  </sheetData>
  <sheetProtection selectLockedCells="1"/>
  <mergeCells count="6">
    <mergeCell ref="E1:E2"/>
    <mergeCell ref="B5:E5"/>
    <mergeCell ref="B7:E7"/>
    <mergeCell ref="B9:E9"/>
    <mergeCell ref="B10:E10"/>
    <mergeCell ref="B6:D6"/>
  </mergeCells>
  <hyperlinks>
    <hyperlink ref="B1" location="'DATA SHEET'!A1" display="HIGHLANDS PRIME, INC." xr:uid="{00000000-0004-0000-1E00-000000000000}"/>
  </hyperlinks>
  <printOptions horizontalCentered="1"/>
  <pageMargins left="0.7" right="0.7" top="0.75" bottom="0.5" header="0.3" footer="0.3"/>
  <pageSetup scale="81" orientation="portrait" r:id="rId1"/>
  <headerFooter>
    <oddFooter>&amp;L&amp;8A project of HIGHLANDS PRIME, INC. Horizon Terraces HLURB License To Sell No. 032272&amp;R&amp;8Page &amp;P of &amp;N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0">
    <tabColor rgb="FF389E8F"/>
    <pageSetUpPr fitToPage="1"/>
  </sheetPr>
  <dimension ref="A1:L92"/>
  <sheetViews>
    <sheetView showGridLines="0" zoomScaleNormal="100" workbookViewId="0">
      <selection activeCell="C14" sqref="C14"/>
    </sheetView>
  </sheetViews>
  <sheetFormatPr baseColWidth="10" defaultColWidth="0" defaultRowHeight="15"/>
  <cols>
    <col min="1" max="1" width="12" style="37" customWidth="1"/>
    <col min="2" max="2" width="10.5" style="37" customWidth="1"/>
    <col min="3" max="3" width="23.83203125" style="37" customWidth="1"/>
    <col min="4" max="4" width="11.83203125" style="38" bestFit="1" customWidth="1"/>
    <col min="5" max="5" width="12.5" style="37" bestFit="1" customWidth="1"/>
    <col min="6" max="6" width="13.6640625" style="37" bestFit="1" customWidth="1"/>
    <col min="7" max="7" width="13.5" style="39" bestFit="1" customWidth="1"/>
    <col min="8" max="8" width="16.5" style="37" bestFit="1" customWidth="1"/>
    <col min="9" max="12" width="9.1640625" style="353" customWidth="1"/>
    <col min="13" max="16384" width="9.1640625" style="353" hidden="1"/>
  </cols>
  <sheetData>
    <row r="1" spans="1:10">
      <c r="C1" s="240" t="s">
        <v>35</v>
      </c>
      <c r="H1" s="478" t="s">
        <v>66</v>
      </c>
    </row>
    <row r="2" spans="1:10">
      <c r="C2" s="230" t="s">
        <v>348</v>
      </c>
      <c r="H2" s="478"/>
    </row>
    <row r="3" spans="1:10">
      <c r="C3" s="230" t="s">
        <v>36</v>
      </c>
    </row>
    <row r="4" spans="1:10">
      <c r="H4" s="314"/>
      <c r="J4" s="311" t="s">
        <v>305</v>
      </c>
    </row>
    <row r="5" spans="1:10">
      <c r="A5" s="358" t="s">
        <v>0</v>
      </c>
      <c r="B5" s="359"/>
      <c r="C5" s="515" t="str">
        <f>'DATA SHEET'!D10</f>
        <v xml:space="preserve"> </v>
      </c>
      <c r="D5" s="515"/>
      <c r="E5" s="515"/>
      <c r="F5" s="515"/>
      <c r="G5" s="515"/>
      <c r="H5" s="516"/>
    </row>
    <row r="6" spans="1:10">
      <c r="A6" s="335" t="s">
        <v>31</v>
      </c>
      <c r="B6" s="341"/>
      <c r="C6" s="517" t="str">
        <f>VLOOKUP('DATA SHEET'!$D$11,' Garden Suites PL'!C6:F28,1,FALSE)</f>
        <v>GA</v>
      </c>
      <c r="D6" s="517"/>
      <c r="E6" s="517"/>
      <c r="F6" s="517"/>
      <c r="G6" s="517"/>
      <c r="H6" s="518"/>
    </row>
    <row r="7" spans="1:10">
      <c r="A7" s="335" t="s">
        <v>37</v>
      </c>
      <c r="B7" s="341"/>
      <c r="C7" s="470">
        <f>VLOOKUP('DATA SHEET'!D11,' Garden Suites PL'!C6:F28,3,0)</f>
        <v>67.900000000000006</v>
      </c>
      <c r="D7" s="470"/>
      <c r="E7" s="470"/>
      <c r="F7" s="470"/>
      <c r="G7" s="470"/>
      <c r="H7" s="471"/>
    </row>
    <row r="8" spans="1:10">
      <c r="A8" s="246" t="s">
        <v>352</v>
      </c>
      <c r="B8" s="286"/>
      <c r="C8" s="458" t="str">
        <f>VLOOKUP('DATA SHEET'!D11,' Garden Suites PL'!C6:D28,2,0)</f>
        <v>1-Bedroom Terrace Suite</v>
      </c>
      <c r="D8" s="458"/>
      <c r="E8" s="458"/>
      <c r="F8" s="458"/>
      <c r="G8" s="458"/>
      <c r="H8" s="459"/>
    </row>
    <row r="9" spans="1:10">
      <c r="A9" s="438" t="s">
        <v>356</v>
      </c>
      <c r="B9" s="436"/>
      <c r="C9" s="472">
        <f>VLOOKUP('DATA SHEET'!D11,' Garden Suites PL'!C6:G28,5,0)</f>
        <v>9961680</v>
      </c>
      <c r="D9" s="472"/>
      <c r="E9" s="472"/>
      <c r="F9" s="472"/>
      <c r="G9" s="472"/>
      <c r="H9" s="473"/>
    </row>
    <row r="10" spans="1:10">
      <c r="A10" s="338" t="s">
        <v>33</v>
      </c>
      <c r="B10" s="342"/>
      <c r="C10" s="496" t="str">
        <f>+'DATA SHEET'!D25</f>
        <v>100% over 54 months</v>
      </c>
      <c r="D10" s="496"/>
      <c r="E10" s="496"/>
      <c r="F10" s="496"/>
      <c r="G10" s="496"/>
      <c r="H10" s="497"/>
    </row>
    <row r="12" spans="1:10">
      <c r="A12" s="39" t="s">
        <v>55</v>
      </c>
      <c r="B12" s="39"/>
    </row>
    <row r="13" spans="1:10">
      <c r="A13" s="233" t="s">
        <v>359</v>
      </c>
      <c r="D13" s="194">
        <f>(C9-650000)</f>
        <v>9311680</v>
      </c>
      <c r="E13" s="316" t="str">
        <f>LEFT(C8,9)</f>
        <v>1-Bedroom</v>
      </c>
      <c r="F13" s="316"/>
      <c r="G13" s="352"/>
    </row>
    <row r="14" spans="1:10" s="37" customFormat="1" ht="14">
      <c r="A14" s="228" t="s">
        <v>378</v>
      </c>
      <c r="B14" s="228"/>
      <c r="C14" s="368">
        <v>0.01</v>
      </c>
      <c r="D14" s="355">
        <f>IF(C14&lt;=1%,D13*C14,"BEYOND MAX DISC")</f>
        <v>93116.800000000003</v>
      </c>
      <c r="E14" s="356"/>
      <c r="F14" s="356"/>
      <c r="G14" s="357"/>
      <c r="H14" s="356"/>
      <c r="I14" s="356"/>
    </row>
    <row r="15" spans="1:10" s="37" customFormat="1" ht="14">
      <c r="A15" s="228" t="s">
        <v>379</v>
      </c>
      <c r="B15" s="228"/>
      <c r="C15" s="227"/>
      <c r="D15" s="349">
        <v>230000</v>
      </c>
      <c r="E15" s="356"/>
      <c r="F15" s="356"/>
      <c r="G15" s="357"/>
    </row>
    <row r="16" spans="1:10" s="37" customFormat="1" ht="14">
      <c r="A16" s="230" t="s">
        <v>361</v>
      </c>
      <c r="B16" s="39"/>
      <c r="C16" s="39"/>
      <c r="D16" s="318">
        <f>+D13-SUM(D14:D15)</f>
        <v>8988563.1999999993</v>
      </c>
      <c r="E16" s="38"/>
      <c r="F16" s="38"/>
      <c r="G16" s="315"/>
      <c r="H16" s="38"/>
      <c r="I16" s="38"/>
    </row>
    <row r="17" spans="1:12">
      <c r="A17" s="267" t="s">
        <v>350</v>
      </c>
      <c r="B17" s="267"/>
      <c r="C17" s="229">
        <v>0.05</v>
      </c>
      <c r="D17" s="319">
        <f>(D16/1.12)*C17</f>
        <v>401275.14285714278</v>
      </c>
      <c r="E17" s="38"/>
      <c r="F17" s="38"/>
      <c r="G17" s="315"/>
      <c r="H17" s="38"/>
      <c r="I17" s="38"/>
      <c r="J17" s="38"/>
      <c r="K17" s="38"/>
      <c r="L17" s="37"/>
    </row>
    <row r="18" spans="1:12" ht="16" thickBot="1">
      <c r="A18" s="230" t="s">
        <v>58</v>
      </c>
      <c r="B18" s="230"/>
      <c r="C18" s="230"/>
      <c r="D18" s="270">
        <f>+D16+D17</f>
        <v>9389838.3428571429</v>
      </c>
      <c r="E18" s="38"/>
      <c r="F18" s="38"/>
      <c r="G18" s="315"/>
      <c r="H18" s="38"/>
      <c r="I18" s="38"/>
      <c r="J18" s="38"/>
      <c r="K18" s="38"/>
      <c r="L18" s="37"/>
    </row>
    <row r="19" spans="1:12" ht="16" thickTop="1"/>
    <row r="20" spans="1:12">
      <c r="A20" s="271" t="s">
        <v>34</v>
      </c>
      <c r="B20" s="271" t="s">
        <v>347</v>
      </c>
      <c r="C20" s="271" t="s">
        <v>2</v>
      </c>
      <c r="D20" s="271" t="s">
        <v>343</v>
      </c>
      <c r="E20" s="271" t="s">
        <v>363</v>
      </c>
      <c r="F20" s="271" t="s">
        <v>344</v>
      </c>
      <c r="G20" s="272" t="s">
        <v>349</v>
      </c>
      <c r="H20" s="271" t="s">
        <v>345</v>
      </c>
    </row>
    <row r="21" spans="1:12">
      <c r="A21" s="495" t="s">
        <v>346</v>
      </c>
      <c r="B21" s="495"/>
      <c r="C21" s="495"/>
      <c r="D21" s="495"/>
      <c r="E21" s="495"/>
      <c r="F21" s="495"/>
      <c r="G21" s="495"/>
      <c r="H21" s="310">
        <f>+D18</f>
        <v>9389838.3428571429</v>
      </c>
    </row>
    <row r="22" spans="1:12">
      <c r="A22" s="320">
        <v>0</v>
      </c>
      <c r="B22" s="320"/>
      <c r="C22" s="320" t="s">
        <v>38</v>
      </c>
      <c r="D22" s="321">
        <f ca="1">'DATA SHEET'!D9</f>
        <v>43973</v>
      </c>
      <c r="E22" s="322">
        <f>IF(E13="1-Bedroom",50000,100000)</f>
        <v>50000</v>
      </c>
      <c r="F22" s="322"/>
      <c r="G22" s="323">
        <f>+SUM(E22:F22)</f>
        <v>50000</v>
      </c>
      <c r="H22" s="324">
        <f>D18-G22</f>
        <v>9339838.3428571429</v>
      </c>
    </row>
    <row r="23" spans="1:12">
      <c r="A23" s="320"/>
      <c r="B23" s="325">
        <v>1</v>
      </c>
      <c r="C23" s="320" t="s">
        <v>354</v>
      </c>
      <c r="D23" s="321"/>
      <c r="E23" s="322"/>
      <c r="F23" s="322"/>
      <c r="G23" s="323"/>
      <c r="H23" s="324"/>
    </row>
    <row r="24" spans="1:12">
      <c r="A24" s="320">
        <v>1</v>
      </c>
      <c r="B24" s="320"/>
      <c r="C24" s="320" t="s">
        <v>79</v>
      </c>
      <c r="D24" s="321">
        <f ca="1">EDATE(D22,1)</f>
        <v>44004</v>
      </c>
      <c r="E24" s="322">
        <f t="shared" ref="E24:E55" si="0">(($D$16-$E$22)/54)</f>
        <v>165528.94814814813</v>
      </c>
      <c r="F24" s="322">
        <f>(($D$17)/54)</f>
        <v>7431.0211640211628</v>
      </c>
      <c r="G24" s="323">
        <f t="shared" ref="G24:G77" si="1">+SUM(E24:F24)</f>
        <v>172959.9693121693</v>
      </c>
      <c r="H24" s="324">
        <f>H22-G24</f>
        <v>9166878.3735449743</v>
      </c>
    </row>
    <row r="25" spans="1:12">
      <c r="A25" s="320">
        <v>2</v>
      </c>
      <c r="B25" s="320"/>
      <c r="C25" s="320" t="s">
        <v>80</v>
      </c>
      <c r="D25" s="321">
        <f t="shared" ref="D25:D77" ca="1" si="2">EDATE(D24,1)</f>
        <v>44034</v>
      </c>
      <c r="E25" s="322">
        <f t="shared" si="0"/>
        <v>165528.94814814813</v>
      </c>
      <c r="F25" s="322">
        <f t="shared" ref="F25:F77" si="3">(($D$17)/54)</f>
        <v>7431.0211640211628</v>
      </c>
      <c r="G25" s="323">
        <f t="shared" si="1"/>
        <v>172959.9693121693</v>
      </c>
      <c r="H25" s="324">
        <f t="shared" ref="H25:H77" si="4">H24-G25</f>
        <v>8993918.4042328056</v>
      </c>
    </row>
    <row r="26" spans="1:12">
      <c r="A26" s="320">
        <v>3</v>
      </c>
      <c r="B26" s="320"/>
      <c r="C26" s="320" t="s">
        <v>81</v>
      </c>
      <c r="D26" s="321">
        <f t="shared" ca="1" si="2"/>
        <v>44065</v>
      </c>
      <c r="E26" s="322">
        <f t="shared" si="0"/>
        <v>165528.94814814813</v>
      </c>
      <c r="F26" s="322">
        <f t="shared" si="3"/>
        <v>7431.0211640211628</v>
      </c>
      <c r="G26" s="323">
        <f t="shared" si="1"/>
        <v>172959.9693121693</v>
      </c>
      <c r="H26" s="324">
        <f t="shared" si="4"/>
        <v>8820958.4349206369</v>
      </c>
    </row>
    <row r="27" spans="1:12">
      <c r="A27" s="320">
        <v>4</v>
      </c>
      <c r="B27" s="320"/>
      <c r="C27" s="320" t="s">
        <v>82</v>
      </c>
      <c r="D27" s="321">
        <f t="shared" ca="1" si="2"/>
        <v>44096</v>
      </c>
      <c r="E27" s="322">
        <f t="shared" si="0"/>
        <v>165528.94814814813</v>
      </c>
      <c r="F27" s="322">
        <f t="shared" si="3"/>
        <v>7431.0211640211628</v>
      </c>
      <c r="G27" s="323">
        <f t="shared" si="1"/>
        <v>172959.9693121693</v>
      </c>
      <c r="H27" s="324">
        <f t="shared" si="4"/>
        <v>8647998.4656084683</v>
      </c>
    </row>
    <row r="28" spans="1:12">
      <c r="A28" s="320">
        <v>5</v>
      </c>
      <c r="B28" s="320"/>
      <c r="C28" s="320" t="s">
        <v>83</v>
      </c>
      <c r="D28" s="321">
        <f t="shared" ca="1" si="2"/>
        <v>44126</v>
      </c>
      <c r="E28" s="322">
        <f t="shared" si="0"/>
        <v>165528.94814814813</v>
      </c>
      <c r="F28" s="322">
        <f t="shared" si="3"/>
        <v>7431.0211640211628</v>
      </c>
      <c r="G28" s="323">
        <f t="shared" si="1"/>
        <v>172959.9693121693</v>
      </c>
      <c r="H28" s="324">
        <f t="shared" si="4"/>
        <v>8475038.4962962996</v>
      </c>
    </row>
    <row r="29" spans="1:12">
      <c r="A29" s="320">
        <v>6</v>
      </c>
      <c r="B29" s="320"/>
      <c r="C29" s="320" t="s">
        <v>84</v>
      </c>
      <c r="D29" s="321">
        <f t="shared" ca="1" si="2"/>
        <v>44157</v>
      </c>
      <c r="E29" s="322">
        <f t="shared" si="0"/>
        <v>165528.94814814813</v>
      </c>
      <c r="F29" s="322">
        <f t="shared" si="3"/>
        <v>7431.0211640211628</v>
      </c>
      <c r="G29" s="323">
        <f t="shared" si="1"/>
        <v>172959.9693121693</v>
      </c>
      <c r="H29" s="324">
        <f t="shared" si="4"/>
        <v>8302078.52698413</v>
      </c>
    </row>
    <row r="30" spans="1:12">
      <c r="A30" s="320">
        <v>7</v>
      </c>
      <c r="B30" s="320"/>
      <c r="C30" s="320" t="s">
        <v>184</v>
      </c>
      <c r="D30" s="321">
        <f t="shared" ca="1" si="2"/>
        <v>44187</v>
      </c>
      <c r="E30" s="322">
        <f t="shared" si="0"/>
        <v>165528.94814814813</v>
      </c>
      <c r="F30" s="322">
        <f t="shared" si="3"/>
        <v>7431.0211640211628</v>
      </c>
      <c r="G30" s="323">
        <f t="shared" si="1"/>
        <v>172959.9693121693</v>
      </c>
      <c r="H30" s="324">
        <f t="shared" si="4"/>
        <v>8129118.5576719604</v>
      </c>
    </row>
    <row r="31" spans="1:12">
      <c r="A31" s="320">
        <v>8</v>
      </c>
      <c r="B31" s="320"/>
      <c r="C31" s="320" t="s">
        <v>185</v>
      </c>
      <c r="D31" s="321">
        <f t="shared" ca="1" si="2"/>
        <v>44218</v>
      </c>
      <c r="E31" s="322">
        <f t="shared" si="0"/>
        <v>165528.94814814813</v>
      </c>
      <c r="F31" s="322">
        <f t="shared" si="3"/>
        <v>7431.0211640211628</v>
      </c>
      <c r="G31" s="323">
        <f t="shared" si="1"/>
        <v>172959.9693121693</v>
      </c>
      <c r="H31" s="324">
        <f t="shared" si="4"/>
        <v>7956158.5883597909</v>
      </c>
    </row>
    <row r="32" spans="1:12">
      <c r="A32" s="320">
        <v>9</v>
      </c>
      <c r="B32" s="320"/>
      <c r="C32" s="320" t="s">
        <v>186</v>
      </c>
      <c r="D32" s="321">
        <f t="shared" ca="1" si="2"/>
        <v>44249</v>
      </c>
      <c r="E32" s="322">
        <f t="shared" si="0"/>
        <v>165528.94814814813</v>
      </c>
      <c r="F32" s="322">
        <f t="shared" si="3"/>
        <v>7431.0211640211628</v>
      </c>
      <c r="G32" s="323">
        <f t="shared" si="1"/>
        <v>172959.9693121693</v>
      </c>
      <c r="H32" s="324">
        <f t="shared" si="4"/>
        <v>7783198.6190476213</v>
      </c>
    </row>
    <row r="33" spans="1:8">
      <c r="A33" s="320">
        <v>10</v>
      </c>
      <c r="B33" s="320"/>
      <c r="C33" s="320" t="s">
        <v>187</v>
      </c>
      <c r="D33" s="321">
        <f t="shared" ca="1" si="2"/>
        <v>44277</v>
      </c>
      <c r="E33" s="322">
        <f t="shared" si="0"/>
        <v>165528.94814814813</v>
      </c>
      <c r="F33" s="322">
        <f t="shared" si="3"/>
        <v>7431.0211640211628</v>
      </c>
      <c r="G33" s="323">
        <f t="shared" si="1"/>
        <v>172959.9693121693</v>
      </c>
      <c r="H33" s="324">
        <f t="shared" si="4"/>
        <v>7610238.6497354517</v>
      </c>
    </row>
    <row r="34" spans="1:8">
      <c r="A34" s="320">
        <v>11</v>
      </c>
      <c r="B34" s="320"/>
      <c r="C34" s="320" t="s">
        <v>188</v>
      </c>
      <c r="D34" s="321">
        <f t="shared" ca="1" si="2"/>
        <v>44308</v>
      </c>
      <c r="E34" s="322">
        <f t="shared" si="0"/>
        <v>165528.94814814813</v>
      </c>
      <c r="F34" s="322">
        <f t="shared" si="3"/>
        <v>7431.0211640211628</v>
      </c>
      <c r="G34" s="323">
        <f t="shared" si="1"/>
        <v>172959.9693121693</v>
      </c>
      <c r="H34" s="324">
        <f t="shared" si="4"/>
        <v>7437278.6804232821</v>
      </c>
    </row>
    <row r="35" spans="1:8">
      <c r="A35" s="320">
        <v>12</v>
      </c>
      <c r="B35" s="320"/>
      <c r="C35" s="320" t="s">
        <v>189</v>
      </c>
      <c r="D35" s="321">
        <f t="shared" ca="1" si="2"/>
        <v>44338</v>
      </c>
      <c r="E35" s="322">
        <f t="shared" si="0"/>
        <v>165528.94814814813</v>
      </c>
      <c r="F35" s="322">
        <f t="shared" si="3"/>
        <v>7431.0211640211628</v>
      </c>
      <c r="G35" s="323">
        <f t="shared" si="1"/>
        <v>172959.9693121693</v>
      </c>
      <c r="H35" s="324">
        <f t="shared" si="4"/>
        <v>7264318.7111111125</v>
      </c>
    </row>
    <row r="36" spans="1:8">
      <c r="A36" s="320">
        <v>13</v>
      </c>
      <c r="B36" s="320"/>
      <c r="C36" s="320" t="s">
        <v>190</v>
      </c>
      <c r="D36" s="321">
        <f t="shared" ca="1" si="2"/>
        <v>44369</v>
      </c>
      <c r="E36" s="322">
        <f t="shared" si="0"/>
        <v>165528.94814814813</v>
      </c>
      <c r="F36" s="322">
        <f t="shared" si="3"/>
        <v>7431.0211640211628</v>
      </c>
      <c r="G36" s="323">
        <f t="shared" si="1"/>
        <v>172959.9693121693</v>
      </c>
      <c r="H36" s="324">
        <f t="shared" si="4"/>
        <v>7091358.7417989429</v>
      </c>
    </row>
    <row r="37" spans="1:8">
      <c r="A37" s="320">
        <v>14</v>
      </c>
      <c r="B37" s="320"/>
      <c r="C37" s="320" t="s">
        <v>191</v>
      </c>
      <c r="D37" s="321">
        <f t="shared" ca="1" si="2"/>
        <v>44399</v>
      </c>
      <c r="E37" s="322">
        <f t="shared" si="0"/>
        <v>165528.94814814813</v>
      </c>
      <c r="F37" s="322">
        <f t="shared" si="3"/>
        <v>7431.0211640211628</v>
      </c>
      <c r="G37" s="323">
        <f t="shared" si="1"/>
        <v>172959.9693121693</v>
      </c>
      <c r="H37" s="324">
        <f t="shared" si="4"/>
        <v>6918398.7724867733</v>
      </c>
    </row>
    <row r="38" spans="1:8">
      <c r="A38" s="320">
        <v>15</v>
      </c>
      <c r="B38" s="320"/>
      <c r="C38" s="320" t="s">
        <v>192</v>
      </c>
      <c r="D38" s="321">
        <f t="shared" ca="1" si="2"/>
        <v>44430</v>
      </c>
      <c r="E38" s="322">
        <f t="shared" si="0"/>
        <v>165528.94814814813</v>
      </c>
      <c r="F38" s="322">
        <f t="shared" si="3"/>
        <v>7431.0211640211628</v>
      </c>
      <c r="G38" s="323">
        <f t="shared" si="1"/>
        <v>172959.9693121693</v>
      </c>
      <c r="H38" s="324">
        <f t="shared" si="4"/>
        <v>6745438.8031746037</v>
      </c>
    </row>
    <row r="39" spans="1:8">
      <c r="A39" s="320">
        <v>16</v>
      </c>
      <c r="B39" s="320"/>
      <c r="C39" s="320" t="s">
        <v>193</v>
      </c>
      <c r="D39" s="321">
        <f t="shared" ca="1" si="2"/>
        <v>44461</v>
      </c>
      <c r="E39" s="322">
        <f t="shared" si="0"/>
        <v>165528.94814814813</v>
      </c>
      <c r="F39" s="322">
        <f t="shared" si="3"/>
        <v>7431.0211640211628</v>
      </c>
      <c r="G39" s="323">
        <f t="shared" si="1"/>
        <v>172959.9693121693</v>
      </c>
      <c r="H39" s="324">
        <f t="shared" si="4"/>
        <v>6572478.8338624341</v>
      </c>
    </row>
    <row r="40" spans="1:8">
      <c r="A40" s="320">
        <v>17</v>
      </c>
      <c r="B40" s="320"/>
      <c r="C40" s="320" t="s">
        <v>194</v>
      </c>
      <c r="D40" s="321">
        <f t="shared" ca="1" si="2"/>
        <v>44491</v>
      </c>
      <c r="E40" s="322">
        <f t="shared" si="0"/>
        <v>165528.94814814813</v>
      </c>
      <c r="F40" s="322">
        <f t="shared" si="3"/>
        <v>7431.0211640211628</v>
      </c>
      <c r="G40" s="323">
        <f t="shared" si="1"/>
        <v>172959.9693121693</v>
      </c>
      <c r="H40" s="324">
        <f t="shared" si="4"/>
        <v>6399518.8645502646</v>
      </c>
    </row>
    <row r="41" spans="1:8">
      <c r="A41" s="320">
        <v>18</v>
      </c>
      <c r="B41" s="320"/>
      <c r="C41" s="320" t="s">
        <v>195</v>
      </c>
      <c r="D41" s="321">
        <f t="shared" ca="1" si="2"/>
        <v>44522</v>
      </c>
      <c r="E41" s="322">
        <f t="shared" si="0"/>
        <v>165528.94814814813</v>
      </c>
      <c r="F41" s="322">
        <f t="shared" si="3"/>
        <v>7431.0211640211628</v>
      </c>
      <c r="G41" s="323">
        <f t="shared" si="1"/>
        <v>172959.9693121693</v>
      </c>
      <c r="H41" s="324">
        <f t="shared" si="4"/>
        <v>6226558.895238095</v>
      </c>
    </row>
    <row r="42" spans="1:8">
      <c r="A42" s="320">
        <v>19</v>
      </c>
      <c r="B42" s="320"/>
      <c r="C42" s="320" t="s">
        <v>196</v>
      </c>
      <c r="D42" s="321">
        <f t="shared" ca="1" si="2"/>
        <v>44552</v>
      </c>
      <c r="E42" s="322">
        <f t="shared" si="0"/>
        <v>165528.94814814813</v>
      </c>
      <c r="F42" s="322">
        <f t="shared" si="3"/>
        <v>7431.0211640211628</v>
      </c>
      <c r="G42" s="323">
        <f t="shared" si="1"/>
        <v>172959.9693121693</v>
      </c>
      <c r="H42" s="324">
        <f t="shared" si="4"/>
        <v>6053598.9259259254</v>
      </c>
    </row>
    <row r="43" spans="1:8">
      <c r="A43" s="320">
        <v>20</v>
      </c>
      <c r="B43" s="320"/>
      <c r="C43" s="320" t="s">
        <v>197</v>
      </c>
      <c r="D43" s="321">
        <f t="shared" ca="1" si="2"/>
        <v>44583</v>
      </c>
      <c r="E43" s="322">
        <f t="shared" si="0"/>
        <v>165528.94814814813</v>
      </c>
      <c r="F43" s="322">
        <f t="shared" si="3"/>
        <v>7431.0211640211628</v>
      </c>
      <c r="G43" s="323">
        <f t="shared" si="1"/>
        <v>172959.9693121693</v>
      </c>
      <c r="H43" s="324">
        <f t="shared" si="4"/>
        <v>5880638.9566137558</v>
      </c>
    </row>
    <row r="44" spans="1:8">
      <c r="A44" s="320">
        <v>21</v>
      </c>
      <c r="B44" s="320"/>
      <c r="C44" s="320" t="s">
        <v>198</v>
      </c>
      <c r="D44" s="321">
        <f t="shared" ca="1" si="2"/>
        <v>44614</v>
      </c>
      <c r="E44" s="322">
        <f t="shared" si="0"/>
        <v>165528.94814814813</v>
      </c>
      <c r="F44" s="322">
        <f t="shared" si="3"/>
        <v>7431.0211640211628</v>
      </c>
      <c r="G44" s="323">
        <f t="shared" si="1"/>
        <v>172959.9693121693</v>
      </c>
      <c r="H44" s="324">
        <f t="shared" si="4"/>
        <v>5707678.9873015862</v>
      </c>
    </row>
    <row r="45" spans="1:8">
      <c r="A45" s="320">
        <v>22</v>
      </c>
      <c r="B45" s="320"/>
      <c r="C45" s="320" t="s">
        <v>199</v>
      </c>
      <c r="D45" s="321">
        <f t="shared" ca="1" si="2"/>
        <v>44642</v>
      </c>
      <c r="E45" s="322">
        <f t="shared" si="0"/>
        <v>165528.94814814813</v>
      </c>
      <c r="F45" s="322">
        <f t="shared" si="3"/>
        <v>7431.0211640211628</v>
      </c>
      <c r="G45" s="323">
        <f t="shared" si="1"/>
        <v>172959.9693121693</v>
      </c>
      <c r="H45" s="324">
        <f t="shared" si="4"/>
        <v>5534719.0179894166</v>
      </c>
    </row>
    <row r="46" spans="1:8">
      <c r="A46" s="320">
        <v>23</v>
      </c>
      <c r="B46" s="320"/>
      <c r="C46" s="320" t="s">
        <v>200</v>
      </c>
      <c r="D46" s="321">
        <f t="shared" ca="1" si="2"/>
        <v>44673</v>
      </c>
      <c r="E46" s="322">
        <f t="shared" si="0"/>
        <v>165528.94814814813</v>
      </c>
      <c r="F46" s="322">
        <f t="shared" si="3"/>
        <v>7431.0211640211628</v>
      </c>
      <c r="G46" s="323">
        <f t="shared" si="1"/>
        <v>172959.9693121693</v>
      </c>
      <c r="H46" s="324">
        <f t="shared" si="4"/>
        <v>5361759.048677247</v>
      </c>
    </row>
    <row r="47" spans="1:8">
      <c r="A47" s="320">
        <v>24</v>
      </c>
      <c r="B47" s="320"/>
      <c r="C47" s="320" t="s">
        <v>201</v>
      </c>
      <c r="D47" s="321">
        <f t="shared" ca="1" si="2"/>
        <v>44703</v>
      </c>
      <c r="E47" s="322">
        <f t="shared" si="0"/>
        <v>165528.94814814813</v>
      </c>
      <c r="F47" s="322">
        <f t="shared" si="3"/>
        <v>7431.0211640211628</v>
      </c>
      <c r="G47" s="323">
        <f t="shared" si="1"/>
        <v>172959.9693121693</v>
      </c>
      <c r="H47" s="324">
        <f t="shared" si="4"/>
        <v>5188799.0793650774</v>
      </c>
    </row>
    <row r="48" spans="1:8">
      <c r="A48" s="320">
        <v>25</v>
      </c>
      <c r="B48" s="320"/>
      <c r="C48" s="320" t="s">
        <v>202</v>
      </c>
      <c r="D48" s="321">
        <f t="shared" ca="1" si="2"/>
        <v>44734</v>
      </c>
      <c r="E48" s="322">
        <f t="shared" si="0"/>
        <v>165528.94814814813</v>
      </c>
      <c r="F48" s="322">
        <f t="shared" si="3"/>
        <v>7431.0211640211628</v>
      </c>
      <c r="G48" s="323">
        <f t="shared" si="1"/>
        <v>172959.9693121693</v>
      </c>
      <c r="H48" s="324">
        <f t="shared" si="4"/>
        <v>5015839.1100529078</v>
      </c>
    </row>
    <row r="49" spans="1:8">
      <c r="A49" s="320">
        <v>26</v>
      </c>
      <c r="B49" s="320"/>
      <c r="C49" s="320" t="s">
        <v>203</v>
      </c>
      <c r="D49" s="321">
        <f t="shared" ca="1" si="2"/>
        <v>44764</v>
      </c>
      <c r="E49" s="322">
        <f t="shared" si="0"/>
        <v>165528.94814814813</v>
      </c>
      <c r="F49" s="322">
        <f t="shared" si="3"/>
        <v>7431.0211640211628</v>
      </c>
      <c r="G49" s="323">
        <f t="shared" si="1"/>
        <v>172959.9693121693</v>
      </c>
      <c r="H49" s="324">
        <f t="shared" si="4"/>
        <v>4842879.1407407383</v>
      </c>
    </row>
    <row r="50" spans="1:8">
      <c r="A50" s="320">
        <v>27</v>
      </c>
      <c r="B50" s="320"/>
      <c r="C50" s="320" t="s">
        <v>204</v>
      </c>
      <c r="D50" s="321">
        <f t="shared" ca="1" si="2"/>
        <v>44795</v>
      </c>
      <c r="E50" s="322">
        <f t="shared" si="0"/>
        <v>165528.94814814813</v>
      </c>
      <c r="F50" s="322">
        <f t="shared" si="3"/>
        <v>7431.0211640211628</v>
      </c>
      <c r="G50" s="323">
        <f t="shared" si="1"/>
        <v>172959.9693121693</v>
      </c>
      <c r="H50" s="324">
        <f t="shared" si="4"/>
        <v>4669919.1714285687</v>
      </c>
    </row>
    <row r="51" spans="1:8">
      <c r="A51" s="320">
        <v>28</v>
      </c>
      <c r="B51" s="320"/>
      <c r="C51" s="320" t="s">
        <v>205</v>
      </c>
      <c r="D51" s="321">
        <f t="shared" ca="1" si="2"/>
        <v>44826</v>
      </c>
      <c r="E51" s="322">
        <f t="shared" si="0"/>
        <v>165528.94814814813</v>
      </c>
      <c r="F51" s="322">
        <f t="shared" si="3"/>
        <v>7431.0211640211628</v>
      </c>
      <c r="G51" s="323">
        <f t="shared" si="1"/>
        <v>172959.9693121693</v>
      </c>
      <c r="H51" s="324">
        <f t="shared" si="4"/>
        <v>4496959.2021163991</v>
      </c>
    </row>
    <row r="52" spans="1:8">
      <c r="A52" s="320">
        <v>29</v>
      </c>
      <c r="B52" s="320"/>
      <c r="C52" s="320" t="s">
        <v>206</v>
      </c>
      <c r="D52" s="321">
        <f t="shared" ca="1" si="2"/>
        <v>44856</v>
      </c>
      <c r="E52" s="322">
        <f t="shared" si="0"/>
        <v>165528.94814814813</v>
      </c>
      <c r="F52" s="322">
        <f t="shared" si="3"/>
        <v>7431.0211640211628</v>
      </c>
      <c r="G52" s="323">
        <f t="shared" si="1"/>
        <v>172959.9693121693</v>
      </c>
      <c r="H52" s="324">
        <f t="shared" si="4"/>
        <v>4323999.2328042295</v>
      </c>
    </row>
    <row r="53" spans="1:8">
      <c r="A53" s="320">
        <v>30</v>
      </c>
      <c r="B53" s="320"/>
      <c r="C53" s="320" t="s">
        <v>207</v>
      </c>
      <c r="D53" s="321">
        <f t="shared" ca="1" si="2"/>
        <v>44887</v>
      </c>
      <c r="E53" s="322">
        <f t="shared" si="0"/>
        <v>165528.94814814813</v>
      </c>
      <c r="F53" s="322">
        <f t="shared" si="3"/>
        <v>7431.0211640211628</v>
      </c>
      <c r="G53" s="323">
        <f t="shared" si="1"/>
        <v>172959.9693121693</v>
      </c>
      <c r="H53" s="324">
        <f t="shared" si="4"/>
        <v>4151039.2634920604</v>
      </c>
    </row>
    <row r="54" spans="1:8">
      <c r="A54" s="320">
        <v>31</v>
      </c>
      <c r="B54" s="320"/>
      <c r="C54" s="320" t="s">
        <v>209</v>
      </c>
      <c r="D54" s="321">
        <f t="shared" ca="1" si="2"/>
        <v>44917</v>
      </c>
      <c r="E54" s="322">
        <f t="shared" si="0"/>
        <v>165528.94814814813</v>
      </c>
      <c r="F54" s="322">
        <f t="shared" si="3"/>
        <v>7431.0211640211628</v>
      </c>
      <c r="G54" s="323">
        <f t="shared" si="1"/>
        <v>172959.9693121693</v>
      </c>
      <c r="H54" s="324">
        <f t="shared" si="4"/>
        <v>3978079.2941798912</v>
      </c>
    </row>
    <row r="55" spans="1:8">
      <c r="A55" s="320">
        <v>32</v>
      </c>
      <c r="B55" s="320"/>
      <c r="C55" s="320" t="s">
        <v>210</v>
      </c>
      <c r="D55" s="321">
        <f t="shared" ca="1" si="2"/>
        <v>44948</v>
      </c>
      <c r="E55" s="322">
        <f t="shared" si="0"/>
        <v>165528.94814814813</v>
      </c>
      <c r="F55" s="322">
        <f t="shared" si="3"/>
        <v>7431.0211640211628</v>
      </c>
      <c r="G55" s="323">
        <f t="shared" si="1"/>
        <v>172959.9693121693</v>
      </c>
      <c r="H55" s="324">
        <f t="shared" si="4"/>
        <v>3805119.3248677221</v>
      </c>
    </row>
    <row r="56" spans="1:8">
      <c r="A56" s="320">
        <v>33</v>
      </c>
      <c r="B56" s="320"/>
      <c r="C56" s="320" t="s">
        <v>211</v>
      </c>
      <c r="D56" s="321">
        <f t="shared" ca="1" si="2"/>
        <v>44979</v>
      </c>
      <c r="E56" s="322">
        <f t="shared" ref="E56:E77" si="5">(($D$16-$E$22)/54)</f>
        <v>165528.94814814813</v>
      </c>
      <c r="F56" s="322">
        <f t="shared" si="3"/>
        <v>7431.0211640211628</v>
      </c>
      <c r="G56" s="323">
        <f t="shared" si="1"/>
        <v>172959.9693121693</v>
      </c>
      <c r="H56" s="324">
        <f t="shared" si="4"/>
        <v>3632159.355555553</v>
      </c>
    </row>
    <row r="57" spans="1:8">
      <c r="A57" s="320">
        <v>34</v>
      </c>
      <c r="B57" s="320"/>
      <c r="C57" s="320" t="s">
        <v>212</v>
      </c>
      <c r="D57" s="321">
        <f t="shared" ca="1" si="2"/>
        <v>45007</v>
      </c>
      <c r="E57" s="322">
        <f t="shared" si="5"/>
        <v>165528.94814814813</v>
      </c>
      <c r="F57" s="322">
        <f t="shared" si="3"/>
        <v>7431.0211640211628</v>
      </c>
      <c r="G57" s="323">
        <f t="shared" si="1"/>
        <v>172959.9693121693</v>
      </c>
      <c r="H57" s="324">
        <f t="shared" si="4"/>
        <v>3459199.3862433839</v>
      </c>
    </row>
    <row r="58" spans="1:8">
      <c r="A58" s="320">
        <v>35</v>
      </c>
      <c r="B58" s="320"/>
      <c r="C58" s="320" t="s">
        <v>213</v>
      </c>
      <c r="D58" s="321">
        <f t="shared" ca="1" si="2"/>
        <v>45038</v>
      </c>
      <c r="E58" s="322">
        <f t="shared" si="5"/>
        <v>165528.94814814813</v>
      </c>
      <c r="F58" s="322">
        <f t="shared" si="3"/>
        <v>7431.0211640211628</v>
      </c>
      <c r="G58" s="323">
        <f t="shared" si="1"/>
        <v>172959.9693121693</v>
      </c>
      <c r="H58" s="324">
        <f t="shared" si="4"/>
        <v>3286239.4169312147</v>
      </c>
    </row>
    <row r="59" spans="1:8">
      <c r="A59" s="320">
        <v>36</v>
      </c>
      <c r="B59" s="320"/>
      <c r="C59" s="320" t="s">
        <v>214</v>
      </c>
      <c r="D59" s="321">
        <f t="shared" ca="1" si="2"/>
        <v>45068</v>
      </c>
      <c r="E59" s="322">
        <f t="shared" si="5"/>
        <v>165528.94814814813</v>
      </c>
      <c r="F59" s="322">
        <f t="shared" si="3"/>
        <v>7431.0211640211628</v>
      </c>
      <c r="G59" s="323">
        <f t="shared" si="1"/>
        <v>172959.9693121693</v>
      </c>
      <c r="H59" s="324">
        <f t="shared" si="4"/>
        <v>3113279.4476190456</v>
      </c>
    </row>
    <row r="60" spans="1:8">
      <c r="A60" s="320">
        <v>37</v>
      </c>
      <c r="B60" s="320"/>
      <c r="C60" s="320" t="s">
        <v>215</v>
      </c>
      <c r="D60" s="321">
        <f t="shared" ca="1" si="2"/>
        <v>45099</v>
      </c>
      <c r="E60" s="322">
        <f t="shared" si="5"/>
        <v>165528.94814814813</v>
      </c>
      <c r="F60" s="322">
        <f t="shared" si="3"/>
        <v>7431.0211640211628</v>
      </c>
      <c r="G60" s="323">
        <f t="shared" si="1"/>
        <v>172959.9693121693</v>
      </c>
      <c r="H60" s="324">
        <f t="shared" si="4"/>
        <v>2940319.4783068765</v>
      </c>
    </row>
    <row r="61" spans="1:8">
      <c r="A61" s="320">
        <v>38</v>
      </c>
      <c r="B61" s="320"/>
      <c r="C61" s="320" t="s">
        <v>216</v>
      </c>
      <c r="D61" s="321">
        <f t="shared" ca="1" si="2"/>
        <v>45129</v>
      </c>
      <c r="E61" s="322">
        <f t="shared" si="5"/>
        <v>165528.94814814813</v>
      </c>
      <c r="F61" s="322">
        <f t="shared" si="3"/>
        <v>7431.0211640211628</v>
      </c>
      <c r="G61" s="323">
        <f t="shared" si="1"/>
        <v>172959.9693121693</v>
      </c>
      <c r="H61" s="324">
        <f t="shared" si="4"/>
        <v>2767359.5089947074</v>
      </c>
    </row>
    <row r="62" spans="1:8">
      <c r="A62" s="320">
        <v>39</v>
      </c>
      <c r="B62" s="320"/>
      <c r="C62" s="320" t="s">
        <v>217</v>
      </c>
      <c r="D62" s="321">
        <f t="shared" ca="1" si="2"/>
        <v>45160</v>
      </c>
      <c r="E62" s="322">
        <f t="shared" si="5"/>
        <v>165528.94814814813</v>
      </c>
      <c r="F62" s="322">
        <f t="shared" si="3"/>
        <v>7431.0211640211628</v>
      </c>
      <c r="G62" s="323">
        <f t="shared" si="1"/>
        <v>172959.9693121693</v>
      </c>
      <c r="H62" s="324">
        <f t="shared" si="4"/>
        <v>2594399.5396825382</v>
      </c>
    </row>
    <row r="63" spans="1:8">
      <c r="A63" s="320">
        <v>40</v>
      </c>
      <c r="B63" s="320"/>
      <c r="C63" s="320" t="s">
        <v>218</v>
      </c>
      <c r="D63" s="321">
        <f t="shared" ca="1" si="2"/>
        <v>45191</v>
      </c>
      <c r="E63" s="322">
        <f t="shared" si="5"/>
        <v>165528.94814814813</v>
      </c>
      <c r="F63" s="322">
        <f t="shared" si="3"/>
        <v>7431.0211640211628</v>
      </c>
      <c r="G63" s="323">
        <f t="shared" si="1"/>
        <v>172959.9693121693</v>
      </c>
      <c r="H63" s="324">
        <f t="shared" si="4"/>
        <v>2421439.5703703691</v>
      </c>
    </row>
    <row r="64" spans="1:8">
      <c r="A64" s="320">
        <v>41</v>
      </c>
      <c r="B64" s="320"/>
      <c r="C64" s="320" t="s">
        <v>219</v>
      </c>
      <c r="D64" s="321">
        <f t="shared" ca="1" si="2"/>
        <v>45221</v>
      </c>
      <c r="E64" s="322">
        <f t="shared" si="5"/>
        <v>165528.94814814813</v>
      </c>
      <c r="F64" s="322">
        <f t="shared" si="3"/>
        <v>7431.0211640211628</v>
      </c>
      <c r="G64" s="323">
        <f t="shared" si="1"/>
        <v>172959.9693121693</v>
      </c>
      <c r="H64" s="324">
        <f t="shared" si="4"/>
        <v>2248479.6010582</v>
      </c>
    </row>
    <row r="65" spans="1:8">
      <c r="A65" s="320">
        <v>42</v>
      </c>
      <c r="B65" s="320"/>
      <c r="C65" s="320" t="s">
        <v>220</v>
      </c>
      <c r="D65" s="321">
        <f t="shared" ca="1" si="2"/>
        <v>45252</v>
      </c>
      <c r="E65" s="322">
        <f t="shared" si="5"/>
        <v>165528.94814814813</v>
      </c>
      <c r="F65" s="322">
        <f t="shared" si="3"/>
        <v>7431.0211640211628</v>
      </c>
      <c r="G65" s="323">
        <f t="shared" si="1"/>
        <v>172959.9693121693</v>
      </c>
      <c r="H65" s="324">
        <f t="shared" si="4"/>
        <v>2075519.6317460306</v>
      </c>
    </row>
    <row r="66" spans="1:8">
      <c r="A66" s="320">
        <v>43</v>
      </c>
      <c r="B66" s="320"/>
      <c r="C66" s="320" t="s">
        <v>221</v>
      </c>
      <c r="D66" s="321">
        <f t="shared" ca="1" si="2"/>
        <v>45282</v>
      </c>
      <c r="E66" s="322">
        <f t="shared" si="5"/>
        <v>165528.94814814813</v>
      </c>
      <c r="F66" s="322">
        <f t="shared" si="3"/>
        <v>7431.0211640211628</v>
      </c>
      <c r="G66" s="323">
        <f t="shared" si="1"/>
        <v>172959.9693121693</v>
      </c>
      <c r="H66" s="324">
        <f t="shared" si="4"/>
        <v>1902559.6624338613</v>
      </c>
    </row>
    <row r="67" spans="1:8">
      <c r="A67" s="320">
        <v>44</v>
      </c>
      <c r="B67" s="320"/>
      <c r="C67" s="320" t="s">
        <v>222</v>
      </c>
      <c r="D67" s="321">
        <f t="shared" ca="1" si="2"/>
        <v>45313</v>
      </c>
      <c r="E67" s="322">
        <f t="shared" si="5"/>
        <v>165528.94814814813</v>
      </c>
      <c r="F67" s="322">
        <f t="shared" si="3"/>
        <v>7431.0211640211628</v>
      </c>
      <c r="G67" s="323">
        <f t="shared" si="1"/>
        <v>172959.9693121693</v>
      </c>
      <c r="H67" s="324">
        <f t="shared" si="4"/>
        <v>1729599.6931216919</v>
      </c>
    </row>
    <row r="68" spans="1:8">
      <c r="A68" s="320">
        <v>45</v>
      </c>
      <c r="B68" s="320"/>
      <c r="C68" s="320" t="s">
        <v>223</v>
      </c>
      <c r="D68" s="321">
        <f t="shared" ca="1" si="2"/>
        <v>45344</v>
      </c>
      <c r="E68" s="322">
        <f t="shared" si="5"/>
        <v>165528.94814814813</v>
      </c>
      <c r="F68" s="322">
        <f t="shared" si="3"/>
        <v>7431.0211640211628</v>
      </c>
      <c r="G68" s="323">
        <f t="shared" si="1"/>
        <v>172959.9693121693</v>
      </c>
      <c r="H68" s="324">
        <f t="shared" si="4"/>
        <v>1556639.7238095226</v>
      </c>
    </row>
    <row r="69" spans="1:8">
      <c r="A69" s="320">
        <v>46</v>
      </c>
      <c r="B69" s="320"/>
      <c r="C69" s="320" t="s">
        <v>224</v>
      </c>
      <c r="D69" s="321">
        <f t="shared" ca="1" si="2"/>
        <v>45373</v>
      </c>
      <c r="E69" s="322">
        <f t="shared" si="5"/>
        <v>165528.94814814813</v>
      </c>
      <c r="F69" s="322">
        <f t="shared" si="3"/>
        <v>7431.0211640211628</v>
      </c>
      <c r="G69" s="323">
        <f t="shared" si="1"/>
        <v>172959.9693121693</v>
      </c>
      <c r="H69" s="324">
        <f t="shared" si="4"/>
        <v>1383679.7544973532</v>
      </c>
    </row>
    <row r="70" spans="1:8">
      <c r="A70" s="320">
        <v>47</v>
      </c>
      <c r="B70" s="320"/>
      <c r="C70" s="320" t="s">
        <v>225</v>
      </c>
      <c r="D70" s="321">
        <f t="shared" ca="1" si="2"/>
        <v>45404</v>
      </c>
      <c r="E70" s="322">
        <f t="shared" si="5"/>
        <v>165528.94814814813</v>
      </c>
      <c r="F70" s="322">
        <f t="shared" si="3"/>
        <v>7431.0211640211628</v>
      </c>
      <c r="G70" s="323">
        <f t="shared" si="1"/>
        <v>172959.9693121693</v>
      </c>
      <c r="H70" s="324">
        <f t="shared" si="4"/>
        <v>1210719.7851851839</v>
      </c>
    </row>
    <row r="71" spans="1:8">
      <c r="A71" s="320">
        <v>48</v>
      </c>
      <c r="B71" s="320"/>
      <c r="C71" s="320" t="s">
        <v>226</v>
      </c>
      <c r="D71" s="321">
        <f t="shared" ca="1" si="2"/>
        <v>45434</v>
      </c>
      <c r="E71" s="322">
        <f t="shared" si="5"/>
        <v>165528.94814814813</v>
      </c>
      <c r="F71" s="322">
        <f t="shared" si="3"/>
        <v>7431.0211640211628</v>
      </c>
      <c r="G71" s="323">
        <f t="shared" si="1"/>
        <v>172959.9693121693</v>
      </c>
      <c r="H71" s="324">
        <f t="shared" si="4"/>
        <v>1037759.8158730145</v>
      </c>
    </row>
    <row r="72" spans="1:8">
      <c r="A72" s="320">
        <v>49</v>
      </c>
      <c r="B72" s="320"/>
      <c r="C72" s="320" t="s">
        <v>227</v>
      </c>
      <c r="D72" s="321">
        <f t="shared" ca="1" si="2"/>
        <v>45465</v>
      </c>
      <c r="E72" s="322">
        <f t="shared" si="5"/>
        <v>165528.94814814813</v>
      </c>
      <c r="F72" s="322">
        <f t="shared" si="3"/>
        <v>7431.0211640211628</v>
      </c>
      <c r="G72" s="323">
        <f t="shared" si="1"/>
        <v>172959.9693121693</v>
      </c>
      <c r="H72" s="324">
        <f t="shared" si="4"/>
        <v>864799.84656084515</v>
      </c>
    </row>
    <row r="73" spans="1:8">
      <c r="A73" s="320">
        <v>50</v>
      </c>
      <c r="B73" s="320"/>
      <c r="C73" s="320" t="s">
        <v>228</v>
      </c>
      <c r="D73" s="321">
        <f t="shared" ca="1" si="2"/>
        <v>45495</v>
      </c>
      <c r="E73" s="322">
        <f t="shared" si="5"/>
        <v>165528.94814814813</v>
      </c>
      <c r="F73" s="322">
        <f t="shared" si="3"/>
        <v>7431.0211640211628</v>
      </c>
      <c r="G73" s="323">
        <f t="shared" si="1"/>
        <v>172959.9693121693</v>
      </c>
      <c r="H73" s="324">
        <f t="shared" si="4"/>
        <v>691839.8772486758</v>
      </c>
    </row>
    <row r="74" spans="1:8">
      <c r="A74" s="320">
        <v>51</v>
      </c>
      <c r="B74" s="320"/>
      <c r="C74" s="320" t="s">
        <v>229</v>
      </c>
      <c r="D74" s="321">
        <f t="shared" ca="1" si="2"/>
        <v>45526</v>
      </c>
      <c r="E74" s="322">
        <f t="shared" si="5"/>
        <v>165528.94814814813</v>
      </c>
      <c r="F74" s="322">
        <f t="shared" si="3"/>
        <v>7431.0211640211628</v>
      </c>
      <c r="G74" s="323">
        <f t="shared" si="1"/>
        <v>172959.9693121693</v>
      </c>
      <c r="H74" s="324">
        <f t="shared" si="4"/>
        <v>518879.9079365065</v>
      </c>
    </row>
    <row r="75" spans="1:8">
      <c r="A75" s="320">
        <v>52</v>
      </c>
      <c r="B75" s="320"/>
      <c r="C75" s="320" t="s">
        <v>230</v>
      </c>
      <c r="D75" s="321">
        <f t="shared" ca="1" si="2"/>
        <v>45557</v>
      </c>
      <c r="E75" s="322">
        <f t="shared" si="5"/>
        <v>165528.94814814813</v>
      </c>
      <c r="F75" s="322">
        <f t="shared" si="3"/>
        <v>7431.0211640211628</v>
      </c>
      <c r="G75" s="323">
        <f t="shared" si="1"/>
        <v>172959.9693121693</v>
      </c>
      <c r="H75" s="324">
        <f t="shared" si="4"/>
        <v>345919.9386243372</v>
      </c>
    </row>
    <row r="76" spans="1:8">
      <c r="A76" s="320">
        <v>53</v>
      </c>
      <c r="B76" s="320"/>
      <c r="C76" s="320" t="s">
        <v>231</v>
      </c>
      <c r="D76" s="321">
        <f t="shared" ca="1" si="2"/>
        <v>45587</v>
      </c>
      <c r="E76" s="322">
        <f t="shared" si="5"/>
        <v>165528.94814814813</v>
      </c>
      <c r="F76" s="322">
        <f t="shared" si="3"/>
        <v>7431.0211640211628</v>
      </c>
      <c r="G76" s="323">
        <f t="shared" si="1"/>
        <v>172959.9693121693</v>
      </c>
      <c r="H76" s="324">
        <f t="shared" si="4"/>
        <v>172959.9693121679</v>
      </c>
    </row>
    <row r="77" spans="1:8">
      <c r="A77" s="320">
        <v>54</v>
      </c>
      <c r="B77" s="320"/>
      <c r="C77" s="320" t="s">
        <v>232</v>
      </c>
      <c r="D77" s="321">
        <f t="shared" ca="1" si="2"/>
        <v>45618</v>
      </c>
      <c r="E77" s="322">
        <f t="shared" si="5"/>
        <v>165528.94814814813</v>
      </c>
      <c r="F77" s="322">
        <f t="shared" si="3"/>
        <v>7431.0211640211628</v>
      </c>
      <c r="G77" s="323">
        <f t="shared" si="1"/>
        <v>172959.9693121693</v>
      </c>
      <c r="H77" s="324">
        <f t="shared" si="4"/>
        <v>-1.3969838619232178E-9</v>
      </c>
    </row>
    <row r="78" spans="1:8">
      <c r="A78" s="507" t="s">
        <v>16</v>
      </c>
      <c r="B78" s="507"/>
      <c r="C78" s="507"/>
      <c r="D78" s="507"/>
      <c r="E78" s="332">
        <f>SUM(E22:E77)</f>
        <v>8988563.1999999993</v>
      </c>
      <c r="F78" s="332">
        <f>SUM(F22:F77)</f>
        <v>401275.14285714278</v>
      </c>
      <c r="G78" s="332">
        <f>SUM(G22:G77)</f>
        <v>9389838.3428571448</v>
      </c>
      <c r="H78" s="333"/>
    </row>
    <row r="79" spans="1:8" s="233" customFormat="1" ht="14">
      <c r="C79" s="287"/>
      <c r="D79" s="288"/>
      <c r="E79" s="289"/>
      <c r="F79" s="289"/>
      <c r="G79" s="289"/>
    </row>
    <row r="80" spans="1:8" s="233" customFormat="1" ht="14">
      <c r="A80" s="439" t="s">
        <v>364</v>
      </c>
      <c r="B80" s="439"/>
      <c r="C80" s="439"/>
      <c r="D80" s="439"/>
      <c r="E80" s="439"/>
      <c r="F80" s="439"/>
      <c r="G80" s="439"/>
      <c r="H80" s="439"/>
    </row>
    <row r="81" spans="1:8" s="233" customFormat="1" ht="31.5" customHeight="1">
      <c r="A81" s="449" t="s">
        <v>365</v>
      </c>
      <c r="B81" s="449"/>
      <c r="C81" s="449"/>
      <c r="D81" s="449"/>
      <c r="E81" s="449"/>
      <c r="F81" s="449"/>
      <c r="G81" s="449"/>
      <c r="H81" s="449"/>
    </row>
    <row r="82" spans="1:8" s="233" customFormat="1" ht="16.5" customHeight="1">
      <c r="A82" s="439" t="s">
        <v>366</v>
      </c>
      <c r="B82" s="439"/>
      <c r="C82" s="439"/>
      <c r="D82" s="439"/>
      <c r="E82" s="439"/>
      <c r="F82" s="439"/>
      <c r="G82" s="439"/>
      <c r="H82" s="439"/>
    </row>
    <row r="83" spans="1:8" s="233" customFormat="1" ht="16.5" customHeight="1">
      <c r="A83" s="439" t="s">
        <v>367</v>
      </c>
      <c r="B83" s="439"/>
      <c r="C83" s="439"/>
      <c r="D83" s="439"/>
      <c r="E83" s="439"/>
      <c r="F83" s="439"/>
      <c r="G83" s="439"/>
      <c r="H83" s="439"/>
    </row>
    <row r="84" spans="1:8" s="233" customFormat="1" ht="16.5" customHeight="1">
      <c r="A84" s="439" t="s">
        <v>368</v>
      </c>
      <c r="B84" s="439"/>
      <c r="C84" s="439"/>
      <c r="D84" s="439"/>
      <c r="E84" s="439"/>
      <c r="F84" s="439"/>
      <c r="G84" s="439"/>
      <c r="H84" s="439"/>
    </row>
    <row r="85" spans="1:8" s="233" customFormat="1" ht="108" customHeight="1">
      <c r="A85" s="439" t="s">
        <v>369</v>
      </c>
      <c r="B85" s="439"/>
      <c r="C85" s="439"/>
      <c r="D85" s="439"/>
      <c r="E85" s="439"/>
      <c r="F85" s="439"/>
      <c r="G85" s="439"/>
      <c r="H85" s="439"/>
    </row>
    <row r="86" spans="1:8" s="233" customFormat="1" ht="44.25" customHeight="1">
      <c r="A86" s="439" t="s">
        <v>370</v>
      </c>
      <c r="B86" s="439"/>
      <c r="C86" s="439"/>
      <c r="D86" s="439"/>
      <c r="E86" s="439"/>
      <c r="F86" s="439"/>
      <c r="G86" s="439"/>
      <c r="H86" s="439"/>
    </row>
    <row r="87" spans="1:8" s="233" customFormat="1" ht="19.5" customHeight="1">
      <c r="A87" s="439" t="s">
        <v>371</v>
      </c>
      <c r="B87" s="439"/>
      <c r="C87" s="439"/>
      <c r="D87" s="439"/>
      <c r="E87" s="439"/>
      <c r="F87" s="439"/>
      <c r="G87" s="439"/>
      <c r="H87" s="439"/>
    </row>
    <row r="88" spans="1:8" s="233" customFormat="1" ht="14">
      <c r="A88" s="439"/>
      <c r="B88" s="439"/>
      <c r="C88" s="439"/>
      <c r="D88" s="439"/>
      <c r="E88" s="439"/>
      <c r="F88" s="439"/>
      <c r="G88" s="439"/>
      <c r="H88" s="439"/>
    </row>
    <row r="89" spans="1:8" s="233" customFormat="1" ht="14">
      <c r="A89" s="233" t="s">
        <v>17</v>
      </c>
      <c r="D89" s="231"/>
      <c r="G89" s="230"/>
    </row>
    <row r="90" spans="1:8" s="233" customFormat="1" ht="14">
      <c r="D90" s="231"/>
      <c r="G90" s="230"/>
    </row>
    <row r="91" spans="1:8" s="233" customFormat="1" ht="15" customHeight="1">
      <c r="A91" s="290"/>
      <c r="B91" s="290"/>
      <c r="C91" s="290"/>
      <c r="D91" s="231"/>
      <c r="E91" s="290"/>
      <c r="F91" s="290"/>
      <c r="G91" s="291"/>
    </row>
    <row r="92" spans="1:8" s="233" customFormat="1" ht="14">
      <c r="A92" s="452" t="s">
        <v>355</v>
      </c>
      <c r="B92" s="452"/>
      <c r="C92" s="452"/>
      <c r="D92" s="231"/>
      <c r="E92" s="452" t="s">
        <v>18</v>
      </c>
      <c r="F92" s="452"/>
      <c r="G92" s="452"/>
    </row>
  </sheetData>
  <sheetProtection password="CAF1" sheet="1" selectLockedCells="1"/>
  <mergeCells count="21">
    <mergeCell ref="A78:D78"/>
    <mergeCell ref="A85:H85"/>
    <mergeCell ref="A86:H86"/>
    <mergeCell ref="A87:H87"/>
    <mergeCell ref="A88:H88"/>
    <mergeCell ref="A92:C92"/>
    <mergeCell ref="E92:G92"/>
    <mergeCell ref="H1:H2"/>
    <mergeCell ref="A9:B9"/>
    <mergeCell ref="C5:H5"/>
    <mergeCell ref="C6:H6"/>
    <mergeCell ref="C7:H7"/>
    <mergeCell ref="C8:H8"/>
    <mergeCell ref="C9:H9"/>
    <mergeCell ref="C10:H10"/>
    <mergeCell ref="A21:G21"/>
    <mergeCell ref="A80:H80"/>
    <mergeCell ref="A81:H81"/>
    <mergeCell ref="A82:H82"/>
    <mergeCell ref="A83:H83"/>
    <mergeCell ref="A84:H84"/>
  </mergeCells>
  <hyperlinks>
    <hyperlink ref="J4" location="'DATA SHEET'!A1" display="Return to Data Sheet" xr:uid="{00000000-0004-0000-1F00-000000000000}"/>
    <hyperlink ref="C1" location="'DATA SHEET'!A1" display="HIGHLANDS PRIME, INC." xr:uid="{00000000-0004-0000-1F00-000001000000}"/>
  </hyperlinks>
  <pageMargins left="0.7" right="0.7" top="0.75" bottom="0.75" header="0.3" footer="0.3"/>
  <pageSetup paperSize="14" scale="62" orientation="portrait" r:id="rId1"/>
  <headerFooter>
    <oddFooter>&amp;L&amp;8A project of HIGHLANDS PRIME, INC. Horizon Terraces HLURB License To Sell No. 032272&amp;R&amp;8&amp;P of &amp;N</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tabColor rgb="FF389E8F"/>
    <pageSetUpPr fitToPage="1"/>
  </sheetPr>
  <dimension ref="A1:L64"/>
  <sheetViews>
    <sheetView showGridLines="0" zoomScaleNormal="100" workbookViewId="0">
      <selection activeCell="J4" sqref="J4"/>
    </sheetView>
  </sheetViews>
  <sheetFormatPr baseColWidth="10" defaultColWidth="0" defaultRowHeight="15"/>
  <cols>
    <col min="1" max="1" width="12" style="37" customWidth="1"/>
    <col min="2" max="2" width="10.5" style="37" customWidth="1"/>
    <col min="3" max="3" width="23.83203125" style="37" customWidth="1"/>
    <col min="4" max="4" width="11.83203125" style="38" bestFit="1" customWidth="1"/>
    <col min="5" max="5" width="12.5" style="37" bestFit="1" customWidth="1"/>
    <col min="6" max="6" width="13.6640625" style="37" bestFit="1" customWidth="1"/>
    <col min="7" max="7" width="13.5" style="39" bestFit="1" customWidth="1"/>
    <col min="8" max="8" width="16.5" style="37" bestFit="1" customWidth="1"/>
    <col min="9" max="12" width="9.1640625" style="353" customWidth="1"/>
    <col min="13" max="16384" width="9.1640625" style="353" hidden="1"/>
  </cols>
  <sheetData>
    <row r="1" spans="1:10">
      <c r="C1" s="240" t="s">
        <v>35</v>
      </c>
      <c r="H1" s="478" t="s">
        <v>66</v>
      </c>
    </row>
    <row r="2" spans="1:10">
      <c r="C2" s="230" t="s">
        <v>348</v>
      </c>
      <c r="H2" s="478"/>
    </row>
    <row r="3" spans="1:10">
      <c r="C3" s="230" t="s">
        <v>36</v>
      </c>
    </row>
    <row r="4" spans="1:10">
      <c r="H4" s="314"/>
      <c r="J4" s="311" t="s">
        <v>305</v>
      </c>
    </row>
    <row r="5" spans="1:10">
      <c r="A5" s="358" t="s">
        <v>0</v>
      </c>
      <c r="B5" s="377"/>
      <c r="C5" s="515" t="str">
        <f>'DATA SHEET'!D10</f>
        <v xml:space="preserve"> </v>
      </c>
      <c r="D5" s="515"/>
      <c r="E5" s="515"/>
      <c r="F5" s="515"/>
      <c r="G5" s="515"/>
      <c r="H5" s="516"/>
    </row>
    <row r="6" spans="1:10">
      <c r="A6" s="370" t="s">
        <v>31</v>
      </c>
      <c r="B6" s="371"/>
      <c r="C6" s="517" t="str">
        <f>VLOOKUP('DATA SHEET'!$D$11,' Garden Suites PL'!C6:F28,1,FALSE)</f>
        <v>GA</v>
      </c>
      <c r="D6" s="517"/>
      <c r="E6" s="517"/>
      <c r="F6" s="517"/>
      <c r="G6" s="517"/>
      <c r="H6" s="518"/>
    </row>
    <row r="7" spans="1:10">
      <c r="A7" s="370" t="s">
        <v>37</v>
      </c>
      <c r="B7" s="371"/>
      <c r="C7" s="470">
        <f>VLOOKUP('DATA SHEET'!D11,' Garden Suites PL'!C6:F28,3,0)</f>
        <v>67.900000000000006</v>
      </c>
      <c r="D7" s="470"/>
      <c r="E7" s="470"/>
      <c r="F7" s="470"/>
      <c r="G7" s="470"/>
      <c r="H7" s="471"/>
    </row>
    <row r="8" spans="1:10">
      <c r="A8" s="246" t="s">
        <v>352</v>
      </c>
      <c r="B8" s="286"/>
      <c r="C8" s="458" t="str">
        <f>VLOOKUP('DATA SHEET'!D11,' Garden Suites PL'!C6:D28,2,0)</f>
        <v>1-Bedroom Terrace Suite</v>
      </c>
      <c r="D8" s="458"/>
      <c r="E8" s="458"/>
      <c r="F8" s="458"/>
      <c r="G8" s="458"/>
      <c r="H8" s="459"/>
    </row>
    <row r="9" spans="1:10">
      <c r="A9" s="438" t="s">
        <v>356</v>
      </c>
      <c r="B9" s="436"/>
      <c r="C9" s="472">
        <f>VLOOKUP('DATA SHEET'!D11,' Garden Suites PL'!C6:G28,5,0)</f>
        <v>9961680</v>
      </c>
      <c r="D9" s="472"/>
      <c r="E9" s="472"/>
      <c r="F9" s="472"/>
      <c r="G9" s="472"/>
      <c r="H9" s="473"/>
    </row>
    <row r="10" spans="1:10">
      <c r="A10" s="373" t="s">
        <v>33</v>
      </c>
      <c r="B10" s="374"/>
      <c r="C10" s="496" t="str">
        <f>'DATA SHEET'!D26</f>
        <v>7% in 11 months with 5% bullet on the 12th, 8% from 13th to 24th month, Lumpsum on the 25th</v>
      </c>
      <c r="D10" s="496"/>
      <c r="E10" s="496"/>
      <c r="F10" s="496"/>
      <c r="G10" s="496"/>
      <c r="H10" s="497"/>
    </row>
    <row r="12" spans="1:10">
      <c r="A12" s="39" t="s">
        <v>55</v>
      </c>
      <c r="B12" s="39"/>
    </row>
    <row r="13" spans="1:10">
      <c r="A13" s="233" t="s">
        <v>359</v>
      </c>
      <c r="D13" s="194">
        <f>(C9-650000)</f>
        <v>9311680</v>
      </c>
      <c r="E13" s="316" t="str">
        <f>LEFT(C8,9)</f>
        <v>1-Bedroom</v>
      </c>
      <c r="F13" s="316"/>
      <c r="G13" s="352"/>
    </row>
    <row r="14" spans="1:10" s="37" customFormat="1" ht="14">
      <c r="A14" s="228" t="s">
        <v>378</v>
      </c>
      <c r="B14" s="228"/>
      <c r="C14" s="368">
        <v>0.01</v>
      </c>
      <c r="D14" s="355">
        <f>IF(C14&lt;=1%,D13*C14,"BEYOND MAX DISC")</f>
        <v>93116.800000000003</v>
      </c>
      <c r="E14" s="356"/>
      <c r="F14" s="356"/>
      <c r="G14" s="357"/>
      <c r="H14" s="356"/>
      <c r="I14" s="356"/>
    </row>
    <row r="15" spans="1:10" s="37" customFormat="1" ht="14">
      <c r="A15" s="228" t="s">
        <v>379</v>
      </c>
      <c r="B15" s="228"/>
      <c r="C15" s="227"/>
      <c r="D15" s="349">
        <v>230000</v>
      </c>
      <c r="E15" s="356"/>
      <c r="F15" s="356"/>
      <c r="G15" s="357"/>
    </row>
    <row r="16" spans="1:10" s="37" customFormat="1" ht="14">
      <c r="A16" s="230" t="s">
        <v>361</v>
      </c>
      <c r="B16" s="39"/>
      <c r="C16" s="39"/>
      <c r="D16" s="318">
        <f>+D13-SUM(D14:D15)</f>
        <v>8988563.1999999993</v>
      </c>
      <c r="E16" s="38"/>
      <c r="F16" s="38"/>
      <c r="G16" s="315"/>
      <c r="H16" s="38"/>
      <c r="I16" s="38"/>
    </row>
    <row r="17" spans="1:12">
      <c r="A17" s="267" t="s">
        <v>350</v>
      </c>
      <c r="B17" s="267"/>
      <c r="C17" s="229">
        <v>0.05</v>
      </c>
      <c r="D17" s="319">
        <f>(D16/1.12)*C17</f>
        <v>401275.14285714278</v>
      </c>
      <c r="E17" s="38"/>
      <c r="F17" s="38"/>
      <c r="G17" s="315"/>
      <c r="H17" s="38"/>
      <c r="I17" s="38"/>
      <c r="J17" s="38"/>
      <c r="K17" s="38"/>
      <c r="L17" s="37"/>
    </row>
    <row r="18" spans="1:12" ht="16" thickBot="1">
      <c r="A18" s="230" t="s">
        <v>58</v>
      </c>
      <c r="B18" s="230"/>
      <c r="C18" s="230"/>
      <c r="D18" s="270">
        <f>+D16+D17</f>
        <v>9389838.3428571429</v>
      </c>
      <c r="E18" s="38"/>
      <c r="F18" s="38"/>
      <c r="G18" s="315"/>
      <c r="H18" s="38"/>
      <c r="I18" s="38"/>
      <c r="J18" s="38"/>
      <c r="K18" s="38"/>
      <c r="L18" s="37"/>
    </row>
    <row r="19" spans="1:12" ht="16" thickTop="1"/>
    <row r="20" spans="1:12">
      <c r="A20" s="271" t="s">
        <v>34</v>
      </c>
      <c r="B20" s="271" t="s">
        <v>347</v>
      </c>
      <c r="C20" s="271" t="s">
        <v>2</v>
      </c>
      <c r="D20" s="271" t="s">
        <v>343</v>
      </c>
      <c r="E20" s="271" t="s">
        <v>363</v>
      </c>
      <c r="F20" s="271" t="s">
        <v>344</v>
      </c>
      <c r="G20" s="272" t="s">
        <v>349</v>
      </c>
      <c r="H20" s="271" t="s">
        <v>345</v>
      </c>
    </row>
    <row r="21" spans="1:12">
      <c r="A21" s="495" t="s">
        <v>346</v>
      </c>
      <c r="B21" s="495"/>
      <c r="C21" s="495"/>
      <c r="D21" s="495"/>
      <c r="E21" s="495"/>
      <c r="F21" s="495"/>
      <c r="G21" s="495"/>
      <c r="H21" s="310">
        <f>+D18</f>
        <v>9389838.3428571429</v>
      </c>
    </row>
    <row r="22" spans="1:12">
      <c r="A22" s="320">
        <v>0</v>
      </c>
      <c r="B22" s="320"/>
      <c r="C22" s="320" t="s">
        <v>38</v>
      </c>
      <c r="D22" s="321">
        <f ca="1">'DATA SHEET'!D9</f>
        <v>43973</v>
      </c>
      <c r="E22" s="322">
        <f>IF(E13="1-Bedroom",50000,100000)</f>
        <v>50000</v>
      </c>
      <c r="F22" s="322"/>
      <c r="G22" s="323">
        <f>+SUM(E22:F22)</f>
        <v>50000</v>
      </c>
      <c r="H22" s="324">
        <f>D18-G22</f>
        <v>9339838.3428571429</v>
      </c>
    </row>
    <row r="23" spans="1:12">
      <c r="A23" s="320"/>
      <c r="B23" s="325">
        <v>7.0000000000000007E-2</v>
      </c>
      <c r="C23" s="320" t="s">
        <v>374</v>
      </c>
      <c r="D23" s="321"/>
      <c r="E23" s="322"/>
      <c r="F23" s="322"/>
      <c r="G23" s="323"/>
      <c r="H23" s="324"/>
    </row>
    <row r="24" spans="1:12">
      <c r="A24" s="320">
        <v>1</v>
      </c>
      <c r="B24" s="320"/>
      <c r="C24" s="320" t="s">
        <v>4</v>
      </c>
      <c r="D24" s="321">
        <f ca="1">EDATE(D22,1)</f>
        <v>44004</v>
      </c>
      <c r="E24" s="322">
        <f>(($D$16*$B$23)-$E$22)/11</f>
        <v>52654.493090909091</v>
      </c>
      <c r="F24" s="322">
        <f>($D$17*$B$23)/11</f>
        <v>2553.5690909090908</v>
      </c>
      <c r="G24" s="323">
        <f t="shared" ref="G24:G49" si="0">+SUM(E24:F24)</f>
        <v>55208.062181818183</v>
      </c>
      <c r="H24" s="324">
        <f>H22-G24</f>
        <v>9284630.2806753255</v>
      </c>
    </row>
    <row r="25" spans="1:12">
      <c r="A25" s="320">
        <v>2</v>
      </c>
      <c r="B25" s="320"/>
      <c r="C25" s="320" t="s">
        <v>5</v>
      </c>
      <c r="D25" s="321">
        <f t="shared" ref="D25:D49" ca="1" si="1">EDATE(D24,1)</f>
        <v>44034</v>
      </c>
      <c r="E25" s="322">
        <f t="shared" ref="E25:E34" si="2">(($D$16*$B$23)-$E$22)/11</f>
        <v>52654.493090909091</v>
      </c>
      <c r="F25" s="322">
        <f t="shared" ref="F25:F34" si="3">($D$17*$B$23)/11</f>
        <v>2553.5690909090908</v>
      </c>
      <c r="G25" s="323">
        <f t="shared" si="0"/>
        <v>55208.062181818183</v>
      </c>
      <c r="H25" s="324">
        <f t="shared" ref="H25:H49" si="4">H24-G25</f>
        <v>9229422.2184935082</v>
      </c>
    </row>
    <row r="26" spans="1:12">
      <c r="A26" s="320">
        <v>3</v>
      </c>
      <c r="B26" s="320"/>
      <c r="C26" s="320" t="s">
        <v>6</v>
      </c>
      <c r="D26" s="321">
        <f t="shared" ca="1" si="1"/>
        <v>44065</v>
      </c>
      <c r="E26" s="322">
        <f t="shared" si="2"/>
        <v>52654.493090909091</v>
      </c>
      <c r="F26" s="322">
        <f t="shared" si="3"/>
        <v>2553.5690909090908</v>
      </c>
      <c r="G26" s="323">
        <f t="shared" si="0"/>
        <v>55208.062181818183</v>
      </c>
      <c r="H26" s="324">
        <f t="shared" si="4"/>
        <v>9174214.1563116908</v>
      </c>
    </row>
    <row r="27" spans="1:12">
      <c r="A27" s="320">
        <v>4</v>
      </c>
      <c r="B27" s="320"/>
      <c r="C27" s="320" t="s">
        <v>7</v>
      </c>
      <c r="D27" s="321">
        <f t="shared" ca="1" si="1"/>
        <v>44096</v>
      </c>
      <c r="E27" s="322">
        <f t="shared" si="2"/>
        <v>52654.493090909091</v>
      </c>
      <c r="F27" s="322">
        <f t="shared" si="3"/>
        <v>2553.5690909090908</v>
      </c>
      <c r="G27" s="323">
        <f t="shared" si="0"/>
        <v>55208.062181818183</v>
      </c>
      <c r="H27" s="324">
        <f t="shared" si="4"/>
        <v>9119006.0941298734</v>
      </c>
    </row>
    <row r="28" spans="1:12">
      <c r="A28" s="320">
        <v>5</v>
      </c>
      <c r="B28" s="320"/>
      <c r="C28" s="320" t="s">
        <v>8</v>
      </c>
      <c r="D28" s="321">
        <f t="shared" ca="1" si="1"/>
        <v>44126</v>
      </c>
      <c r="E28" s="322">
        <f t="shared" si="2"/>
        <v>52654.493090909091</v>
      </c>
      <c r="F28" s="322">
        <f t="shared" si="3"/>
        <v>2553.5690909090908</v>
      </c>
      <c r="G28" s="323">
        <f t="shared" si="0"/>
        <v>55208.062181818183</v>
      </c>
      <c r="H28" s="324">
        <f t="shared" si="4"/>
        <v>9063798.0319480561</v>
      </c>
    </row>
    <row r="29" spans="1:12">
      <c r="A29" s="320">
        <v>6</v>
      </c>
      <c r="B29" s="320"/>
      <c r="C29" s="320" t="s">
        <v>9</v>
      </c>
      <c r="D29" s="321">
        <f t="shared" ca="1" si="1"/>
        <v>44157</v>
      </c>
      <c r="E29" s="322">
        <f t="shared" si="2"/>
        <v>52654.493090909091</v>
      </c>
      <c r="F29" s="322">
        <f t="shared" si="3"/>
        <v>2553.5690909090908</v>
      </c>
      <c r="G29" s="323">
        <f t="shared" si="0"/>
        <v>55208.062181818183</v>
      </c>
      <c r="H29" s="324">
        <f t="shared" si="4"/>
        <v>9008589.9697662387</v>
      </c>
    </row>
    <row r="30" spans="1:12">
      <c r="A30" s="320">
        <v>7</v>
      </c>
      <c r="B30" s="320"/>
      <c r="C30" s="320" t="s">
        <v>10</v>
      </c>
      <c r="D30" s="321">
        <f t="shared" ca="1" si="1"/>
        <v>44187</v>
      </c>
      <c r="E30" s="322">
        <f t="shared" si="2"/>
        <v>52654.493090909091</v>
      </c>
      <c r="F30" s="322">
        <f t="shared" si="3"/>
        <v>2553.5690909090908</v>
      </c>
      <c r="G30" s="323">
        <f t="shared" si="0"/>
        <v>55208.062181818183</v>
      </c>
      <c r="H30" s="324">
        <f t="shared" si="4"/>
        <v>8953381.9075844213</v>
      </c>
    </row>
    <row r="31" spans="1:12">
      <c r="A31" s="320">
        <v>8</v>
      </c>
      <c r="B31" s="320"/>
      <c r="C31" s="320" t="s">
        <v>11</v>
      </c>
      <c r="D31" s="321">
        <f t="shared" ca="1" si="1"/>
        <v>44218</v>
      </c>
      <c r="E31" s="322">
        <f t="shared" si="2"/>
        <v>52654.493090909091</v>
      </c>
      <c r="F31" s="322">
        <f t="shared" si="3"/>
        <v>2553.5690909090908</v>
      </c>
      <c r="G31" s="323">
        <f t="shared" si="0"/>
        <v>55208.062181818183</v>
      </c>
      <c r="H31" s="324">
        <f t="shared" si="4"/>
        <v>8898173.845402604</v>
      </c>
    </row>
    <row r="32" spans="1:12">
      <c r="A32" s="320">
        <v>9</v>
      </c>
      <c r="B32" s="320"/>
      <c r="C32" s="320" t="s">
        <v>12</v>
      </c>
      <c r="D32" s="321">
        <f t="shared" ca="1" si="1"/>
        <v>44249</v>
      </c>
      <c r="E32" s="322">
        <f t="shared" si="2"/>
        <v>52654.493090909091</v>
      </c>
      <c r="F32" s="322">
        <f t="shared" si="3"/>
        <v>2553.5690909090908</v>
      </c>
      <c r="G32" s="323">
        <f t="shared" si="0"/>
        <v>55208.062181818183</v>
      </c>
      <c r="H32" s="324">
        <f t="shared" si="4"/>
        <v>8842965.7832207866</v>
      </c>
    </row>
    <row r="33" spans="1:8">
      <c r="A33" s="320">
        <v>10</v>
      </c>
      <c r="B33" s="320"/>
      <c r="C33" s="320" t="s">
        <v>13</v>
      </c>
      <c r="D33" s="321">
        <f t="shared" ca="1" si="1"/>
        <v>44277</v>
      </c>
      <c r="E33" s="322">
        <f t="shared" si="2"/>
        <v>52654.493090909091</v>
      </c>
      <c r="F33" s="322">
        <f t="shared" si="3"/>
        <v>2553.5690909090908</v>
      </c>
      <c r="G33" s="323">
        <f t="shared" si="0"/>
        <v>55208.062181818183</v>
      </c>
      <c r="H33" s="324">
        <f t="shared" si="4"/>
        <v>8787757.7210389692</v>
      </c>
    </row>
    <row r="34" spans="1:8">
      <c r="A34" s="320">
        <v>11</v>
      </c>
      <c r="B34" s="320"/>
      <c r="C34" s="320" t="s">
        <v>14</v>
      </c>
      <c r="D34" s="321">
        <f t="shared" ca="1" si="1"/>
        <v>44308</v>
      </c>
      <c r="E34" s="322">
        <f t="shared" si="2"/>
        <v>52654.493090909091</v>
      </c>
      <c r="F34" s="322">
        <f t="shared" si="3"/>
        <v>2553.5690909090908</v>
      </c>
      <c r="G34" s="323">
        <f t="shared" si="0"/>
        <v>55208.062181818183</v>
      </c>
      <c r="H34" s="324">
        <f t="shared" si="4"/>
        <v>8732549.6588571519</v>
      </c>
    </row>
    <row r="35" spans="1:8">
      <c r="A35" s="320">
        <v>12</v>
      </c>
      <c r="B35" s="325">
        <v>0.05</v>
      </c>
      <c r="C35" s="320" t="s">
        <v>377</v>
      </c>
      <c r="D35" s="321">
        <f t="shared" ca="1" si="1"/>
        <v>44338</v>
      </c>
      <c r="E35" s="322">
        <f>D16*B35</f>
        <v>449428.16</v>
      </c>
      <c r="F35" s="322">
        <f>D17*B35</f>
        <v>20063.757142857139</v>
      </c>
      <c r="G35" s="323">
        <f t="shared" si="0"/>
        <v>469491.9171428571</v>
      </c>
      <c r="H35" s="324">
        <f t="shared" si="4"/>
        <v>8263057.741714295</v>
      </c>
    </row>
    <row r="36" spans="1:8">
      <c r="A36" s="320"/>
      <c r="B36" s="325">
        <v>0.08</v>
      </c>
      <c r="C36" s="320" t="s">
        <v>376</v>
      </c>
      <c r="D36" s="321"/>
      <c r="E36" s="322"/>
      <c r="F36" s="322"/>
      <c r="G36" s="323"/>
      <c r="H36" s="324"/>
    </row>
    <row r="37" spans="1:8">
      <c r="A37" s="320">
        <v>13</v>
      </c>
      <c r="B37" s="320"/>
      <c r="C37" s="320" t="s">
        <v>190</v>
      </c>
      <c r="D37" s="321">
        <f ca="1">EDATE(D35,1)</f>
        <v>44369</v>
      </c>
      <c r="E37" s="322">
        <f>($D$16*$B$36)/12</f>
        <v>59923.754666666668</v>
      </c>
      <c r="F37" s="322">
        <f>($D$17*$B$36)/12</f>
        <v>2675.1676190476187</v>
      </c>
      <c r="G37" s="323">
        <f t="shared" si="0"/>
        <v>62598.922285714289</v>
      </c>
      <c r="H37" s="324">
        <f>H35-G37</f>
        <v>8200458.8194285808</v>
      </c>
    </row>
    <row r="38" spans="1:8">
      <c r="A38" s="320">
        <v>14</v>
      </c>
      <c r="B38" s="320"/>
      <c r="C38" s="320" t="s">
        <v>191</v>
      </c>
      <c r="D38" s="321">
        <f t="shared" ca="1" si="1"/>
        <v>44399</v>
      </c>
      <c r="E38" s="322">
        <f t="shared" ref="E38:E48" si="5">($D$16*$B$36)/12</f>
        <v>59923.754666666668</v>
      </c>
      <c r="F38" s="322">
        <f t="shared" ref="F38:F48" si="6">($D$17*$B$36)/12</f>
        <v>2675.1676190476187</v>
      </c>
      <c r="G38" s="323">
        <f t="shared" si="0"/>
        <v>62598.922285714289</v>
      </c>
      <c r="H38" s="324">
        <f t="shared" si="4"/>
        <v>8137859.8971428666</v>
      </c>
    </row>
    <row r="39" spans="1:8">
      <c r="A39" s="320">
        <v>15</v>
      </c>
      <c r="B39" s="320"/>
      <c r="C39" s="320" t="s">
        <v>192</v>
      </c>
      <c r="D39" s="321">
        <f t="shared" ca="1" si="1"/>
        <v>44430</v>
      </c>
      <c r="E39" s="322">
        <f t="shared" si="5"/>
        <v>59923.754666666668</v>
      </c>
      <c r="F39" s="322">
        <f t="shared" si="6"/>
        <v>2675.1676190476187</v>
      </c>
      <c r="G39" s="323">
        <f t="shared" si="0"/>
        <v>62598.922285714289</v>
      </c>
      <c r="H39" s="324">
        <f t="shared" si="4"/>
        <v>8075260.9748571524</v>
      </c>
    </row>
    <row r="40" spans="1:8">
      <c r="A40" s="320">
        <v>16</v>
      </c>
      <c r="B40" s="320"/>
      <c r="C40" s="320" t="s">
        <v>193</v>
      </c>
      <c r="D40" s="321">
        <f t="shared" ca="1" si="1"/>
        <v>44461</v>
      </c>
      <c r="E40" s="322">
        <f t="shared" si="5"/>
        <v>59923.754666666668</v>
      </c>
      <c r="F40" s="322">
        <f t="shared" si="6"/>
        <v>2675.1676190476187</v>
      </c>
      <c r="G40" s="323">
        <f t="shared" si="0"/>
        <v>62598.922285714289</v>
      </c>
      <c r="H40" s="324">
        <f t="shared" si="4"/>
        <v>8012662.0525714383</v>
      </c>
    </row>
    <row r="41" spans="1:8">
      <c r="A41" s="320">
        <v>17</v>
      </c>
      <c r="B41" s="320"/>
      <c r="C41" s="320" t="s">
        <v>194</v>
      </c>
      <c r="D41" s="321">
        <f t="shared" ca="1" si="1"/>
        <v>44491</v>
      </c>
      <c r="E41" s="322">
        <f t="shared" si="5"/>
        <v>59923.754666666668</v>
      </c>
      <c r="F41" s="322">
        <f t="shared" si="6"/>
        <v>2675.1676190476187</v>
      </c>
      <c r="G41" s="323">
        <f t="shared" si="0"/>
        <v>62598.922285714289</v>
      </c>
      <c r="H41" s="324">
        <f t="shared" si="4"/>
        <v>7950063.1302857241</v>
      </c>
    </row>
    <row r="42" spans="1:8">
      <c r="A42" s="320">
        <v>18</v>
      </c>
      <c r="B42" s="320"/>
      <c r="C42" s="320" t="s">
        <v>195</v>
      </c>
      <c r="D42" s="321">
        <f t="shared" ca="1" si="1"/>
        <v>44522</v>
      </c>
      <c r="E42" s="322">
        <f t="shared" si="5"/>
        <v>59923.754666666668</v>
      </c>
      <c r="F42" s="322">
        <f t="shared" si="6"/>
        <v>2675.1676190476187</v>
      </c>
      <c r="G42" s="323">
        <f t="shared" si="0"/>
        <v>62598.922285714289</v>
      </c>
      <c r="H42" s="324">
        <f t="shared" si="4"/>
        <v>7887464.2080000099</v>
      </c>
    </row>
    <row r="43" spans="1:8">
      <c r="A43" s="320">
        <v>19</v>
      </c>
      <c r="B43" s="320"/>
      <c r="C43" s="320" t="s">
        <v>196</v>
      </c>
      <c r="D43" s="321">
        <f t="shared" ca="1" si="1"/>
        <v>44552</v>
      </c>
      <c r="E43" s="322">
        <f t="shared" si="5"/>
        <v>59923.754666666668</v>
      </c>
      <c r="F43" s="322">
        <f t="shared" si="6"/>
        <v>2675.1676190476187</v>
      </c>
      <c r="G43" s="323">
        <f t="shared" si="0"/>
        <v>62598.922285714289</v>
      </c>
      <c r="H43" s="324">
        <f t="shared" si="4"/>
        <v>7824865.2857142957</v>
      </c>
    </row>
    <row r="44" spans="1:8">
      <c r="A44" s="320">
        <v>20</v>
      </c>
      <c r="B44" s="320"/>
      <c r="C44" s="320" t="s">
        <v>197</v>
      </c>
      <c r="D44" s="321">
        <f t="shared" ca="1" si="1"/>
        <v>44583</v>
      </c>
      <c r="E44" s="322">
        <f t="shared" si="5"/>
        <v>59923.754666666668</v>
      </c>
      <c r="F44" s="322">
        <f t="shared" si="6"/>
        <v>2675.1676190476187</v>
      </c>
      <c r="G44" s="323">
        <f t="shared" si="0"/>
        <v>62598.922285714289</v>
      </c>
      <c r="H44" s="324">
        <f t="shared" si="4"/>
        <v>7762266.3634285815</v>
      </c>
    </row>
    <row r="45" spans="1:8">
      <c r="A45" s="320">
        <v>21</v>
      </c>
      <c r="B45" s="320"/>
      <c r="C45" s="320" t="s">
        <v>198</v>
      </c>
      <c r="D45" s="321">
        <f t="shared" ca="1" si="1"/>
        <v>44614</v>
      </c>
      <c r="E45" s="322">
        <f t="shared" si="5"/>
        <v>59923.754666666668</v>
      </c>
      <c r="F45" s="322">
        <f t="shared" si="6"/>
        <v>2675.1676190476187</v>
      </c>
      <c r="G45" s="323">
        <f t="shared" si="0"/>
        <v>62598.922285714289</v>
      </c>
      <c r="H45" s="324">
        <f t="shared" si="4"/>
        <v>7699667.4411428673</v>
      </c>
    </row>
    <row r="46" spans="1:8">
      <c r="A46" s="320">
        <v>22</v>
      </c>
      <c r="B46" s="320"/>
      <c r="C46" s="320" t="s">
        <v>199</v>
      </c>
      <c r="D46" s="321">
        <f t="shared" ca="1" si="1"/>
        <v>44642</v>
      </c>
      <c r="E46" s="322">
        <f t="shared" si="5"/>
        <v>59923.754666666668</v>
      </c>
      <c r="F46" s="322">
        <f t="shared" si="6"/>
        <v>2675.1676190476187</v>
      </c>
      <c r="G46" s="323">
        <f t="shared" si="0"/>
        <v>62598.922285714289</v>
      </c>
      <c r="H46" s="324">
        <f t="shared" si="4"/>
        <v>7637068.5188571531</v>
      </c>
    </row>
    <row r="47" spans="1:8">
      <c r="A47" s="320">
        <v>23</v>
      </c>
      <c r="B47" s="320"/>
      <c r="C47" s="320" t="s">
        <v>200</v>
      </c>
      <c r="D47" s="321">
        <f t="shared" ca="1" si="1"/>
        <v>44673</v>
      </c>
      <c r="E47" s="322">
        <f t="shared" si="5"/>
        <v>59923.754666666668</v>
      </c>
      <c r="F47" s="322">
        <f t="shared" si="6"/>
        <v>2675.1676190476187</v>
      </c>
      <c r="G47" s="323">
        <f t="shared" si="0"/>
        <v>62598.922285714289</v>
      </c>
      <c r="H47" s="324">
        <f t="shared" si="4"/>
        <v>7574469.5965714389</v>
      </c>
    </row>
    <row r="48" spans="1:8">
      <c r="A48" s="320">
        <v>24</v>
      </c>
      <c r="B48" s="320"/>
      <c r="C48" s="320" t="s">
        <v>201</v>
      </c>
      <c r="D48" s="321">
        <f t="shared" ca="1" si="1"/>
        <v>44703</v>
      </c>
      <c r="E48" s="322">
        <f t="shared" si="5"/>
        <v>59923.754666666668</v>
      </c>
      <c r="F48" s="322">
        <f t="shared" si="6"/>
        <v>2675.1676190476187</v>
      </c>
      <c r="G48" s="323">
        <f t="shared" si="0"/>
        <v>62598.922285714289</v>
      </c>
      <c r="H48" s="324">
        <f t="shared" si="4"/>
        <v>7511870.6742857248</v>
      </c>
    </row>
    <row r="49" spans="1:8">
      <c r="A49" s="320">
        <v>25</v>
      </c>
      <c r="B49" s="320"/>
      <c r="C49" s="320" t="s">
        <v>258</v>
      </c>
      <c r="D49" s="321">
        <f t="shared" ca="1" si="1"/>
        <v>44734</v>
      </c>
      <c r="E49" s="322">
        <f>D16-SUM($E$22:$E$48)</f>
        <v>7190850.5599999987</v>
      </c>
      <c r="F49" s="322">
        <f>D17-SUM($F$22:$F$48)</f>
        <v>321020.11428571423</v>
      </c>
      <c r="G49" s="323">
        <f t="shared" si="0"/>
        <v>7511870.6742857127</v>
      </c>
      <c r="H49" s="324">
        <f t="shared" si="4"/>
        <v>1.2107193470001221E-8</v>
      </c>
    </row>
    <row r="50" spans="1:8">
      <c r="A50" s="507" t="s">
        <v>16</v>
      </c>
      <c r="B50" s="507"/>
      <c r="C50" s="507"/>
      <c r="D50" s="507"/>
      <c r="E50" s="332">
        <f>SUM(E22:E49)</f>
        <v>8988563.1999999993</v>
      </c>
      <c r="F50" s="332">
        <f>SUM(F22:F49)</f>
        <v>401275.14285714278</v>
      </c>
      <c r="G50" s="332">
        <f>SUM(G22:G49)</f>
        <v>9389838.342857141</v>
      </c>
      <c r="H50" s="333"/>
    </row>
    <row r="51" spans="1:8" s="233" customFormat="1" ht="14">
      <c r="C51" s="287"/>
      <c r="D51" s="288"/>
      <c r="E51" s="289"/>
      <c r="F51" s="289"/>
      <c r="G51" s="289"/>
    </row>
    <row r="52" spans="1:8" s="233" customFormat="1" ht="14">
      <c r="A52" s="439" t="s">
        <v>364</v>
      </c>
      <c r="B52" s="439"/>
      <c r="C52" s="439"/>
      <c r="D52" s="439"/>
      <c r="E52" s="439"/>
      <c r="F52" s="439"/>
      <c r="G52" s="439"/>
      <c r="H52" s="439"/>
    </row>
    <row r="53" spans="1:8" s="233" customFormat="1" ht="31.5" customHeight="1">
      <c r="A53" s="449" t="s">
        <v>365</v>
      </c>
      <c r="B53" s="449"/>
      <c r="C53" s="449"/>
      <c r="D53" s="449"/>
      <c r="E53" s="449"/>
      <c r="F53" s="449"/>
      <c r="G53" s="449"/>
      <c r="H53" s="449"/>
    </row>
    <row r="54" spans="1:8" s="233" customFormat="1" ht="16.5" customHeight="1">
      <c r="A54" s="439" t="s">
        <v>366</v>
      </c>
      <c r="B54" s="439"/>
      <c r="C54" s="439"/>
      <c r="D54" s="439"/>
      <c r="E54" s="439"/>
      <c r="F54" s="439"/>
      <c r="G54" s="439"/>
      <c r="H54" s="439"/>
    </row>
    <row r="55" spans="1:8" s="233" customFormat="1" ht="16.5" customHeight="1">
      <c r="A55" s="439" t="s">
        <v>367</v>
      </c>
      <c r="B55" s="439"/>
      <c r="C55" s="439"/>
      <c r="D55" s="439"/>
      <c r="E55" s="439"/>
      <c r="F55" s="439"/>
      <c r="G55" s="439"/>
      <c r="H55" s="439"/>
    </row>
    <row r="56" spans="1:8" s="233" customFormat="1" ht="16.5" customHeight="1">
      <c r="A56" s="439" t="s">
        <v>368</v>
      </c>
      <c r="B56" s="439"/>
      <c r="C56" s="439"/>
      <c r="D56" s="439"/>
      <c r="E56" s="439"/>
      <c r="F56" s="439"/>
      <c r="G56" s="439"/>
      <c r="H56" s="439"/>
    </row>
    <row r="57" spans="1:8" s="233" customFormat="1" ht="108" customHeight="1">
      <c r="A57" s="439" t="s">
        <v>369</v>
      </c>
      <c r="B57" s="439"/>
      <c r="C57" s="439"/>
      <c r="D57" s="439"/>
      <c r="E57" s="439"/>
      <c r="F57" s="439"/>
      <c r="G57" s="439"/>
      <c r="H57" s="439"/>
    </row>
    <row r="58" spans="1:8" s="233" customFormat="1" ht="44.25" customHeight="1">
      <c r="A58" s="439" t="s">
        <v>370</v>
      </c>
      <c r="B58" s="439"/>
      <c r="C58" s="439"/>
      <c r="D58" s="439"/>
      <c r="E58" s="439"/>
      <c r="F58" s="439"/>
      <c r="G58" s="439"/>
      <c r="H58" s="439"/>
    </row>
    <row r="59" spans="1:8" s="233" customFormat="1" ht="19.5" customHeight="1">
      <c r="A59" s="439" t="s">
        <v>371</v>
      </c>
      <c r="B59" s="439"/>
      <c r="C59" s="439"/>
      <c r="D59" s="439"/>
      <c r="E59" s="439"/>
      <c r="F59" s="439"/>
      <c r="G59" s="439"/>
      <c r="H59" s="439"/>
    </row>
    <row r="60" spans="1:8" s="233" customFormat="1" ht="14">
      <c r="A60" s="439"/>
      <c r="B60" s="439"/>
      <c r="C60" s="439"/>
      <c r="D60" s="439"/>
      <c r="E60" s="439"/>
      <c r="F60" s="439"/>
      <c r="G60" s="439"/>
      <c r="H60" s="439"/>
    </row>
    <row r="61" spans="1:8" s="233" customFormat="1" ht="14">
      <c r="A61" s="233" t="s">
        <v>17</v>
      </c>
      <c r="D61" s="231"/>
      <c r="G61" s="230"/>
    </row>
    <row r="62" spans="1:8" s="233" customFormat="1" ht="14">
      <c r="D62" s="231"/>
      <c r="G62" s="230"/>
    </row>
    <row r="63" spans="1:8" s="233" customFormat="1" ht="15" customHeight="1">
      <c r="A63" s="290"/>
      <c r="B63" s="290"/>
      <c r="C63" s="290"/>
      <c r="D63" s="231"/>
      <c r="E63" s="290"/>
      <c r="F63" s="290"/>
      <c r="G63" s="291"/>
    </row>
    <row r="64" spans="1:8" s="233" customFormat="1" ht="14">
      <c r="A64" s="452" t="s">
        <v>355</v>
      </c>
      <c r="B64" s="452"/>
      <c r="C64" s="452"/>
      <c r="D64" s="231"/>
      <c r="E64" s="452" t="s">
        <v>18</v>
      </c>
      <c r="F64" s="452"/>
      <c r="G64" s="452"/>
    </row>
  </sheetData>
  <sheetProtection password="CAF1" sheet="1" selectLockedCells="1"/>
  <mergeCells count="21">
    <mergeCell ref="A64:C64"/>
    <mergeCell ref="E64:G64"/>
    <mergeCell ref="A55:H55"/>
    <mergeCell ref="A56:H56"/>
    <mergeCell ref="A57:H57"/>
    <mergeCell ref="A58:H58"/>
    <mergeCell ref="A59:H59"/>
    <mergeCell ref="A60:H60"/>
    <mergeCell ref="A54:H54"/>
    <mergeCell ref="H1:H2"/>
    <mergeCell ref="C5:H5"/>
    <mergeCell ref="C6:H6"/>
    <mergeCell ref="C7:H7"/>
    <mergeCell ref="C8:H8"/>
    <mergeCell ref="A9:B9"/>
    <mergeCell ref="C9:H9"/>
    <mergeCell ref="C10:H10"/>
    <mergeCell ref="A21:G21"/>
    <mergeCell ref="A50:D50"/>
    <mergeCell ref="A52:H52"/>
    <mergeCell ref="A53:H53"/>
  </mergeCells>
  <hyperlinks>
    <hyperlink ref="J4" location="'DATA SHEET'!A1" display="Return to Data Sheet" xr:uid="{00000000-0004-0000-2000-000000000000}"/>
    <hyperlink ref="C1" location="'DATA SHEET'!A1" display="HIGHLANDS PRIME, INC." xr:uid="{00000000-0004-0000-2000-000001000000}"/>
  </hyperlinks>
  <pageMargins left="0.7" right="0.7" top="0.75" bottom="0.75" header="0.3" footer="0.3"/>
  <pageSetup paperSize="14" scale="62" orientation="portrait" r:id="rId1"/>
  <headerFooter>
    <oddFooter>&amp;L&amp;8A project of HIGHLANDS PRIME, INC. Horizon Terraces HLURB License To Sell No. 032272&amp;R&amp;8&amp;P of &amp;N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F83"/>
  <sheetViews>
    <sheetView showGridLines="0" zoomScaleNormal="100" workbookViewId="0">
      <selection activeCell="A14" sqref="A14"/>
    </sheetView>
  </sheetViews>
  <sheetFormatPr baseColWidth="10" defaultColWidth="8.83203125" defaultRowHeight="15"/>
  <cols>
    <col min="1" max="1" width="24" style="112" customWidth="1"/>
    <col min="2" max="2" width="12.83203125" style="112" customWidth="1"/>
    <col min="3" max="3" width="16.6640625" style="114" customWidth="1"/>
    <col min="4" max="5" width="15.6640625" style="112" customWidth="1"/>
    <col min="6" max="6" width="9.1640625" style="112"/>
  </cols>
  <sheetData>
    <row r="1" spans="1:5">
      <c r="B1" s="113" t="s">
        <v>35</v>
      </c>
      <c r="E1" s="499" t="s">
        <v>66</v>
      </c>
    </row>
    <row r="2" spans="1:5">
      <c r="B2" s="115" t="s">
        <v>299</v>
      </c>
      <c r="E2" s="499"/>
    </row>
    <row r="3" spans="1:5">
      <c r="B3" s="115" t="s">
        <v>36</v>
      </c>
    </row>
    <row r="5" spans="1:5">
      <c r="A5" s="155" t="s">
        <v>0</v>
      </c>
      <c r="B5" s="498" t="str">
        <f>'DATA SHEET'!D10</f>
        <v xml:space="preserve"> </v>
      </c>
      <c r="C5" s="498"/>
      <c r="D5" s="498"/>
      <c r="E5" s="156"/>
    </row>
    <row r="6" spans="1:5">
      <c r="A6" s="117" t="s">
        <v>31</v>
      </c>
      <c r="B6" s="500" t="str">
        <f>VLOOKUP('DATA SHEET'!$D$11,' Garden Suites PL'!C6:F28,1,FALSE)</f>
        <v>GA</v>
      </c>
      <c r="C6" s="500"/>
      <c r="D6" s="500"/>
      <c r="E6" s="157"/>
    </row>
    <row r="7" spans="1:5">
      <c r="A7" s="117" t="s">
        <v>37</v>
      </c>
      <c r="B7" s="501">
        <f>VLOOKUP('DATA SHEET'!D11,' Garden Suites PL'!C6:F28,3,0)</f>
        <v>67.900000000000006</v>
      </c>
      <c r="C7" s="501"/>
      <c r="D7" s="501"/>
      <c r="E7" s="158"/>
    </row>
    <row r="8" spans="1:5">
      <c r="A8" s="117" t="s">
        <v>183</v>
      </c>
      <c r="B8" s="196" t="str">
        <f>VLOOKUP('DATA SHEET'!D11,' Garden Suites PL'!C6:D28,2,0)</f>
        <v>1-Bedroom Terrace Suite</v>
      </c>
      <c r="C8" s="197"/>
      <c r="D8" s="197"/>
      <c r="E8" s="158"/>
    </row>
    <row r="9" spans="1:5">
      <c r="A9" s="117" t="s">
        <v>303</v>
      </c>
      <c r="B9" s="502">
        <f>VLOOKUP('DATA SHEET'!D11,' Garden Suites PL'!C6:G28,5,0)</f>
        <v>9961680</v>
      </c>
      <c r="C9" s="502"/>
      <c r="D9" s="502"/>
      <c r="E9" s="158"/>
    </row>
    <row r="10" spans="1:5">
      <c r="A10" s="118" t="s">
        <v>33</v>
      </c>
      <c r="B10" s="154" t="s">
        <v>234</v>
      </c>
      <c r="C10" s="154"/>
      <c r="D10" s="154"/>
      <c r="E10" s="159"/>
    </row>
    <row r="12" spans="1:5">
      <c r="A12" s="115" t="s">
        <v>55</v>
      </c>
    </row>
    <row r="13" spans="1:5">
      <c r="A13" s="112" t="s">
        <v>181</v>
      </c>
      <c r="C13" s="119">
        <f>B9-650000</f>
        <v>9311680</v>
      </c>
      <c r="D13" s="162" t="str">
        <f>LEFT(B8,9)</f>
        <v>1-Bedroom</v>
      </c>
    </row>
    <row r="14" spans="1:5">
      <c r="A14" s="164" t="s">
        <v>179</v>
      </c>
      <c r="B14" s="198">
        <f>VLOOKUP('DATA SHEET'!D11,' Garden Suites PL'!C6:H28,6,0)</f>
        <v>230000</v>
      </c>
      <c r="C14" s="140">
        <f>IF(B14&gt;VLOOKUP(B6,' Garden Suites PL'!C:H,5,0),"beyond maximum discount",(C13*B14))</f>
        <v>2141686400000</v>
      </c>
      <c r="D14" s="174">
        <f>VLOOKUP(B6,' Garden Suites PL'!C:H,5,0)</f>
        <v>9961680</v>
      </c>
    </row>
    <row r="15" spans="1:5">
      <c r="A15" s="142" t="s">
        <v>302</v>
      </c>
      <c r="C15" s="120">
        <v>650000</v>
      </c>
      <c r="D15" s="114"/>
    </row>
    <row r="16" spans="1:5" ht="16" thickBot="1">
      <c r="A16" s="115" t="s">
        <v>58</v>
      </c>
      <c r="B16" s="115"/>
      <c r="C16" s="135">
        <f>C13-C14+C15</f>
        <v>-2141676438320</v>
      </c>
      <c r="D16" s="114"/>
    </row>
    <row r="17" spans="1:5" ht="16" thickTop="1">
      <c r="B17" s="121"/>
      <c r="C17" s="140"/>
      <c r="D17" s="114"/>
    </row>
    <row r="19" spans="1:5">
      <c r="A19" s="122" t="s">
        <v>34</v>
      </c>
      <c r="B19" s="122" t="s">
        <v>32</v>
      </c>
      <c r="C19" s="122" t="s">
        <v>2</v>
      </c>
      <c r="D19" s="122" t="s">
        <v>3</v>
      </c>
      <c r="E19" s="122" t="s">
        <v>67</v>
      </c>
    </row>
    <row r="20" spans="1:5">
      <c r="A20" s="143">
        <v>0</v>
      </c>
      <c r="B20" s="144">
        <f ca="1">'DATA SHEET'!D9</f>
        <v>43973</v>
      </c>
      <c r="C20" s="143" t="s">
        <v>38</v>
      </c>
      <c r="D20" s="145">
        <f>IF(D13="1-Bedroom",50000,100000)</f>
        <v>50000</v>
      </c>
      <c r="E20" s="146">
        <f>C16-D20</f>
        <v>-2141676488320</v>
      </c>
    </row>
    <row r="21" spans="1:5">
      <c r="A21" s="143">
        <v>1</v>
      </c>
      <c r="B21" s="144">
        <f ca="1">EDATE(B20,1)</f>
        <v>44004</v>
      </c>
      <c r="C21" s="143" t="s">
        <v>252</v>
      </c>
      <c r="D21" s="145">
        <f>((C16*5%)-D20)/6</f>
        <v>-17847311986</v>
      </c>
      <c r="E21" s="146">
        <f>E20-D21</f>
        <v>-2123829176334</v>
      </c>
    </row>
    <row r="22" spans="1:5">
      <c r="A22" s="143">
        <v>2</v>
      </c>
      <c r="B22" s="144">
        <f t="shared" ref="B22:B69" ca="1" si="0">EDATE(B21,1)</f>
        <v>44034</v>
      </c>
      <c r="C22" s="143" t="s">
        <v>253</v>
      </c>
      <c r="D22" s="145">
        <f>D21</f>
        <v>-17847311986</v>
      </c>
      <c r="E22" s="146">
        <f>E21-D22</f>
        <v>-2105981864348</v>
      </c>
    </row>
    <row r="23" spans="1:5">
      <c r="A23" s="143">
        <v>3</v>
      </c>
      <c r="B23" s="144">
        <f t="shared" ca="1" si="0"/>
        <v>44065</v>
      </c>
      <c r="C23" s="143" t="s">
        <v>237</v>
      </c>
      <c r="D23" s="145">
        <f>D22</f>
        <v>-17847311986</v>
      </c>
      <c r="E23" s="146">
        <f t="shared" ref="E23:E69" si="1">E22-D23</f>
        <v>-2088134552362</v>
      </c>
    </row>
    <row r="24" spans="1:5">
      <c r="A24" s="143">
        <v>4</v>
      </c>
      <c r="B24" s="144">
        <f t="shared" ca="1" si="0"/>
        <v>44096</v>
      </c>
      <c r="C24" s="143" t="s">
        <v>254</v>
      </c>
      <c r="D24" s="145">
        <f>D23</f>
        <v>-17847311986</v>
      </c>
      <c r="E24" s="146">
        <f t="shared" si="1"/>
        <v>-2070287240376</v>
      </c>
    </row>
    <row r="25" spans="1:5">
      <c r="A25" s="143">
        <v>5</v>
      </c>
      <c r="B25" s="144">
        <f t="shared" ca="1" si="0"/>
        <v>44126</v>
      </c>
      <c r="C25" s="143" t="s">
        <v>255</v>
      </c>
      <c r="D25" s="145">
        <f t="shared" ref="D25:D56" si="2">D24</f>
        <v>-17847311986</v>
      </c>
      <c r="E25" s="146">
        <f t="shared" si="1"/>
        <v>-2052439928390</v>
      </c>
    </row>
    <row r="26" spans="1:5">
      <c r="A26" s="143">
        <v>6</v>
      </c>
      <c r="B26" s="144">
        <f t="shared" ca="1" si="0"/>
        <v>44157</v>
      </c>
      <c r="C26" s="143" t="s">
        <v>256</v>
      </c>
      <c r="D26" s="145">
        <f>D25</f>
        <v>-17847311986</v>
      </c>
      <c r="E26" s="146">
        <f t="shared" si="1"/>
        <v>-2034592616404</v>
      </c>
    </row>
    <row r="27" spans="1:5">
      <c r="A27" s="143">
        <v>7</v>
      </c>
      <c r="B27" s="144">
        <f t="shared" ca="1" si="0"/>
        <v>44187</v>
      </c>
      <c r="C27" s="143" t="s">
        <v>241</v>
      </c>
      <c r="D27" s="145">
        <f>(C16*30%)/42</f>
        <v>-15297688845.142857</v>
      </c>
      <c r="E27" s="146">
        <f t="shared" si="1"/>
        <v>-2019294927558.8572</v>
      </c>
    </row>
    <row r="28" spans="1:5">
      <c r="A28" s="143">
        <v>8</v>
      </c>
      <c r="B28" s="144">
        <f t="shared" ca="1" si="0"/>
        <v>44218</v>
      </c>
      <c r="C28" s="143" t="s">
        <v>257</v>
      </c>
      <c r="D28" s="145">
        <f>D27</f>
        <v>-15297688845.142857</v>
      </c>
      <c r="E28" s="146">
        <f t="shared" si="1"/>
        <v>-2003997238713.7144</v>
      </c>
    </row>
    <row r="29" spans="1:5">
      <c r="A29" s="143">
        <v>9</v>
      </c>
      <c r="B29" s="144">
        <f t="shared" ca="1" si="0"/>
        <v>44249</v>
      </c>
      <c r="C29" s="143" t="s">
        <v>242</v>
      </c>
      <c r="D29" s="145">
        <f t="shared" si="2"/>
        <v>-15297688845.142857</v>
      </c>
      <c r="E29" s="146">
        <f t="shared" si="1"/>
        <v>-1988699549868.5715</v>
      </c>
    </row>
    <row r="30" spans="1:5">
      <c r="A30" s="143">
        <v>10</v>
      </c>
      <c r="B30" s="144">
        <f t="shared" ca="1" si="0"/>
        <v>44277</v>
      </c>
      <c r="C30" s="143" t="s">
        <v>243</v>
      </c>
      <c r="D30" s="145">
        <f t="shared" si="2"/>
        <v>-15297688845.142857</v>
      </c>
      <c r="E30" s="146">
        <f t="shared" si="1"/>
        <v>-1973401861023.4287</v>
      </c>
    </row>
    <row r="31" spans="1:5">
      <c r="A31" s="143">
        <v>11</v>
      </c>
      <c r="B31" s="144">
        <f t="shared" ca="1" si="0"/>
        <v>44308</v>
      </c>
      <c r="C31" s="143" t="s">
        <v>244</v>
      </c>
      <c r="D31" s="145">
        <f t="shared" si="2"/>
        <v>-15297688845.142857</v>
      </c>
      <c r="E31" s="146">
        <f t="shared" si="1"/>
        <v>-1958104172178.2859</v>
      </c>
    </row>
    <row r="32" spans="1:5">
      <c r="A32" s="143">
        <v>12</v>
      </c>
      <c r="B32" s="144">
        <f t="shared" ca="1" si="0"/>
        <v>44338</v>
      </c>
      <c r="C32" s="143" t="s">
        <v>245</v>
      </c>
      <c r="D32" s="145">
        <f t="shared" si="2"/>
        <v>-15297688845.142857</v>
      </c>
      <c r="E32" s="146">
        <f t="shared" si="1"/>
        <v>-1942806483333.1431</v>
      </c>
    </row>
    <row r="33" spans="1:5">
      <c r="A33" s="143">
        <v>13</v>
      </c>
      <c r="B33" s="144">
        <f t="shared" ca="1" si="0"/>
        <v>44369</v>
      </c>
      <c r="C33" s="143" t="s">
        <v>246</v>
      </c>
      <c r="D33" s="145">
        <f t="shared" si="2"/>
        <v>-15297688845.142857</v>
      </c>
      <c r="E33" s="146">
        <f t="shared" si="1"/>
        <v>-1927508794488.0002</v>
      </c>
    </row>
    <row r="34" spans="1:5">
      <c r="A34" s="143">
        <v>14</v>
      </c>
      <c r="B34" s="144">
        <f t="shared" ca="1" si="0"/>
        <v>44399</v>
      </c>
      <c r="C34" s="143" t="s">
        <v>247</v>
      </c>
      <c r="D34" s="145">
        <f t="shared" si="2"/>
        <v>-15297688845.142857</v>
      </c>
      <c r="E34" s="146">
        <f t="shared" si="1"/>
        <v>-1912211105642.8574</v>
      </c>
    </row>
    <row r="35" spans="1:5">
      <c r="A35" s="143">
        <v>15</v>
      </c>
      <c r="B35" s="144">
        <f t="shared" ca="1" si="0"/>
        <v>44430</v>
      </c>
      <c r="C35" s="143" t="s">
        <v>248</v>
      </c>
      <c r="D35" s="145">
        <f t="shared" si="2"/>
        <v>-15297688845.142857</v>
      </c>
      <c r="E35" s="146">
        <f t="shared" si="1"/>
        <v>-1896913416797.7146</v>
      </c>
    </row>
    <row r="36" spans="1:5">
      <c r="A36" s="143">
        <v>16</v>
      </c>
      <c r="B36" s="144">
        <f t="shared" ca="1" si="0"/>
        <v>44461</v>
      </c>
      <c r="C36" s="143" t="s">
        <v>249</v>
      </c>
      <c r="D36" s="145">
        <f t="shared" si="2"/>
        <v>-15297688845.142857</v>
      </c>
      <c r="E36" s="146">
        <f t="shared" si="1"/>
        <v>-1881615727952.5718</v>
      </c>
    </row>
    <row r="37" spans="1:5">
      <c r="A37" s="143">
        <v>17</v>
      </c>
      <c r="B37" s="144">
        <f t="shared" ca="1" si="0"/>
        <v>44491</v>
      </c>
      <c r="C37" s="143" t="s">
        <v>250</v>
      </c>
      <c r="D37" s="145">
        <f t="shared" si="2"/>
        <v>-15297688845.142857</v>
      </c>
      <c r="E37" s="146">
        <f t="shared" si="1"/>
        <v>-1866318039107.429</v>
      </c>
    </row>
    <row r="38" spans="1:5">
      <c r="A38" s="143">
        <v>18</v>
      </c>
      <c r="B38" s="144">
        <f t="shared" ca="1" si="0"/>
        <v>44522</v>
      </c>
      <c r="C38" s="143" t="s">
        <v>251</v>
      </c>
      <c r="D38" s="145">
        <f t="shared" si="2"/>
        <v>-15297688845.142857</v>
      </c>
      <c r="E38" s="146">
        <f t="shared" si="1"/>
        <v>-1851020350262.2861</v>
      </c>
    </row>
    <row r="39" spans="1:5">
      <c r="A39" s="143">
        <v>19</v>
      </c>
      <c r="B39" s="144">
        <f t="shared" ca="1" si="0"/>
        <v>44552</v>
      </c>
      <c r="C39" s="143" t="s">
        <v>267</v>
      </c>
      <c r="D39" s="145">
        <f t="shared" si="2"/>
        <v>-15297688845.142857</v>
      </c>
      <c r="E39" s="146">
        <f t="shared" si="1"/>
        <v>-1835722661417.1433</v>
      </c>
    </row>
    <row r="40" spans="1:5">
      <c r="A40" s="143">
        <v>20</v>
      </c>
      <c r="B40" s="144">
        <f t="shared" ca="1" si="0"/>
        <v>44583</v>
      </c>
      <c r="C40" s="143" t="s">
        <v>268</v>
      </c>
      <c r="D40" s="145">
        <f t="shared" si="2"/>
        <v>-15297688845.142857</v>
      </c>
      <c r="E40" s="146">
        <f t="shared" si="1"/>
        <v>-1820424972572.0005</v>
      </c>
    </row>
    <row r="41" spans="1:5">
      <c r="A41" s="143">
        <v>21</v>
      </c>
      <c r="B41" s="144">
        <f t="shared" ca="1" si="0"/>
        <v>44614</v>
      </c>
      <c r="C41" s="143" t="s">
        <v>269</v>
      </c>
      <c r="D41" s="145">
        <f t="shared" si="2"/>
        <v>-15297688845.142857</v>
      </c>
      <c r="E41" s="146">
        <f t="shared" si="1"/>
        <v>-1805127283726.8577</v>
      </c>
    </row>
    <row r="42" spans="1:5">
      <c r="A42" s="143">
        <v>22</v>
      </c>
      <c r="B42" s="144">
        <f t="shared" ca="1" si="0"/>
        <v>44642</v>
      </c>
      <c r="C42" s="143" t="s">
        <v>270</v>
      </c>
      <c r="D42" s="145">
        <f t="shared" si="2"/>
        <v>-15297688845.142857</v>
      </c>
      <c r="E42" s="146">
        <f t="shared" si="1"/>
        <v>-1789829594881.7148</v>
      </c>
    </row>
    <row r="43" spans="1:5">
      <c r="A43" s="143">
        <v>23</v>
      </c>
      <c r="B43" s="144">
        <f t="shared" ca="1" si="0"/>
        <v>44673</v>
      </c>
      <c r="C43" s="143" t="s">
        <v>271</v>
      </c>
      <c r="D43" s="145">
        <f t="shared" si="2"/>
        <v>-15297688845.142857</v>
      </c>
      <c r="E43" s="146">
        <f t="shared" si="1"/>
        <v>-1774531906036.572</v>
      </c>
    </row>
    <row r="44" spans="1:5">
      <c r="A44" s="143">
        <v>24</v>
      </c>
      <c r="B44" s="144">
        <f t="shared" ca="1" si="0"/>
        <v>44703</v>
      </c>
      <c r="C44" s="143" t="s">
        <v>272</v>
      </c>
      <c r="D44" s="145">
        <f t="shared" si="2"/>
        <v>-15297688845.142857</v>
      </c>
      <c r="E44" s="146">
        <f t="shared" si="1"/>
        <v>-1759234217191.4292</v>
      </c>
    </row>
    <row r="45" spans="1:5">
      <c r="A45" s="143">
        <v>25</v>
      </c>
      <c r="B45" s="144">
        <f t="shared" ca="1" si="0"/>
        <v>44734</v>
      </c>
      <c r="C45" s="143" t="s">
        <v>273</v>
      </c>
      <c r="D45" s="145">
        <f t="shared" si="2"/>
        <v>-15297688845.142857</v>
      </c>
      <c r="E45" s="146">
        <f t="shared" si="1"/>
        <v>-1743936528346.2864</v>
      </c>
    </row>
    <row r="46" spans="1:5">
      <c r="A46" s="143">
        <v>26</v>
      </c>
      <c r="B46" s="144">
        <f t="shared" ca="1" si="0"/>
        <v>44764</v>
      </c>
      <c r="C46" s="143" t="s">
        <v>274</v>
      </c>
      <c r="D46" s="145">
        <f t="shared" si="2"/>
        <v>-15297688845.142857</v>
      </c>
      <c r="E46" s="146">
        <f t="shared" si="1"/>
        <v>-1728638839501.1436</v>
      </c>
    </row>
    <row r="47" spans="1:5">
      <c r="A47" s="143">
        <v>27</v>
      </c>
      <c r="B47" s="144">
        <f t="shared" ca="1" si="0"/>
        <v>44795</v>
      </c>
      <c r="C47" s="143" t="s">
        <v>275</v>
      </c>
      <c r="D47" s="145">
        <f t="shared" si="2"/>
        <v>-15297688845.142857</v>
      </c>
      <c r="E47" s="146">
        <f t="shared" si="1"/>
        <v>-1713341150656.0007</v>
      </c>
    </row>
    <row r="48" spans="1:5">
      <c r="A48" s="143">
        <v>28</v>
      </c>
      <c r="B48" s="144">
        <f t="shared" ca="1" si="0"/>
        <v>44826</v>
      </c>
      <c r="C48" s="143" t="s">
        <v>276</v>
      </c>
      <c r="D48" s="145">
        <f t="shared" si="2"/>
        <v>-15297688845.142857</v>
      </c>
      <c r="E48" s="146">
        <f t="shared" si="1"/>
        <v>-1698043461810.8579</v>
      </c>
    </row>
    <row r="49" spans="1:5">
      <c r="A49" s="143">
        <v>29</v>
      </c>
      <c r="B49" s="144">
        <f t="shared" ca="1" si="0"/>
        <v>44856</v>
      </c>
      <c r="C49" s="143" t="s">
        <v>277</v>
      </c>
      <c r="D49" s="145">
        <f t="shared" si="2"/>
        <v>-15297688845.142857</v>
      </c>
      <c r="E49" s="146">
        <f t="shared" si="1"/>
        <v>-1682745772965.7151</v>
      </c>
    </row>
    <row r="50" spans="1:5">
      <c r="A50" s="143">
        <v>30</v>
      </c>
      <c r="B50" s="144">
        <f t="shared" ca="1" si="0"/>
        <v>44887</v>
      </c>
      <c r="C50" s="143" t="s">
        <v>278</v>
      </c>
      <c r="D50" s="145">
        <f t="shared" si="2"/>
        <v>-15297688845.142857</v>
      </c>
      <c r="E50" s="146">
        <f t="shared" si="1"/>
        <v>-1667448084120.5723</v>
      </c>
    </row>
    <row r="51" spans="1:5">
      <c r="A51" s="143">
        <v>31</v>
      </c>
      <c r="B51" s="144">
        <f t="shared" ca="1" si="0"/>
        <v>44917</v>
      </c>
      <c r="C51" s="143" t="s">
        <v>280</v>
      </c>
      <c r="D51" s="145">
        <f t="shared" si="2"/>
        <v>-15297688845.142857</v>
      </c>
      <c r="E51" s="146">
        <f t="shared" si="1"/>
        <v>-1652150395275.4294</v>
      </c>
    </row>
    <row r="52" spans="1:5">
      <c r="A52" s="143">
        <v>32</v>
      </c>
      <c r="B52" s="144">
        <f t="shared" ca="1" si="0"/>
        <v>44948</v>
      </c>
      <c r="C52" s="143" t="s">
        <v>281</v>
      </c>
      <c r="D52" s="145">
        <f t="shared" si="2"/>
        <v>-15297688845.142857</v>
      </c>
      <c r="E52" s="146">
        <f t="shared" si="1"/>
        <v>-1636852706430.2866</v>
      </c>
    </row>
    <row r="53" spans="1:5">
      <c r="A53" s="143">
        <v>33</v>
      </c>
      <c r="B53" s="144">
        <f t="shared" ca="1" si="0"/>
        <v>44979</v>
      </c>
      <c r="C53" s="143" t="s">
        <v>282</v>
      </c>
      <c r="D53" s="145">
        <f t="shared" si="2"/>
        <v>-15297688845.142857</v>
      </c>
      <c r="E53" s="146">
        <f t="shared" si="1"/>
        <v>-1621555017585.1438</v>
      </c>
    </row>
    <row r="54" spans="1:5">
      <c r="A54" s="143">
        <v>34</v>
      </c>
      <c r="B54" s="144">
        <f t="shared" ca="1" si="0"/>
        <v>45007</v>
      </c>
      <c r="C54" s="143" t="s">
        <v>283</v>
      </c>
      <c r="D54" s="145">
        <f t="shared" si="2"/>
        <v>-15297688845.142857</v>
      </c>
      <c r="E54" s="146">
        <f t="shared" si="1"/>
        <v>-1606257328740.001</v>
      </c>
    </row>
    <row r="55" spans="1:5">
      <c r="A55" s="143">
        <v>35</v>
      </c>
      <c r="B55" s="144">
        <f t="shared" ca="1" si="0"/>
        <v>45038</v>
      </c>
      <c r="C55" s="143" t="s">
        <v>284</v>
      </c>
      <c r="D55" s="145">
        <f t="shared" si="2"/>
        <v>-15297688845.142857</v>
      </c>
      <c r="E55" s="146">
        <f t="shared" si="1"/>
        <v>-1590959639894.8582</v>
      </c>
    </row>
    <row r="56" spans="1:5">
      <c r="A56" s="143">
        <v>36</v>
      </c>
      <c r="B56" s="144">
        <f t="shared" ca="1" si="0"/>
        <v>45068</v>
      </c>
      <c r="C56" s="143" t="s">
        <v>285</v>
      </c>
      <c r="D56" s="145">
        <f t="shared" si="2"/>
        <v>-15297688845.142857</v>
      </c>
      <c r="E56" s="146">
        <f t="shared" si="1"/>
        <v>-1575661951049.7153</v>
      </c>
    </row>
    <row r="57" spans="1:5">
      <c r="A57" s="143">
        <v>37</v>
      </c>
      <c r="B57" s="144">
        <f t="shared" ca="1" si="0"/>
        <v>45099</v>
      </c>
      <c r="C57" s="143" t="s">
        <v>286</v>
      </c>
      <c r="D57" s="145">
        <f>D56</f>
        <v>-15297688845.142857</v>
      </c>
      <c r="E57" s="146">
        <f t="shared" si="1"/>
        <v>-1560364262204.5725</v>
      </c>
    </row>
    <row r="58" spans="1:5">
      <c r="A58" s="143">
        <v>38</v>
      </c>
      <c r="B58" s="144">
        <f t="shared" ca="1" si="0"/>
        <v>45129</v>
      </c>
      <c r="C58" s="143" t="s">
        <v>287</v>
      </c>
      <c r="D58" s="145">
        <f t="shared" ref="D58:D68" si="3">D57</f>
        <v>-15297688845.142857</v>
      </c>
      <c r="E58" s="146">
        <f t="shared" si="1"/>
        <v>-1545066573359.4297</v>
      </c>
    </row>
    <row r="59" spans="1:5">
      <c r="A59" s="143">
        <v>39</v>
      </c>
      <c r="B59" s="144">
        <f t="shared" ca="1" si="0"/>
        <v>45160</v>
      </c>
      <c r="C59" s="143" t="s">
        <v>288</v>
      </c>
      <c r="D59" s="145">
        <f t="shared" si="3"/>
        <v>-15297688845.142857</v>
      </c>
      <c r="E59" s="146">
        <f t="shared" si="1"/>
        <v>-1529768884514.2869</v>
      </c>
    </row>
    <row r="60" spans="1:5">
      <c r="A60" s="143">
        <v>40</v>
      </c>
      <c r="B60" s="144">
        <f t="shared" ca="1" si="0"/>
        <v>45191</v>
      </c>
      <c r="C60" s="143" t="s">
        <v>289</v>
      </c>
      <c r="D60" s="145">
        <f t="shared" si="3"/>
        <v>-15297688845.142857</v>
      </c>
      <c r="E60" s="146">
        <f t="shared" si="1"/>
        <v>-1514471195669.144</v>
      </c>
    </row>
    <row r="61" spans="1:5">
      <c r="A61" s="143">
        <v>41</v>
      </c>
      <c r="B61" s="144">
        <f t="shared" ca="1" si="0"/>
        <v>45221</v>
      </c>
      <c r="C61" s="143" t="s">
        <v>290</v>
      </c>
      <c r="D61" s="145">
        <f t="shared" si="3"/>
        <v>-15297688845.142857</v>
      </c>
      <c r="E61" s="146">
        <f t="shared" si="1"/>
        <v>-1499173506824.0012</v>
      </c>
    </row>
    <row r="62" spans="1:5">
      <c r="A62" s="143">
        <v>42</v>
      </c>
      <c r="B62" s="144">
        <f t="shared" ca="1" si="0"/>
        <v>45252</v>
      </c>
      <c r="C62" s="143" t="s">
        <v>291</v>
      </c>
      <c r="D62" s="145">
        <f t="shared" si="3"/>
        <v>-15297688845.142857</v>
      </c>
      <c r="E62" s="146">
        <f t="shared" si="1"/>
        <v>-1483875817978.8584</v>
      </c>
    </row>
    <row r="63" spans="1:5">
      <c r="A63" s="143">
        <v>43</v>
      </c>
      <c r="B63" s="144">
        <f t="shared" ca="1" si="0"/>
        <v>45282</v>
      </c>
      <c r="C63" s="143" t="s">
        <v>292</v>
      </c>
      <c r="D63" s="145">
        <f t="shared" si="3"/>
        <v>-15297688845.142857</v>
      </c>
      <c r="E63" s="146">
        <f t="shared" si="1"/>
        <v>-1468578129133.7156</v>
      </c>
    </row>
    <row r="64" spans="1:5">
      <c r="A64" s="143">
        <v>44</v>
      </c>
      <c r="B64" s="144">
        <f t="shared" ca="1" si="0"/>
        <v>45313</v>
      </c>
      <c r="C64" s="143" t="s">
        <v>293</v>
      </c>
      <c r="D64" s="145">
        <f t="shared" si="3"/>
        <v>-15297688845.142857</v>
      </c>
      <c r="E64" s="146">
        <f t="shared" si="1"/>
        <v>-1453280440288.5728</v>
      </c>
    </row>
    <row r="65" spans="1:5">
      <c r="A65" s="143">
        <v>45</v>
      </c>
      <c r="B65" s="144">
        <f t="shared" ca="1" si="0"/>
        <v>45344</v>
      </c>
      <c r="C65" s="143" t="s">
        <v>294</v>
      </c>
      <c r="D65" s="145">
        <f t="shared" si="3"/>
        <v>-15297688845.142857</v>
      </c>
      <c r="E65" s="146">
        <f t="shared" si="1"/>
        <v>-1437982751443.4299</v>
      </c>
    </row>
    <row r="66" spans="1:5">
      <c r="A66" s="143">
        <v>46</v>
      </c>
      <c r="B66" s="144">
        <f t="shared" ca="1" si="0"/>
        <v>45373</v>
      </c>
      <c r="C66" s="143" t="s">
        <v>295</v>
      </c>
      <c r="D66" s="145">
        <f t="shared" si="3"/>
        <v>-15297688845.142857</v>
      </c>
      <c r="E66" s="146">
        <f t="shared" si="1"/>
        <v>-1422685062598.2871</v>
      </c>
    </row>
    <row r="67" spans="1:5">
      <c r="A67" s="143">
        <v>47</v>
      </c>
      <c r="B67" s="144">
        <f t="shared" ca="1" si="0"/>
        <v>45404</v>
      </c>
      <c r="C67" s="143" t="s">
        <v>296</v>
      </c>
      <c r="D67" s="145">
        <f t="shared" si="3"/>
        <v>-15297688845.142857</v>
      </c>
      <c r="E67" s="146">
        <f t="shared" si="1"/>
        <v>-1407387373753.1443</v>
      </c>
    </row>
    <row r="68" spans="1:5">
      <c r="A68" s="143">
        <v>48</v>
      </c>
      <c r="B68" s="144">
        <f t="shared" ca="1" si="0"/>
        <v>45434</v>
      </c>
      <c r="C68" s="143" t="s">
        <v>297</v>
      </c>
      <c r="D68" s="145">
        <f t="shared" si="3"/>
        <v>-15297688845.142857</v>
      </c>
      <c r="E68" s="146">
        <f t="shared" si="1"/>
        <v>-1392089684908.0015</v>
      </c>
    </row>
    <row r="69" spans="1:5">
      <c r="A69" s="143">
        <v>49</v>
      </c>
      <c r="B69" s="144">
        <f t="shared" ca="1" si="0"/>
        <v>45465</v>
      </c>
      <c r="C69" s="143" t="s">
        <v>180</v>
      </c>
      <c r="D69" s="145">
        <f>C16*65%</f>
        <v>-1392089684908</v>
      </c>
      <c r="E69" s="146">
        <f t="shared" si="1"/>
        <v>0</v>
      </c>
    </row>
    <row r="70" spans="1:5">
      <c r="A70" s="127"/>
      <c r="B70" s="128"/>
      <c r="C70" s="129" t="s">
        <v>16</v>
      </c>
      <c r="D70" s="130">
        <f>SUM(D20:D69)</f>
        <v>-2141676438320</v>
      </c>
      <c r="E70" s="127"/>
    </row>
    <row r="71" spans="1:5">
      <c r="A71" s="131" t="s">
        <v>62</v>
      </c>
      <c r="B71" s="136"/>
      <c r="C71" s="137"/>
      <c r="D71" s="138"/>
      <c r="E71" s="139"/>
    </row>
    <row r="72" spans="1:5">
      <c r="A72" s="132" t="s">
        <v>69</v>
      </c>
      <c r="B72" s="139"/>
      <c r="C72" s="137"/>
      <c r="D72" s="138"/>
      <c r="E72" s="139"/>
    </row>
    <row r="73" spans="1:5">
      <c r="A73" s="132" t="s">
        <v>70</v>
      </c>
      <c r="B73" s="139"/>
      <c r="C73" s="137"/>
      <c r="D73" s="138"/>
      <c r="E73" s="139"/>
    </row>
    <row r="74" spans="1:5">
      <c r="A74" s="132" t="s">
        <v>88</v>
      </c>
      <c r="B74" s="139"/>
      <c r="C74" s="137"/>
      <c r="D74" s="139"/>
      <c r="E74" s="139"/>
    </row>
    <row r="75" spans="1:5">
      <c r="A75" s="132" t="s">
        <v>74</v>
      </c>
      <c r="B75" s="139"/>
      <c r="C75" s="137"/>
      <c r="D75" s="139"/>
      <c r="E75" s="139"/>
    </row>
    <row r="76" spans="1:5">
      <c r="A76" s="132" t="s">
        <v>63</v>
      </c>
      <c r="B76" s="139"/>
      <c r="C76" s="137"/>
      <c r="D76" s="139"/>
      <c r="E76" s="139"/>
    </row>
    <row r="78" spans="1:5">
      <c r="A78" s="112" t="s">
        <v>17</v>
      </c>
    </row>
    <row r="80" spans="1:5">
      <c r="A80" s="133"/>
      <c r="D80" s="133"/>
    </row>
    <row r="81" spans="1:4">
      <c r="A81" s="114" t="s">
        <v>18</v>
      </c>
      <c r="D81" s="114" t="s">
        <v>18</v>
      </c>
    </row>
    <row r="82" spans="1:4">
      <c r="A82" s="114"/>
      <c r="D82" s="114"/>
    </row>
    <row r="83" spans="1:4">
      <c r="A83" s="112" t="s">
        <v>279</v>
      </c>
    </row>
  </sheetData>
  <sheetProtection algorithmName="SHA-512" hashValue="SBPlZ4u5vvAX9bfzO7IAEz4KsmFbwwhYEE+9HfgnOa0N/YAy7U1w6GDiZzCXO9hpd/DbKICJuBgRdGvKRJsHew==" saltValue="4FpB6cmW7YsxXw97AACfTg==" spinCount="100000" sheet="1" objects="1" scenarios="1" selectLockedCells="1"/>
  <mergeCells count="5">
    <mergeCell ref="E1:E2"/>
    <mergeCell ref="B5:D5"/>
    <mergeCell ref="B6:D6"/>
    <mergeCell ref="B7:D7"/>
    <mergeCell ref="B9:D9"/>
  </mergeCells>
  <hyperlinks>
    <hyperlink ref="B1" location="'DATA SHEET'!A1" display="HIGHLANDS PRIME, INC." xr:uid="{00000000-0004-0000-2100-000000000000}"/>
  </hyperlinks>
  <printOptions horizontalCentered="1"/>
  <pageMargins left="0.7" right="0.7" top="0.75" bottom="0.75" header="0.3" footer="0.3"/>
  <pageSetup paperSize="5" scale="74"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8">
    <tabColor theme="6" tint="-0.499984740745262"/>
  </sheetPr>
  <dimension ref="A1:F66"/>
  <sheetViews>
    <sheetView showGridLines="0" zoomScaleNormal="100" workbookViewId="0">
      <selection activeCell="D20" sqref="D20"/>
    </sheetView>
  </sheetViews>
  <sheetFormatPr baseColWidth="10" defaultColWidth="9.1640625" defaultRowHeight="14"/>
  <cols>
    <col min="1" max="1" width="25.5" style="1" customWidth="1"/>
    <col min="2" max="2" width="12.6640625" style="1" customWidth="1"/>
    <col min="3" max="3" width="16.6640625" style="2" customWidth="1"/>
    <col min="4" max="5" width="15.6640625" style="1" customWidth="1"/>
    <col min="6" max="16384" width="9.1640625" style="1"/>
  </cols>
  <sheetData>
    <row r="1" spans="1:6" s="41" customFormat="1" ht="12.75" customHeight="1">
      <c r="B1" s="42" t="s">
        <v>35</v>
      </c>
      <c r="C1" s="43"/>
      <c r="E1" s="425" t="s">
        <v>66</v>
      </c>
    </row>
    <row r="2" spans="1:6" s="41" customFormat="1">
      <c r="B2" s="44" t="s">
        <v>299</v>
      </c>
      <c r="C2" s="43"/>
      <c r="E2" s="425"/>
    </row>
    <row r="3" spans="1:6" s="41" customFormat="1">
      <c r="B3" s="44" t="s">
        <v>36</v>
      </c>
      <c r="C3" s="43"/>
    </row>
    <row r="4" spans="1:6" s="41" customFormat="1">
      <c r="C4" s="43"/>
    </row>
    <row r="5" spans="1:6" s="41" customFormat="1">
      <c r="A5" s="45" t="s">
        <v>0</v>
      </c>
      <c r="B5" s="426" t="str">
        <f>'DATA SHEET'!D10</f>
        <v xml:space="preserve"> </v>
      </c>
      <c r="C5" s="426"/>
      <c r="D5" s="426"/>
      <c r="E5" s="427"/>
    </row>
    <row r="6" spans="1:6" s="41" customFormat="1">
      <c r="A6" s="46" t="s">
        <v>31</v>
      </c>
      <c r="B6" s="514" t="str">
        <f>VLOOKUP('DATA SHEET'!$D$11,' Garden Suites PL'!C6:F28,1,FALSE)</f>
        <v>GA</v>
      </c>
      <c r="C6" s="514"/>
      <c r="D6" s="514"/>
      <c r="E6" s="188"/>
    </row>
    <row r="7" spans="1:6" s="41" customFormat="1">
      <c r="A7" s="46" t="s">
        <v>37</v>
      </c>
      <c r="B7" s="501">
        <f>VLOOKUP('DATA SHEET'!D11,' Garden Suites PL'!C6:F28,3,0)</f>
        <v>67.900000000000006</v>
      </c>
      <c r="C7" s="501"/>
      <c r="D7" s="501"/>
      <c r="E7" s="189"/>
    </row>
    <row r="8" spans="1:6" s="41" customFormat="1">
      <c r="A8" s="117" t="s">
        <v>183</v>
      </c>
      <c r="B8" s="178" t="str">
        <f>VLOOKUP('DATA SHEET'!D11,' Garden Suites PL'!C6:D28,2,0)</f>
        <v>1-Bedroom Terrace Suite</v>
      </c>
      <c r="C8" s="182" t="s">
        <v>149</v>
      </c>
      <c r="D8" s="180">
        <v>1</v>
      </c>
      <c r="E8" s="183">
        <v>38000</v>
      </c>
      <c r="F8" s="192">
        <v>0.1</v>
      </c>
    </row>
    <row r="9" spans="1:6" s="41" customFormat="1">
      <c r="A9" s="46" t="s">
        <v>303</v>
      </c>
      <c r="B9" s="502">
        <f>VLOOKUP('DATA SHEET'!D11,' Garden Suites PL'!C6:G28,5,0)</f>
        <v>9961680</v>
      </c>
      <c r="C9" s="502"/>
      <c r="D9" s="502"/>
      <c r="E9" s="190"/>
    </row>
    <row r="10" spans="1:6" s="41" customFormat="1">
      <c r="A10" s="47" t="s">
        <v>33</v>
      </c>
      <c r="B10" s="423" t="s">
        <v>266</v>
      </c>
      <c r="C10" s="423" t="str">
        <f>IF(E13="2-Bedroom","50K (6mos), Bullet 10%, 60K (12mos), 70K (12mos), 85K (12mos), Balance","38K (6mos), Bullet to 10%, 45K (12mos), 60K (12mos), P75K (12mos), Balance")</f>
        <v>38K (6mos), Bullet to 10%, 45K (12mos), 60K (12mos), P75K (12mos), Balance</v>
      </c>
      <c r="D10" s="423" t="str">
        <f>IF(F13="2-Bedroom","50K (6mos), Bullet 10%, 60K (12mos), 70K (12mos), 85K (12mos), Balance","38K (6mos), Bullet to 10%, 45K (12mos), 60K (12mos), P75K (12mos), Balance")</f>
        <v>38K (6mos), Bullet to 10%, 45K (12mos), 60K (12mos), P75K (12mos), Balance</v>
      </c>
      <c r="E10" s="424" t="str">
        <f>IF(G13="2-Bedroom","50K (6mos), Bullet 10%, 60K (12mos), 70K (12mos), 85K (12mos), Balance","38K (6mos), Bullet to 10%, 45K (12mos), 60K (12mos), P75K (12mos), Balance")</f>
        <v>38K (6mos), Bullet to 10%, 45K (12mos), 60K (12mos), P75K (12mos), Balance</v>
      </c>
    </row>
    <row r="11" spans="1:6" s="41" customFormat="1">
      <c r="C11" s="43"/>
    </row>
    <row r="12" spans="1:6" s="41" customFormat="1">
      <c r="A12" s="44" t="s">
        <v>55</v>
      </c>
      <c r="C12" s="43"/>
    </row>
    <row r="13" spans="1:6" s="41" customFormat="1">
      <c r="A13" s="41" t="s">
        <v>57</v>
      </c>
      <c r="C13" s="40">
        <f>B9</f>
        <v>9961680</v>
      </c>
      <c r="D13" s="43"/>
    </row>
    <row r="14" spans="1:6" s="41" customFormat="1">
      <c r="A14" s="191" t="s">
        <v>304</v>
      </c>
      <c r="C14" s="193">
        <v>650000</v>
      </c>
      <c r="D14" s="43"/>
    </row>
    <row r="15" spans="1:6" s="41" customFormat="1" hidden="1">
      <c r="C15" s="194">
        <f>C13-C14</f>
        <v>9311680</v>
      </c>
      <c r="D15" s="43"/>
    </row>
    <row r="16" spans="1:6" s="41" customFormat="1" hidden="1">
      <c r="A16" s="41" t="s">
        <v>119</v>
      </c>
      <c r="B16" s="49">
        <v>0</v>
      </c>
      <c r="C16" s="194">
        <f>C15*B16</f>
        <v>0</v>
      </c>
      <c r="D16" s="43"/>
    </row>
    <row r="17" spans="1:5" s="41" customFormat="1">
      <c r="B17" s="49"/>
      <c r="C17" s="194">
        <f>C13-C14</f>
        <v>9311680</v>
      </c>
      <c r="D17" s="43"/>
    </row>
    <row r="18" spans="1:5" s="41" customFormat="1">
      <c r="A18" s="164" t="s">
        <v>179</v>
      </c>
      <c r="B18" s="195">
        <f>VLOOKUP('DATA SHEET'!D11,' Garden Suites PL'!C6:H28,6,0)</f>
        <v>230000</v>
      </c>
      <c r="C18" s="140">
        <f>IF(B18&gt;VLOOKUP(B6,' Garden Suites PL'!C:H,5,0),"beyond maximum discount",(C17*B18))</f>
        <v>2141686400000</v>
      </c>
      <c r="D18" s="173">
        <f>VLOOKUP(B6,' Garden Suites PL'!C:H,5,0)</f>
        <v>9961680</v>
      </c>
    </row>
    <row r="19" spans="1:5" s="41" customFormat="1" hidden="1">
      <c r="A19" s="164" t="s">
        <v>261</v>
      </c>
      <c r="B19" s="153"/>
      <c r="C19" s="140">
        <f>IF(B19&lt;=2%,((C13-C14-C18)*B19),"BEYOND MAX DISC.")</f>
        <v>0</v>
      </c>
      <c r="D19" s="173"/>
    </row>
    <row r="20" spans="1:5" s="41" customFormat="1" ht="15" thickBot="1">
      <c r="A20" s="44" t="s">
        <v>58</v>
      </c>
      <c r="C20" s="55">
        <f>C17-C18</f>
        <v>-2141677088320</v>
      </c>
      <c r="D20" s="43"/>
    </row>
    <row r="21" spans="1:5" s="41" customFormat="1" ht="15" thickTop="1">
      <c r="C21" s="48"/>
      <c r="D21" s="43"/>
    </row>
    <row r="22" spans="1:5">
      <c r="A22" s="122" t="s">
        <v>34</v>
      </c>
      <c r="B22" s="122" t="s">
        <v>32</v>
      </c>
      <c r="C22" s="122" t="s">
        <v>2</v>
      </c>
      <c r="D22" s="122" t="s">
        <v>3</v>
      </c>
      <c r="E22" s="122" t="s">
        <v>67</v>
      </c>
    </row>
    <row r="23" spans="1:5">
      <c r="A23" s="141">
        <v>0</v>
      </c>
      <c r="B23" s="176">
        <f ca="1">'DATA SHEET'!D9</f>
        <v>43973</v>
      </c>
      <c r="C23" s="141" t="s">
        <v>38</v>
      </c>
      <c r="D23" s="184">
        <f>IF(B8="1-Bedroom",50000,100000)</f>
        <v>100000</v>
      </c>
      <c r="E23" s="177">
        <f>C20-D23</f>
        <v>-2141677188320</v>
      </c>
    </row>
    <row r="24" spans="1:5">
      <c r="A24" s="160">
        <v>1</v>
      </c>
      <c r="B24" s="176">
        <f ca="1">EDATE(B23,1)</f>
        <v>44004</v>
      </c>
      <c r="C24" s="123" t="s">
        <v>235</v>
      </c>
      <c r="D24" s="185">
        <f>((C20*0.1)-D23)/6</f>
        <v>-35694634805.333336</v>
      </c>
      <c r="E24" s="181">
        <f>E23-D24</f>
        <v>-2105982553514.6667</v>
      </c>
    </row>
    <row r="25" spans="1:5">
      <c r="A25" s="141">
        <v>2</v>
      </c>
      <c r="B25" s="176">
        <f t="shared" ref="B25:B54" ca="1" si="0">EDATE(B24,1)</f>
        <v>44034</v>
      </c>
      <c r="C25" s="123" t="s">
        <v>236</v>
      </c>
      <c r="D25" s="185">
        <f>D24</f>
        <v>-35694634805.333336</v>
      </c>
      <c r="E25" s="181">
        <f t="shared" ref="E25:E54" si="1">E24-D25</f>
        <v>-2070287918709.3335</v>
      </c>
    </row>
    <row r="26" spans="1:5">
      <c r="A26" s="160">
        <v>3</v>
      </c>
      <c r="B26" s="176">
        <f t="shared" ca="1" si="0"/>
        <v>44065</v>
      </c>
      <c r="C26" s="160" t="s">
        <v>237</v>
      </c>
      <c r="D26" s="185">
        <f>D25</f>
        <v>-35694634805.333336</v>
      </c>
      <c r="E26" s="181">
        <f t="shared" si="1"/>
        <v>-2034593283904.0002</v>
      </c>
    </row>
    <row r="27" spans="1:5">
      <c r="A27" s="141">
        <v>4</v>
      </c>
      <c r="B27" s="176">
        <f t="shared" ca="1" si="0"/>
        <v>44096</v>
      </c>
      <c r="C27" s="123" t="s">
        <v>238</v>
      </c>
      <c r="D27" s="185">
        <f>D26</f>
        <v>-35694634805.333336</v>
      </c>
      <c r="E27" s="181">
        <f t="shared" si="1"/>
        <v>-1998898649098.667</v>
      </c>
    </row>
    <row r="28" spans="1:5">
      <c r="A28" s="160">
        <v>5</v>
      </c>
      <c r="B28" s="176">
        <f t="shared" ca="1" si="0"/>
        <v>44126</v>
      </c>
      <c r="C28" s="160" t="s">
        <v>239</v>
      </c>
      <c r="D28" s="185">
        <f>D27</f>
        <v>-35694634805.333336</v>
      </c>
      <c r="E28" s="181">
        <f t="shared" si="1"/>
        <v>-1963204014293.3337</v>
      </c>
    </row>
    <row r="29" spans="1:5">
      <c r="A29" s="141">
        <v>6</v>
      </c>
      <c r="B29" s="176">
        <f t="shared" ca="1" si="0"/>
        <v>44157</v>
      </c>
      <c r="C29" s="123" t="s">
        <v>240</v>
      </c>
      <c r="D29" s="185">
        <f>D28</f>
        <v>-35694634805.333336</v>
      </c>
      <c r="E29" s="181">
        <f t="shared" si="1"/>
        <v>-1927509379488.0005</v>
      </c>
    </row>
    <row r="30" spans="1:5">
      <c r="A30" s="160">
        <v>7</v>
      </c>
      <c r="B30" s="176">
        <f t="shared" ca="1" si="0"/>
        <v>44187</v>
      </c>
      <c r="C30" s="160" t="s">
        <v>241</v>
      </c>
      <c r="D30" s="186">
        <f>(C20*0.1)/24</f>
        <v>-8923654534.666666</v>
      </c>
      <c r="E30" s="181">
        <f t="shared" si="1"/>
        <v>-1918585724953.3337</v>
      </c>
    </row>
    <row r="31" spans="1:5">
      <c r="A31" s="141">
        <v>8</v>
      </c>
      <c r="B31" s="176">
        <f t="shared" ca="1" si="0"/>
        <v>44218</v>
      </c>
      <c r="C31" s="160" t="s">
        <v>257</v>
      </c>
      <c r="D31" s="187">
        <f>D30</f>
        <v>-8923654534.666666</v>
      </c>
      <c r="E31" s="181">
        <f t="shared" si="1"/>
        <v>-1909662070418.667</v>
      </c>
    </row>
    <row r="32" spans="1:5">
      <c r="A32" s="160">
        <v>9</v>
      </c>
      <c r="B32" s="176">
        <f t="shared" ca="1" si="0"/>
        <v>44249</v>
      </c>
      <c r="C32" s="160" t="s">
        <v>242</v>
      </c>
      <c r="D32" s="187">
        <f t="shared" ref="D32:D53" si="2">D31</f>
        <v>-8923654534.666666</v>
      </c>
      <c r="E32" s="181">
        <f t="shared" si="1"/>
        <v>-1900738415884.0002</v>
      </c>
    </row>
    <row r="33" spans="1:5">
      <c r="A33" s="141">
        <v>10</v>
      </c>
      <c r="B33" s="176">
        <f t="shared" ca="1" si="0"/>
        <v>44277</v>
      </c>
      <c r="C33" s="160" t="s">
        <v>243</v>
      </c>
      <c r="D33" s="187">
        <f t="shared" si="2"/>
        <v>-8923654534.666666</v>
      </c>
      <c r="E33" s="181">
        <f t="shared" si="1"/>
        <v>-1891814761349.3335</v>
      </c>
    </row>
    <row r="34" spans="1:5">
      <c r="A34" s="160">
        <v>11</v>
      </c>
      <c r="B34" s="176">
        <f t="shared" ca="1" si="0"/>
        <v>44308</v>
      </c>
      <c r="C34" s="160" t="s">
        <v>244</v>
      </c>
      <c r="D34" s="187">
        <f t="shared" si="2"/>
        <v>-8923654534.666666</v>
      </c>
      <c r="E34" s="181">
        <f t="shared" si="1"/>
        <v>-1882891106814.6667</v>
      </c>
    </row>
    <row r="35" spans="1:5">
      <c r="A35" s="141">
        <v>12</v>
      </c>
      <c r="B35" s="176">
        <f t="shared" ca="1" si="0"/>
        <v>44338</v>
      </c>
      <c r="C35" s="160" t="s">
        <v>245</v>
      </c>
      <c r="D35" s="187">
        <f t="shared" si="2"/>
        <v>-8923654534.666666</v>
      </c>
      <c r="E35" s="181">
        <f t="shared" si="1"/>
        <v>-1873967452280</v>
      </c>
    </row>
    <row r="36" spans="1:5">
      <c r="A36" s="160">
        <v>13</v>
      </c>
      <c r="B36" s="176">
        <f t="shared" ca="1" si="0"/>
        <v>44369</v>
      </c>
      <c r="C36" s="160" t="s">
        <v>246</v>
      </c>
      <c r="D36" s="187">
        <f t="shared" si="2"/>
        <v>-8923654534.666666</v>
      </c>
      <c r="E36" s="181">
        <f t="shared" si="1"/>
        <v>-1865043797745.3333</v>
      </c>
    </row>
    <row r="37" spans="1:5">
      <c r="A37" s="141">
        <v>14</v>
      </c>
      <c r="B37" s="176">
        <f t="shared" ca="1" si="0"/>
        <v>44399</v>
      </c>
      <c r="C37" s="160" t="s">
        <v>247</v>
      </c>
      <c r="D37" s="187">
        <f t="shared" si="2"/>
        <v>-8923654534.666666</v>
      </c>
      <c r="E37" s="181">
        <f t="shared" si="1"/>
        <v>-1856120143210.6665</v>
      </c>
    </row>
    <row r="38" spans="1:5">
      <c r="A38" s="160">
        <v>15</v>
      </c>
      <c r="B38" s="176">
        <f t="shared" ca="1" si="0"/>
        <v>44430</v>
      </c>
      <c r="C38" s="160" t="s">
        <v>248</v>
      </c>
      <c r="D38" s="187">
        <f t="shared" si="2"/>
        <v>-8923654534.666666</v>
      </c>
      <c r="E38" s="181">
        <f t="shared" si="1"/>
        <v>-1847196488675.9998</v>
      </c>
    </row>
    <row r="39" spans="1:5">
      <c r="A39" s="141">
        <v>16</v>
      </c>
      <c r="B39" s="176">
        <f t="shared" ca="1" si="0"/>
        <v>44461</v>
      </c>
      <c r="C39" s="160" t="s">
        <v>249</v>
      </c>
      <c r="D39" s="187">
        <f t="shared" si="2"/>
        <v>-8923654534.666666</v>
      </c>
      <c r="E39" s="181">
        <f t="shared" si="1"/>
        <v>-1838272834141.333</v>
      </c>
    </row>
    <row r="40" spans="1:5">
      <c r="A40" s="160">
        <v>17</v>
      </c>
      <c r="B40" s="176">
        <f t="shared" ca="1" si="0"/>
        <v>44491</v>
      </c>
      <c r="C40" s="160" t="s">
        <v>250</v>
      </c>
      <c r="D40" s="187">
        <f t="shared" si="2"/>
        <v>-8923654534.666666</v>
      </c>
      <c r="E40" s="181">
        <f t="shared" si="1"/>
        <v>-1829349179606.6663</v>
      </c>
    </row>
    <row r="41" spans="1:5">
      <c r="A41" s="141">
        <v>18</v>
      </c>
      <c r="B41" s="176">
        <f t="shared" ca="1" si="0"/>
        <v>44522</v>
      </c>
      <c r="C41" s="160" t="s">
        <v>251</v>
      </c>
      <c r="D41" s="187">
        <f t="shared" si="2"/>
        <v>-8923654534.666666</v>
      </c>
      <c r="E41" s="181">
        <f t="shared" si="1"/>
        <v>-1820425525071.9995</v>
      </c>
    </row>
    <row r="42" spans="1:5">
      <c r="A42" s="160">
        <v>19</v>
      </c>
      <c r="B42" s="176">
        <f t="shared" ca="1" si="0"/>
        <v>44552</v>
      </c>
      <c r="C42" s="160" t="s">
        <v>267</v>
      </c>
      <c r="D42" s="187">
        <f t="shared" si="2"/>
        <v>-8923654534.666666</v>
      </c>
      <c r="E42" s="181">
        <f t="shared" si="1"/>
        <v>-1811501870537.3328</v>
      </c>
    </row>
    <row r="43" spans="1:5">
      <c r="A43" s="141">
        <v>20</v>
      </c>
      <c r="B43" s="176">
        <f t="shared" ca="1" si="0"/>
        <v>44583</v>
      </c>
      <c r="C43" s="160" t="s">
        <v>268</v>
      </c>
      <c r="D43" s="187">
        <f>D42</f>
        <v>-8923654534.666666</v>
      </c>
      <c r="E43" s="181">
        <f t="shared" si="1"/>
        <v>-1802578216002.666</v>
      </c>
    </row>
    <row r="44" spans="1:5">
      <c r="A44" s="160">
        <v>21</v>
      </c>
      <c r="B44" s="176">
        <f t="shared" ca="1" si="0"/>
        <v>44614</v>
      </c>
      <c r="C44" s="160" t="s">
        <v>269</v>
      </c>
      <c r="D44" s="187">
        <f t="shared" si="2"/>
        <v>-8923654534.666666</v>
      </c>
      <c r="E44" s="181">
        <f t="shared" si="1"/>
        <v>-1793654561467.9993</v>
      </c>
    </row>
    <row r="45" spans="1:5">
      <c r="A45" s="141">
        <v>22</v>
      </c>
      <c r="B45" s="176">
        <f t="shared" ca="1" si="0"/>
        <v>44642</v>
      </c>
      <c r="C45" s="160" t="s">
        <v>270</v>
      </c>
      <c r="D45" s="187">
        <f t="shared" si="2"/>
        <v>-8923654534.666666</v>
      </c>
      <c r="E45" s="181">
        <f t="shared" si="1"/>
        <v>-1784730906933.3325</v>
      </c>
    </row>
    <row r="46" spans="1:5">
      <c r="A46" s="160">
        <v>23</v>
      </c>
      <c r="B46" s="176">
        <f t="shared" ca="1" si="0"/>
        <v>44673</v>
      </c>
      <c r="C46" s="160" t="s">
        <v>271</v>
      </c>
      <c r="D46" s="187">
        <f t="shared" si="2"/>
        <v>-8923654534.666666</v>
      </c>
      <c r="E46" s="181">
        <f t="shared" si="1"/>
        <v>-1775807252398.6658</v>
      </c>
    </row>
    <row r="47" spans="1:5">
      <c r="A47" s="141">
        <v>24</v>
      </c>
      <c r="B47" s="176">
        <f t="shared" ca="1" si="0"/>
        <v>44703</v>
      </c>
      <c r="C47" s="160" t="s">
        <v>272</v>
      </c>
      <c r="D47" s="187">
        <f t="shared" si="2"/>
        <v>-8923654534.666666</v>
      </c>
      <c r="E47" s="181">
        <f t="shared" si="1"/>
        <v>-1766883597863.999</v>
      </c>
    </row>
    <row r="48" spans="1:5">
      <c r="A48" s="160">
        <v>25</v>
      </c>
      <c r="B48" s="176">
        <f t="shared" ca="1" si="0"/>
        <v>44734</v>
      </c>
      <c r="C48" s="160" t="s">
        <v>273</v>
      </c>
      <c r="D48" s="187">
        <f t="shared" si="2"/>
        <v>-8923654534.666666</v>
      </c>
      <c r="E48" s="181">
        <f t="shared" si="1"/>
        <v>-1757959943329.3323</v>
      </c>
    </row>
    <row r="49" spans="1:5">
      <c r="A49" s="141">
        <v>26</v>
      </c>
      <c r="B49" s="176">
        <f t="shared" ca="1" si="0"/>
        <v>44764</v>
      </c>
      <c r="C49" s="160" t="s">
        <v>274</v>
      </c>
      <c r="D49" s="187">
        <f t="shared" si="2"/>
        <v>-8923654534.666666</v>
      </c>
      <c r="E49" s="181">
        <f t="shared" si="1"/>
        <v>-1749036288794.6655</v>
      </c>
    </row>
    <row r="50" spans="1:5">
      <c r="A50" s="160">
        <v>27</v>
      </c>
      <c r="B50" s="176">
        <f t="shared" ca="1" si="0"/>
        <v>44795</v>
      </c>
      <c r="C50" s="160" t="s">
        <v>275</v>
      </c>
      <c r="D50" s="187">
        <f t="shared" si="2"/>
        <v>-8923654534.666666</v>
      </c>
      <c r="E50" s="181">
        <f t="shared" si="1"/>
        <v>-1740112634259.9988</v>
      </c>
    </row>
    <row r="51" spans="1:5">
      <c r="A51" s="141">
        <v>28</v>
      </c>
      <c r="B51" s="176">
        <f t="shared" ca="1" si="0"/>
        <v>44826</v>
      </c>
      <c r="C51" s="160" t="s">
        <v>276</v>
      </c>
      <c r="D51" s="187">
        <f t="shared" si="2"/>
        <v>-8923654534.666666</v>
      </c>
      <c r="E51" s="181">
        <f t="shared" si="1"/>
        <v>-1731188979725.332</v>
      </c>
    </row>
    <row r="52" spans="1:5">
      <c r="A52" s="160">
        <v>29</v>
      </c>
      <c r="B52" s="176">
        <f t="shared" ca="1" si="0"/>
        <v>44856</v>
      </c>
      <c r="C52" s="160" t="s">
        <v>277</v>
      </c>
      <c r="D52" s="187">
        <f t="shared" si="2"/>
        <v>-8923654534.666666</v>
      </c>
      <c r="E52" s="181">
        <f t="shared" si="1"/>
        <v>-1722265325190.6653</v>
      </c>
    </row>
    <row r="53" spans="1:5">
      <c r="A53" s="141">
        <v>30</v>
      </c>
      <c r="B53" s="176">
        <f t="shared" ca="1" si="0"/>
        <v>44887</v>
      </c>
      <c r="C53" s="160" t="s">
        <v>278</v>
      </c>
      <c r="D53" s="187">
        <f t="shared" si="2"/>
        <v>-8923654534.666666</v>
      </c>
      <c r="E53" s="181">
        <f t="shared" si="1"/>
        <v>-1713341670655.9985</v>
      </c>
    </row>
    <row r="54" spans="1:5">
      <c r="A54" s="160">
        <v>31</v>
      </c>
      <c r="B54" s="176">
        <f t="shared" ca="1" si="0"/>
        <v>44917</v>
      </c>
      <c r="C54" s="160" t="s">
        <v>258</v>
      </c>
      <c r="D54" s="187">
        <f>C20*0.8</f>
        <v>-1713341670656</v>
      </c>
      <c r="E54" s="181">
        <f t="shared" si="1"/>
        <v>0</v>
      </c>
    </row>
    <row r="55" spans="1:5">
      <c r="A55" s="169"/>
      <c r="B55" s="170"/>
      <c r="C55" s="171" t="s">
        <v>16</v>
      </c>
      <c r="D55" s="172">
        <f>SUM(D23:D54)</f>
        <v>-2141677088320.0002</v>
      </c>
      <c r="E55" s="169"/>
    </row>
    <row r="56" spans="1:5">
      <c r="A56" s="3" t="s">
        <v>62</v>
      </c>
      <c r="B56" s="27"/>
      <c r="C56" s="28"/>
      <c r="D56" s="29"/>
      <c r="E56" s="30"/>
    </row>
    <row r="57" spans="1:5">
      <c r="A57" s="4" t="s">
        <v>69</v>
      </c>
      <c r="B57" s="30"/>
      <c r="C57" s="28"/>
      <c r="D57" s="29"/>
      <c r="E57" s="30"/>
    </row>
    <row r="58" spans="1:5">
      <c r="A58" s="4" t="s">
        <v>70</v>
      </c>
      <c r="B58" s="30"/>
      <c r="C58" s="28"/>
      <c r="D58" s="29"/>
      <c r="E58" s="30"/>
    </row>
    <row r="59" spans="1:5">
      <c r="A59" s="4" t="s">
        <v>88</v>
      </c>
      <c r="B59" s="30"/>
      <c r="C59" s="28"/>
      <c r="D59" s="30"/>
      <c r="E59" s="30"/>
    </row>
    <row r="60" spans="1:5">
      <c r="A60" s="4" t="s">
        <v>74</v>
      </c>
      <c r="B60" s="30"/>
      <c r="C60" s="28"/>
      <c r="D60" s="30"/>
      <c r="E60" s="30"/>
    </row>
    <row r="61" spans="1:5">
      <c r="A61" s="4" t="s">
        <v>63</v>
      </c>
      <c r="B61" s="30"/>
      <c r="C61" s="28"/>
      <c r="D61" s="30"/>
      <c r="E61" s="30"/>
    </row>
    <row r="63" spans="1:5">
      <c r="A63" s="1" t="s">
        <v>17</v>
      </c>
    </row>
    <row r="65" spans="1:4">
      <c r="A65" s="5"/>
      <c r="D65" s="5"/>
    </row>
    <row r="66" spans="1:4">
      <c r="A66" s="2" t="s">
        <v>18</v>
      </c>
      <c r="D66" s="2" t="s">
        <v>18</v>
      </c>
    </row>
  </sheetData>
  <sheetProtection algorithmName="SHA-512" hashValue="DTUuvz3wx6eROLgwsjqm1KjEJaYhfl91hdDaple6CkcSY0iDGYrIARp8Y4aydYS52EvOSsfpe38AyKpBcQX4Lw==" saltValue="2azA4TSH6gGvo7Jag5uGbw==" spinCount="100000" sheet="1" selectLockedCells="1"/>
  <mergeCells count="6">
    <mergeCell ref="E1:E2"/>
    <mergeCell ref="B5:E5"/>
    <mergeCell ref="B10:E10"/>
    <mergeCell ref="B6:D6"/>
    <mergeCell ref="B7:D7"/>
    <mergeCell ref="B9:D9"/>
  </mergeCells>
  <hyperlinks>
    <hyperlink ref="B1" location="'DATA SHEET'!A1" display="HIGHLANDS PRIME, INC." xr:uid="{00000000-0004-0000-2200-000000000000}"/>
  </hyperlinks>
  <printOptions horizontalCentered="1"/>
  <pageMargins left="0.7" right="0.7" top="0.75" bottom="0.5" header="0.3" footer="0.3"/>
  <pageSetup scale="85"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1"/>
  <dimension ref="B1:F12"/>
  <sheetViews>
    <sheetView showGridLines="0" workbookViewId="0"/>
  </sheetViews>
  <sheetFormatPr baseColWidth="10" defaultColWidth="8.83203125" defaultRowHeight="15"/>
  <cols>
    <col min="1" max="1" width="1.1640625" customWidth="1"/>
    <col min="2" max="2" width="64.5" customWidth="1"/>
    <col min="3" max="3" width="1.5" customWidth="1"/>
    <col min="4" max="4" width="5.5" customWidth="1"/>
    <col min="5" max="6" width="16" customWidth="1"/>
  </cols>
  <sheetData>
    <row r="1" spans="2:6" ht="32">
      <c r="B1" s="104" t="s">
        <v>121</v>
      </c>
      <c r="C1" s="104"/>
      <c r="D1" s="108"/>
      <c r="E1" s="108"/>
      <c r="F1" s="108"/>
    </row>
    <row r="2" spans="2:6" ht="16">
      <c r="B2" s="104" t="s">
        <v>122</v>
      </c>
      <c r="C2" s="104"/>
      <c r="D2" s="108"/>
      <c r="E2" s="108"/>
      <c r="F2" s="108"/>
    </row>
    <row r="3" spans="2:6">
      <c r="B3" s="105"/>
      <c r="C3" s="105"/>
      <c r="D3" s="109"/>
      <c r="E3" s="109"/>
      <c r="F3" s="109"/>
    </row>
    <row r="4" spans="2:6" ht="48">
      <c r="B4" s="105" t="s">
        <v>123</v>
      </c>
      <c r="C4" s="105"/>
      <c r="D4" s="109"/>
      <c r="E4" s="109"/>
      <c r="F4" s="109"/>
    </row>
    <row r="5" spans="2:6">
      <c r="B5" s="105"/>
      <c r="C5" s="105"/>
      <c r="D5" s="109"/>
      <c r="E5" s="109"/>
      <c r="F5" s="109"/>
    </row>
    <row r="6" spans="2:6" ht="16">
      <c r="B6" s="104" t="s">
        <v>124</v>
      </c>
      <c r="C6" s="104"/>
      <c r="D6" s="108"/>
      <c r="E6" s="108" t="s">
        <v>125</v>
      </c>
      <c r="F6" s="108" t="s">
        <v>126</v>
      </c>
    </row>
    <row r="7" spans="2:6" ht="16" thickBot="1">
      <c r="B7" s="105"/>
      <c r="C7" s="105"/>
      <c r="D7" s="109"/>
      <c r="E7" s="109"/>
      <c r="F7" s="109"/>
    </row>
    <row r="8" spans="2:6" ht="65" thickBot="1">
      <c r="B8" s="106" t="s">
        <v>127</v>
      </c>
      <c r="C8" s="107"/>
      <c r="D8" s="110"/>
      <c r="E8" s="110" t="s">
        <v>129</v>
      </c>
      <c r="F8" s="111" t="s">
        <v>128</v>
      </c>
    </row>
    <row r="9" spans="2:6" ht="16" thickBot="1">
      <c r="B9" s="105"/>
      <c r="C9" s="105"/>
      <c r="D9" s="109"/>
      <c r="E9" s="109"/>
      <c r="F9" s="109"/>
    </row>
    <row r="10" spans="2:6" ht="49" thickBot="1">
      <c r="B10" s="106" t="s">
        <v>130</v>
      </c>
      <c r="C10" s="107"/>
      <c r="D10" s="110"/>
      <c r="E10" s="110">
        <v>22</v>
      </c>
      <c r="F10" s="111" t="s">
        <v>128</v>
      </c>
    </row>
    <row r="11" spans="2:6">
      <c r="B11" s="105"/>
      <c r="C11" s="105"/>
      <c r="D11" s="109"/>
      <c r="E11" s="109"/>
      <c r="F11" s="109"/>
    </row>
    <row r="12" spans="2:6">
      <c r="B12" s="105"/>
      <c r="C12" s="105"/>
      <c r="D12" s="109"/>
      <c r="E12" s="109"/>
      <c r="F12" s="10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E34"/>
  <sheetViews>
    <sheetView showGridLines="0" workbookViewId="0">
      <selection activeCell="B6" sqref="B6:C6"/>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1" customFormat="1" ht="12.75" customHeight="1">
      <c r="B1" s="42" t="s">
        <v>35</v>
      </c>
      <c r="C1" s="43"/>
      <c r="E1" s="425" t="s">
        <v>66</v>
      </c>
    </row>
    <row r="2" spans="1:5" s="41" customFormat="1">
      <c r="B2" s="44" t="s">
        <v>54</v>
      </c>
      <c r="C2" s="43"/>
      <c r="E2" s="425"/>
    </row>
    <row r="3" spans="1:5" s="41" customFormat="1">
      <c r="B3" s="44" t="s">
        <v>36</v>
      </c>
      <c r="C3" s="43"/>
    </row>
    <row r="4" spans="1:5" s="41" customFormat="1">
      <c r="C4" s="43"/>
    </row>
    <row r="5" spans="1:5" s="41" customFormat="1">
      <c r="A5" s="45" t="s">
        <v>0</v>
      </c>
      <c r="B5" s="426" t="str">
        <f>'DATA SHEET'!D10</f>
        <v xml:space="preserve"> </v>
      </c>
      <c r="C5" s="427"/>
    </row>
    <row r="6" spans="1:5" s="41" customFormat="1">
      <c r="A6" s="46" t="s">
        <v>31</v>
      </c>
      <c r="B6" s="428" t="e">
        <f>VLOOKUP('DATA SHEET'!D11,#REF!, 1, FALSE)</f>
        <v>#REF!</v>
      </c>
      <c r="C6" s="429"/>
    </row>
    <row r="7" spans="1:5" s="41" customFormat="1">
      <c r="A7" s="46" t="s">
        <v>37</v>
      </c>
      <c r="B7" s="430" t="e">
        <f>VLOOKUP('DATA SHEET'!D11,#REF!, 3, FALSE)</f>
        <v>#REF!</v>
      </c>
      <c r="C7" s="431"/>
    </row>
    <row r="8" spans="1:5" s="41" customFormat="1">
      <c r="A8" s="46" t="s">
        <v>57</v>
      </c>
      <c r="B8" s="432" t="e">
        <f>VLOOKUP('DATA SHEET'!D11,#REF!, 5, FALSE)</f>
        <v>#REF!</v>
      </c>
      <c r="C8" s="433"/>
    </row>
    <row r="9" spans="1:5" s="41" customFormat="1">
      <c r="A9" s="47" t="s">
        <v>33</v>
      </c>
      <c r="B9" s="423" t="s">
        <v>72</v>
      </c>
      <c r="C9" s="424"/>
    </row>
    <row r="10" spans="1:5" s="41" customFormat="1">
      <c r="C10" s="43"/>
    </row>
    <row r="11" spans="1:5" s="41" customFormat="1">
      <c r="A11" s="44" t="s">
        <v>55</v>
      </c>
      <c r="C11" s="43"/>
    </row>
    <row r="12" spans="1:5" s="41" customFormat="1">
      <c r="A12" s="41" t="s">
        <v>61</v>
      </c>
      <c r="C12" s="48" t="e">
        <f>B8-750000</f>
        <v>#REF!</v>
      </c>
      <c r="D12" s="43"/>
    </row>
    <row r="13" spans="1:5" s="41" customFormat="1" hidden="1">
      <c r="A13" s="41" t="s">
        <v>118</v>
      </c>
      <c r="B13" s="49">
        <v>0</v>
      </c>
      <c r="C13" s="50" t="e">
        <f>C12*B13</f>
        <v>#REF!</v>
      </c>
      <c r="D13" s="43"/>
    </row>
    <row r="14" spans="1:5" s="41" customFormat="1" hidden="1">
      <c r="C14" s="48" t="e">
        <f>C12-C13</f>
        <v>#REF!</v>
      </c>
      <c r="D14" s="43"/>
    </row>
    <row r="15" spans="1:5" s="41" customFormat="1">
      <c r="A15" s="41" t="s">
        <v>71</v>
      </c>
      <c r="B15" s="49">
        <v>0.15</v>
      </c>
      <c r="C15" s="50" t="e">
        <f>IF(B15&lt;=15%,C14*B15,"BEYOND MAX DISC.")</f>
        <v>#REF!</v>
      </c>
      <c r="D15" s="43"/>
    </row>
    <row r="16" spans="1:5">
      <c r="C16" s="23" t="e">
        <f>C14-C15</f>
        <v>#REF!</v>
      </c>
      <c r="D16" s="2"/>
    </row>
    <row r="17" spans="1:5">
      <c r="A17" s="1" t="s">
        <v>56</v>
      </c>
      <c r="C17" s="24">
        <v>750000</v>
      </c>
      <c r="D17" s="2"/>
    </row>
    <row r="18" spans="1:5" ht="15" thickBot="1">
      <c r="A18" s="6" t="s">
        <v>58</v>
      </c>
      <c r="B18" s="6"/>
      <c r="C18" s="25" t="e">
        <f>C16+C17</f>
        <v>#REF!</v>
      </c>
      <c r="D18" s="2"/>
    </row>
    <row r="19" spans="1:5" ht="15" thickTop="1"/>
    <row r="20" spans="1:5">
      <c r="A20" s="9" t="s">
        <v>34</v>
      </c>
      <c r="B20" s="9" t="s">
        <v>32</v>
      </c>
      <c r="C20" s="9" t="s">
        <v>2</v>
      </c>
      <c r="D20" s="9" t="s">
        <v>3</v>
      </c>
      <c r="E20" s="9" t="s">
        <v>67</v>
      </c>
    </row>
    <row r="21" spans="1:5">
      <c r="A21" s="8">
        <v>0</v>
      </c>
      <c r="B21" s="10">
        <f ca="1">'DATA SHEET'!D9</f>
        <v>43973</v>
      </c>
      <c r="C21" s="8" t="s">
        <v>38</v>
      </c>
      <c r="D21" s="11">
        <v>100000</v>
      </c>
      <c r="E21" s="12" t="e">
        <f>C18-D21</f>
        <v>#REF!</v>
      </c>
    </row>
    <row r="22" spans="1:5">
      <c r="A22" s="14">
        <v>1</v>
      </c>
      <c r="B22" s="15">
        <f ca="1">EDATE(B21,1)</f>
        <v>44004</v>
      </c>
      <c r="C22" s="14" t="s">
        <v>73</v>
      </c>
      <c r="D22" s="16" t="e">
        <f>C18-D21</f>
        <v>#REF!</v>
      </c>
      <c r="E22" s="36" t="e">
        <f>E21-D22</f>
        <v>#REF!</v>
      </c>
    </row>
    <row r="23" spans="1:5">
      <c r="A23" s="17"/>
      <c r="B23" s="18"/>
      <c r="C23" s="19" t="s">
        <v>16</v>
      </c>
      <c r="D23" s="20" t="e">
        <f>SUM(D21:D22)</f>
        <v>#REF!</v>
      </c>
      <c r="E23" s="17"/>
    </row>
    <row r="24" spans="1:5">
      <c r="A24" s="3" t="s">
        <v>62</v>
      </c>
      <c r="B24" s="27"/>
      <c r="C24" s="28"/>
      <c r="D24" s="29"/>
      <c r="E24" s="30"/>
    </row>
    <row r="25" spans="1:5">
      <c r="A25" s="4" t="s">
        <v>69</v>
      </c>
      <c r="B25" s="30"/>
      <c r="C25" s="28"/>
      <c r="D25" s="29"/>
      <c r="E25" s="30"/>
    </row>
    <row r="26" spans="1:5">
      <c r="A26" s="4" t="s">
        <v>70</v>
      </c>
      <c r="B26" s="30"/>
      <c r="C26" s="28"/>
      <c r="D26" s="29"/>
      <c r="E26" s="30"/>
    </row>
    <row r="27" spans="1:5">
      <c r="A27" s="4" t="s">
        <v>88</v>
      </c>
      <c r="B27" s="30"/>
      <c r="C27" s="28"/>
      <c r="D27" s="30"/>
      <c r="E27" s="30"/>
    </row>
    <row r="28" spans="1:5">
      <c r="A28" s="4" t="s">
        <v>74</v>
      </c>
      <c r="B28" s="30"/>
      <c r="C28" s="28"/>
      <c r="D28" s="30"/>
      <c r="E28" s="30"/>
    </row>
    <row r="29" spans="1:5">
      <c r="A29" s="4" t="s">
        <v>63</v>
      </c>
      <c r="B29" s="30"/>
      <c r="C29" s="28"/>
      <c r="D29" s="30"/>
      <c r="E29" s="30"/>
    </row>
    <row r="31" spans="1:5">
      <c r="A31" s="1" t="s">
        <v>17</v>
      </c>
    </row>
    <row r="33" spans="1:4">
      <c r="A33" s="5"/>
      <c r="D33" s="5"/>
    </row>
    <row r="34" spans="1:4">
      <c r="A34" s="2" t="s">
        <v>18</v>
      </c>
      <c r="D34" s="2" t="s">
        <v>18</v>
      </c>
    </row>
  </sheetData>
  <sheetProtection algorithmName="SHA-512" hashValue="LGbZZ5U3ZiOW4BNaC4MXY6hRtiINpn+AQsxXScX4+RtkYzA2XziUWy9kN9RtLODcs2Ud9chATh+vnLr4ek8Gog==" saltValue="VO7S4EqXQV0w07SnHkLzCQ==" spinCount="100000" sheet="1" selectLockedCells="1"/>
  <mergeCells count="6">
    <mergeCell ref="B9:C9"/>
    <mergeCell ref="E1:E2"/>
    <mergeCell ref="B5:C5"/>
    <mergeCell ref="B6:C6"/>
    <mergeCell ref="B7:C7"/>
    <mergeCell ref="B8:C8"/>
  </mergeCells>
  <hyperlinks>
    <hyperlink ref="B1" location="'DATA SHEET'!A1" display="HIGHLANDS PRIME, INC." xr:uid="{00000000-0004-0000-0300-000000000000}"/>
  </hyperlinks>
  <printOptions horizontalCentered="1"/>
  <pageMargins left="0.7" right="0.7" top="1" bottom="0.5" header="0.3" footer="0.3"/>
  <pageSetup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tint="-0.249977111117893"/>
    <pageSetUpPr fitToPage="1"/>
  </sheetPr>
  <dimension ref="A1:E34"/>
  <sheetViews>
    <sheetView showGridLines="0" zoomScaleNormal="100" workbookViewId="0">
      <selection activeCell="B17" sqref="B17"/>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1" customFormat="1" ht="12.75" customHeight="1">
      <c r="B1" s="42" t="s">
        <v>35</v>
      </c>
      <c r="C1" s="43"/>
      <c r="E1" s="425" t="s">
        <v>66</v>
      </c>
    </row>
    <row r="2" spans="1:5" s="41" customFormat="1">
      <c r="B2" s="44" t="s">
        <v>54</v>
      </c>
      <c r="C2" s="43"/>
      <c r="E2" s="425"/>
    </row>
    <row r="3" spans="1:5" s="41" customFormat="1">
      <c r="B3" s="44" t="s">
        <v>36</v>
      </c>
      <c r="C3" s="43"/>
    </row>
    <row r="4" spans="1:5" s="41" customFormat="1">
      <c r="C4" s="43"/>
    </row>
    <row r="5" spans="1:5" s="41" customFormat="1">
      <c r="A5" s="45" t="s">
        <v>0</v>
      </c>
      <c r="B5" s="426" t="str">
        <f>'DATA SHEET'!D10</f>
        <v xml:space="preserve"> </v>
      </c>
      <c r="C5" s="427"/>
      <c r="D5" s="52"/>
    </row>
    <row r="6" spans="1:5" s="41" customFormat="1">
      <c r="A6" s="46" t="s">
        <v>31</v>
      </c>
      <c r="B6" s="428" t="e">
        <f>VLOOKUP('DATA SHEET'!D11,#REF!, 1, FALSE)</f>
        <v>#REF!</v>
      </c>
      <c r="C6" s="429"/>
    </row>
    <row r="7" spans="1:5" s="41" customFormat="1">
      <c r="A7" s="46" t="s">
        <v>37</v>
      </c>
      <c r="B7" s="430" t="e">
        <f>VLOOKUP('DATA SHEET'!D11,#REF!, 3, FALSE)</f>
        <v>#REF!</v>
      </c>
      <c r="C7" s="431"/>
    </row>
    <row r="8" spans="1:5" s="41" customFormat="1">
      <c r="A8" s="46" t="s">
        <v>57</v>
      </c>
      <c r="B8" s="432" t="e">
        <f>VLOOKUP('DATA SHEET'!D11,#REF!, 5, FALSE)</f>
        <v>#REF!</v>
      </c>
      <c r="C8" s="433"/>
    </row>
    <row r="9" spans="1:5" s="41" customFormat="1">
      <c r="A9" s="47" t="s">
        <v>33</v>
      </c>
      <c r="B9" s="423" t="s">
        <v>72</v>
      </c>
      <c r="C9" s="424"/>
    </row>
    <row r="10" spans="1:5" s="41" customFormat="1">
      <c r="C10" s="43"/>
    </row>
    <row r="11" spans="1:5" s="41" customFormat="1">
      <c r="A11" s="44" t="s">
        <v>55</v>
      </c>
      <c r="C11" s="43"/>
    </row>
    <row r="12" spans="1:5" s="41" customFormat="1">
      <c r="A12" s="76" t="s">
        <v>57</v>
      </c>
      <c r="B12" s="76"/>
      <c r="C12" s="48" t="e">
        <f>B8</f>
        <v>#REF!</v>
      </c>
      <c r="D12" s="43"/>
    </row>
    <row r="13" spans="1:5" s="41" customFormat="1">
      <c r="A13" s="41" t="s">
        <v>59</v>
      </c>
      <c r="C13" s="53">
        <v>750000</v>
      </c>
      <c r="D13" s="43"/>
    </row>
    <row r="14" spans="1:5" s="41" customFormat="1">
      <c r="C14" s="54" t="e">
        <f>C12-C13</f>
        <v>#REF!</v>
      </c>
      <c r="D14" s="43"/>
    </row>
    <row r="15" spans="1:5" s="41" customFormat="1" hidden="1">
      <c r="A15" s="41" t="s">
        <v>116</v>
      </c>
      <c r="B15" s="49">
        <v>0</v>
      </c>
      <c r="C15" s="53" t="e">
        <f>C14*B15</f>
        <v>#REF!</v>
      </c>
      <c r="D15" s="43"/>
    </row>
    <row r="16" spans="1:5" s="41" customFormat="1" hidden="1">
      <c r="C16" s="54" t="e">
        <f>C14-C15</f>
        <v>#REF!</v>
      </c>
      <c r="D16" s="43"/>
    </row>
    <row r="17" spans="1:5" s="41" customFormat="1">
      <c r="A17" s="41" t="s">
        <v>71</v>
      </c>
      <c r="B17" s="49">
        <v>0.15</v>
      </c>
      <c r="C17" s="54" t="e">
        <f>IF(B17&lt;=15%,C16*B17,"BEYOND MAX DISC.")</f>
        <v>#REF!</v>
      </c>
      <c r="D17" s="43"/>
    </row>
    <row r="18" spans="1:5" ht="15" thickBot="1">
      <c r="A18" s="6" t="s">
        <v>60</v>
      </c>
      <c r="B18" s="6"/>
      <c r="C18" s="26" t="e">
        <f>C16-C17</f>
        <v>#REF!</v>
      </c>
      <c r="D18" s="2"/>
    </row>
    <row r="19" spans="1:5" ht="15" thickTop="1"/>
    <row r="20" spans="1:5">
      <c r="A20" s="9" t="s">
        <v>34</v>
      </c>
      <c r="B20" s="9" t="s">
        <v>32</v>
      </c>
      <c r="C20" s="9" t="s">
        <v>2</v>
      </c>
      <c r="D20" s="9" t="s">
        <v>3</v>
      </c>
      <c r="E20" s="9" t="s">
        <v>67</v>
      </c>
    </row>
    <row r="21" spans="1:5">
      <c r="A21" s="8">
        <v>0</v>
      </c>
      <c r="B21" s="10">
        <f ca="1">'DATA SHEET'!D9</f>
        <v>43973</v>
      </c>
      <c r="C21" s="8" t="s">
        <v>38</v>
      </c>
      <c r="D21" s="11">
        <v>100000</v>
      </c>
      <c r="E21" s="12" t="e">
        <f>C18-D21</f>
        <v>#REF!</v>
      </c>
    </row>
    <row r="22" spans="1:5">
      <c r="A22" s="14">
        <v>1</v>
      </c>
      <c r="B22" s="15">
        <f ca="1">EDATE(B21,1)</f>
        <v>44004</v>
      </c>
      <c r="C22" s="14" t="s">
        <v>73</v>
      </c>
      <c r="D22" s="16" t="e">
        <f>C18-D21</f>
        <v>#REF!</v>
      </c>
      <c r="E22" s="36" t="e">
        <f>E21-D22</f>
        <v>#REF!</v>
      </c>
    </row>
    <row r="23" spans="1:5">
      <c r="A23" s="17"/>
      <c r="B23" s="18"/>
      <c r="C23" s="19" t="s">
        <v>16</v>
      </c>
      <c r="D23" s="20" t="e">
        <f>SUM(D21:D22)</f>
        <v>#REF!</v>
      </c>
      <c r="E23" s="17"/>
    </row>
    <row r="24" spans="1:5">
      <c r="A24" s="3" t="s">
        <v>62</v>
      </c>
      <c r="B24" s="21"/>
      <c r="D24" s="22"/>
    </row>
    <row r="25" spans="1:5">
      <c r="A25" s="4" t="s">
        <v>69</v>
      </c>
      <c r="D25" s="22"/>
    </row>
    <row r="26" spans="1:5">
      <c r="A26" s="4" t="s">
        <v>70</v>
      </c>
      <c r="D26" s="22"/>
    </row>
    <row r="27" spans="1:5">
      <c r="A27" s="4" t="s">
        <v>88</v>
      </c>
    </row>
    <row r="28" spans="1:5">
      <c r="A28" s="4" t="s">
        <v>74</v>
      </c>
    </row>
    <row r="29" spans="1:5">
      <c r="A29" s="4" t="s">
        <v>63</v>
      </c>
    </row>
    <row r="31" spans="1:5">
      <c r="A31" s="1" t="s">
        <v>17</v>
      </c>
    </row>
    <row r="33" spans="1:4">
      <c r="A33" s="5"/>
      <c r="D33" s="5"/>
    </row>
    <row r="34" spans="1:4">
      <c r="A34" s="2" t="s">
        <v>18</v>
      </c>
      <c r="D34" s="2" t="s">
        <v>18</v>
      </c>
    </row>
  </sheetData>
  <sheetProtection algorithmName="SHA-512" hashValue="htN3356isoeJkO1/AwtT4fIVbnYYbsI/2ht3JC2CV/ZzcxmP6cvPlBq0rzHGPxTNDpMNkbTXxV9O9cQrEbaUOg==" saltValue="x6W15jGjGscTY6jo3kZwDA==" spinCount="100000" sheet="1" selectLockedCells="1"/>
  <mergeCells count="6">
    <mergeCell ref="B9:C9"/>
    <mergeCell ref="E1:E2"/>
    <mergeCell ref="B5:C5"/>
    <mergeCell ref="B6:C6"/>
    <mergeCell ref="B7:C7"/>
    <mergeCell ref="B8:C8"/>
  </mergeCells>
  <hyperlinks>
    <hyperlink ref="B1" location="'DATA SHEET'!A1" display="HIGHLANDS PRIME, INC." xr:uid="{00000000-0004-0000-0400-000000000000}"/>
  </hyperlinks>
  <printOptions horizontalCentered="1"/>
  <pageMargins left="0.7" right="0.7" top="1" bottom="0.5" header="0.3" footer="0.3"/>
  <pageSetup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C000"/>
    <pageSetUpPr fitToPage="1"/>
  </sheetPr>
  <dimension ref="A1:E47"/>
  <sheetViews>
    <sheetView showGridLines="0" workbookViewId="0">
      <selection activeCell="B15" sqref="B15"/>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1" customFormat="1" ht="12.75" customHeight="1">
      <c r="B1" s="42" t="s">
        <v>35</v>
      </c>
      <c r="C1" s="43"/>
      <c r="E1" s="425" t="s">
        <v>66</v>
      </c>
    </row>
    <row r="2" spans="1:5" s="41" customFormat="1">
      <c r="B2" s="44" t="s">
        <v>54</v>
      </c>
      <c r="C2" s="43"/>
      <c r="E2" s="425"/>
    </row>
    <row r="3" spans="1:5" s="41" customFormat="1">
      <c r="B3" s="44" t="s">
        <v>36</v>
      </c>
      <c r="C3" s="43"/>
    </row>
    <row r="4" spans="1:5" s="41" customFormat="1">
      <c r="C4" s="43"/>
    </row>
    <row r="5" spans="1:5" s="41" customFormat="1">
      <c r="A5" s="45" t="s">
        <v>0</v>
      </c>
      <c r="B5" s="426" t="str">
        <f>'DATA SHEET'!D10</f>
        <v xml:space="preserve"> </v>
      </c>
      <c r="C5" s="426"/>
      <c r="D5" s="427"/>
    </row>
    <row r="6" spans="1:5" s="41" customFormat="1">
      <c r="A6" s="46" t="s">
        <v>31</v>
      </c>
      <c r="B6" s="428" t="e">
        <f>VLOOKUP('DATA SHEET'!D11,#REF!, 1, FALSE)</f>
        <v>#REF!</v>
      </c>
      <c r="C6" s="428"/>
      <c r="D6" s="429"/>
    </row>
    <row r="7" spans="1:5" s="41" customFormat="1">
      <c r="A7" s="46" t="s">
        <v>37</v>
      </c>
      <c r="B7" s="430" t="e">
        <f>VLOOKUP('DATA SHEET'!D11,#REF!, 3, FALSE)</f>
        <v>#REF!</v>
      </c>
      <c r="C7" s="430"/>
      <c r="D7" s="431"/>
    </row>
    <row r="8" spans="1:5" s="41" customFormat="1">
      <c r="A8" s="46" t="s">
        <v>57</v>
      </c>
      <c r="B8" s="432" t="e">
        <f>VLOOKUP('DATA SHEET'!D11,#REF!, 5, FALSE)</f>
        <v>#REF!</v>
      </c>
      <c r="C8" s="432"/>
      <c r="D8" s="433"/>
    </row>
    <row r="9" spans="1:5" s="41" customFormat="1">
      <c r="A9" s="47" t="s">
        <v>33</v>
      </c>
      <c r="B9" s="423" t="s">
        <v>75</v>
      </c>
      <c r="C9" s="423"/>
      <c r="D9" s="424"/>
    </row>
    <row r="10" spans="1:5" s="41" customFormat="1">
      <c r="C10" s="43"/>
    </row>
    <row r="11" spans="1:5" s="41" customFormat="1">
      <c r="A11" s="44" t="s">
        <v>55</v>
      </c>
      <c r="C11" s="43"/>
    </row>
    <row r="12" spans="1:5" s="41" customFormat="1">
      <c r="A12" s="41" t="s">
        <v>61</v>
      </c>
      <c r="C12" s="48" t="e">
        <f>B8-750000</f>
        <v>#REF!</v>
      </c>
      <c r="D12" s="103"/>
    </row>
    <row r="13" spans="1:5" s="41" customFormat="1" hidden="1">
      <c r="A13" s="41" t="s">
        <v>116</v>
      </c>
      <c r="B13" s="49">
        <v>0</v>
      </c>
      <c r="C13" s="50" t="e">
        <f>C12*B13</f>
        <v>#REF!</v>
      </c>
      <c r="D13" s="43"/>
    </row>
    <row r="14" spans="1:5" s="41" customFormat="1" hidden="1">
      <c r="C14" s="48" t="e">
        <f>C12-C13</f>
        <v>#REF!</v>
      </c>
      <c r="D14" s="43"/>
    </row>
    <row r="15" spans="1:5" s="41" customFormat="1">
      <c r="A15" s="41" t="s">
        <v>71</v>
      </c>
      <c r="B15" s="49">
        <v>3.5000000000000003E-2</v>
      </c>
      <c r="C15" s="50" t="e">
        <f>IF(B15&lt;=3.5%,C14*B15,"BEYOND MAX DISC.")</f>
        <v>#REF!</v>
      </c>
      <c r="D15" s="43"/>
    </row>
    <row r="16" spans="1:5">
      <c r="C16" s="23" t="e">
        <f>C14-C15</f>
        <v>#REF!</v>
      </c>
      <c r="D16" s="2"/>
    </row>
    <row r="17" spans="1:5">
      <c r="A17" s="1" t="s">
        <v>56</v>
      </c>
      <c r="C17" s="24">
        <v>750000</v>
      </c>
      <c r="D17" s="2"/>
    </row>
    <row r="18" spans="1:5" ht="15" thickBot="1">
      <c r="A18" s="6" t="s">
        <v>58</v>
      </c>
      <c r="B18" s="6"/>
      <c r="C18" s="25" t="e">
        <f>C16+C17</f>
        <v>#REF!</v>
      </c>
      <c r="D18" s="2"/>
    </row>
    <row r="19" spans="1:5" ht="15" thickTop="1"/>
    <row r="20" spans="1:5">
      <c r="A20" s="9" t="s">
        <v>34</v>
      </c>
      <c r="B20" s="9" t="s">
        <v>32</v>
      </c>
      <c r="C20" s="9" t="s">
        <v>2</v>
      </c>
      <c r="D20" s="9" t="s">
        <v>3</v>
      </c>
      <c r="E20" s="9" t="s">
        <v>67</v>
      </c>
    </row>
    <row r="21" spans="1:5">
      <c r="A21" s="8">
        <v>0</v>
      </c>
      <c r="B21" s="10">
        <f ca="1">'DATA SHEET'!D9</f>
        <v>43973</v>
      </c>
      <c r="C21" s="8" t="s">
        <v>38</v>
      </c>
      <c r="D21" s="11">
        <v>100000</v>
      </c>
      <c r="E21" s="12" t="e">
        <f>C18-D21</f>
        <v>#REF!</v>
      </c>
    </row>
    <row r="22" spans="1:5">
      <c r="A22" s="8">
        <v>1</v>
      </c>
      <c r="B22" s="10">
        <f ca="1">EDATE(B21,1)</f>
        <v>44004</v>
      </c>
      <c r="C22" s="8" t="s">
        <v>68</v>
      </c>
      <c r="D22" s="11" t="e">
        <f>(C18*0.1)-D21</f>
        <v>#REF!</v>
      </c>
      <c r="E22" s="12" t="e">
        <f>E21-D22</f>
        <v>#REF!</v>
      </c>
    </row>
    <row r="23" spans="1:5">
      <c r="A23" s="7">
        <v>2</v>
      </c>
      <c r="B23" s="10">
        <f t="shared" ref="B23:B35" ca="1" si="0">EDATE(B22,1)</f>
        <v>44034</v>
      </c>
      <c r="C23" s="7" t="s">
        <v>4</v>
      </c>
      <c r="D23" s="13" t="e">
        <f>(C18*0.1)/12</f>
        <v>#REF!</v>
      </c>
      <c r="E23" s="12" t="e">
        <f t="shared" ref="E23:E35" si="1">E22-D23</f>
        <v>#REF!</v>
      </c>
    </row>
    <row r="24" spans="1:5">
      <c r="A24" s="7">
        <v>3</v>
      </c>
      <c r="B24" s="10">
        <f t="shared" ca="1" si="0"/>
        <v>44065</v>
      </c>
      <c r="C24" s="7" t="s">
        <v>5</v>
      </c>
      <c r="D24" s="13" t="e">
        <f>D23</f>
        <v>#REF!</v>
      </c>
      <c r="E24" s="12" t="e">
        <f t="shared" si="1"/>
        <v>#REF!</v>
      </c>
    </row>
    <row r="25" spans="1:5">
      <c r="A25" s="8">
        <v>4</v>
      </c>
      <c r="B25" s="10">
        <f t="shared" ca="1" si="0"/>
        <v>44096</v>
      </c>
      <c r="C25" s="7" t="s">
        <v>6</v>
      </c>
      <c r="D25" s="13" t="e">
        <f t="shared" ref="D25:D34" si="2">D24</f>
        <v>#REF!</v>
      </c>
      <c r="E25" s="12" t="e">
        <f t="shared" si="1"/>
        <v>#REF!</v>
      </c>
    </row>
    <row r="26" spans="1:5">
      <c r="A26" s="7">
        <v>5</v>
      </c>
      <c r="B26" s="10">
        <f t="shared" ca="1" si="0"/>
        <v>44126</v>
      </c>
      <c r="C26" s="7" t="s">
        <v>7</v>
      </c>
      <c r="D26" s="13" t="e">
        <f t="shared" si="2"/>
        <v>#REF!</v>
      </c>
      <c r="E26" s="12" t="e">
        <f t="shared" si="1"/>
        <v>#REF!</v>
      </c>
    </row>
    <row r="27" spans="1:5">
      <c r="A27" s="7">
        <v>6</v>
      </c>
      <c r="B27" s="10">
        <f t="shared" ca="1" si="0"/>
        <v>44157</v>
      </c>
      <c r="C27" s="7" t="s">
        <v>8</v>
      </c>
      <c r="D27" s="13" t="e">
        <f t="shared" si="2"/>
        <v>#REF!</v>
      </c>
      <c r="E27" s="12" t="e">
        <f t="shared" si="1"/>
        <v>#REF!</v>
      </c>
    </row>
    <row r="28" spans="1:5">
      <c r="A28" s="8">
        <v>7</v>
      </c>
      <c r="B28" s="10">
        <f t="shared" ca="1" si="0"/>
        <v>44187</v>
      </c>
      <c r="C28" s="7" t="s">
        <v>9</v>
      </c>
      <c r="D28" s="13" t="e">
        <f t="shared" si="2"/>
        <v>#REF!</v>
      </c>
      <c r="E28" s="12" t="e">
        <f t="shared" si="1"/>
        <v>#REF!</v>
      </c>
    </row>
    <row r="29" spans="1:5">
      <c r="A29" s="7">
        <v>8</v>
      </c>
      <c r="B29" s="10">
        <f t="shared" ca="1" si="0"/>
        <v>44218</v>
      </c>
      <c r="C29" s="7" t="s">
        <v>10</v>
      </c>
      <c r="D29" s="13" t="e">
        <f t="shared" si="2"/>
        <v>#REF!</v>
      </c>
      <c r="E29" s="12" t="e">
        <f t="shared" si="1"/>
        <v>#REF!</v>
      </c>
    </row>
    <row r="30" spans="1:5">
      <c r="A30" s="7">
        <v>9</v>
      </c>
      <c r="B30" s="10">
        <f t="shared" ca="1" si="0"/>
        <v>44249</v>
      </c>
      <c r="C30" s="7" t="s">
        <v>11</v>
      </c>
      <c r="D30" s="13" t="e">
        <f t="shared" si="2"/>
        <v>#REF!</v>
      </c>
      <c r="E30" s="12" t="e">
        <f t="shared" si="1"/>
        <v>#REF!</v>
      </c>
    </row>
    <row r="31" spans="1:5">
      <c r="A31" s="8">
        <v>10</v>
      </c>
      <c r="B31" s="10">
        <f t="shared" ca="1" si="0"/>
        <v>44277</v>
      </c>
      <c r="C31" s="7" t="s">
        <v>12</v>
      </c>
      <c r="D31" s="13" t="e">
        <f t="shared" si="2"/>
        <v>#REF!</v>
      </c>
      <c r="E31" s="12" t="e">
        <f t="shared" si="1"/>
        <v>#REF!</v>
      </c>
    </row>
    <row r="32" spans="1:5">
      <c r="A32" s="7">
        <v>11</v>
      </c>
      <c r="B32" s="10">
        <f t="shared" ca="1" si="0"/>
        <v>44308</v>
      </c>
      <c r="C32" s="7" t="s">
        <v>13</v>
      </c>
      <c r="D32" s="13" t="e">
        <f t="shared" si="2"/>
        <v>#REF!</v>
      </c>
      <c r="E32" s="12" t="e">
        <f t="shared" si="1"/>
        <v>#REF!</v>
      </c>
    </row>
    <row r="33" spans="1:5">
      <c r="A33" s="7">
        <v>12</v>
      </c>
      <c r="B33" s="10">
        <f t="shared" ca="1" si="0"/>
        <v>44338</v>
      </c>
      <c r="C33" s="7" t="s">
        <v>14</v>
      </c>
      <c r="D33" s="13" t="e">
        <f t="shared" si="2"/>
        <v>#REF!</v>
      </c>
      <c r="E33" s="12" t="e">
        <f t="shared" si="1"/>
        <v>#REF!</v>
      </c>
    </row>
    <row r="34" spans="1:5">
      <c r="A34" s="8">
        <v>13</v>
      </c>
      <c r="B34" s="10">
        <f t="shared" ca="1" si="0"/>
        <v>44369</v>
      </c>
      <c r="C34" s="7" t="s">
        <v>15</v>
      </c>
      <c r="D34" s="13" t="e">
        <f t="shared" si="2"/>
        <v>#REF!</v>
      </c>
      <c r="E34" s="12" t="e">
        <f t="shared" si="1"/>
        <v>#REF!</v>
      </c>
    </row>
    <row r="35" spans="1:5">
      <c r="A35" s="14">
        <v>14</v>
      </c>
      <c r="B35" s="15">
        <f t="shared" ca="1" si="0"/>
        <v>44399</v>
      </c>
      <c r="C35" s="14" t="s">
        <v>39</v>
      </c>
      <c r="D35" s="16" t="e">
        <f>C18*0.8</f>
        <v>#REF!</v>
      </c>
      <c r="E35" s="36" t="e">
        <f t="shared" si="1"/>
        <v>#REF!</v>
      </c>
    </row>
    <row r="36" spans="1:5">
      <c r="A36" s="17"/>
      <c r="B36" s="18"/>
      <c r="C36" s="19" t="s">
        <v>16</v>
      </c>
      <c r="D36" s="20" t="e">
        <f>SUM(D21:D35)</f>
        <v>#REF!</v>
      </c>
      <c r="E36" s="17"/>
    </row>
    <row r="37" spans="1:5">
      <c r="A37" s="3" t="s">
        <v>62</v>
      </c>
      <c r="B37" s="27"/>
      <c r="C37" s="28"/>
      <c r="D37" s="29"/>
      <c r="E37" s="30"/>
    </row>
    <row r="38" spans="1:5">
      <c r="A38" s="4" t="s">
        <v>69</v>
      </c>
      <c r="B38" s="30"/>
      <c r="C38" s="28"/>
      <c r="D38" s="29"/>
      <c r="E38" s="30"/>
    </row>
    <row r="39" spans="1:5">
      <c r="A39" s="4" t="s">
        <v>70</v>
      </c>
      <c r="B39" s="30"/>
      <c r="C39" s="28"/>
      <c r="D39" s="29"/>
      <c r="E39" s="30"/>
    </row>
    <row r="40" spans="1:5">
      <c r="A40" s="4" t="s">
        <v>88</v>
      </c>
      <c r="B40" s="30"/>
      <c r="C40" s="28"/>
      <c r="D40" s="30"/>
      <c r="E40" s="30"/>
    </row>
    <row r="41" spans="1:5">
      <c r="A41" s="4" t="s">
        <v>74</v>
      </c>
      <c r="B41" s="30"/>
      <c r="C41" s="28"/>
      <c r="D41" s="30"/>
      <c r="E41" s="30"/>
    </row>
    <row r="42" spans="1:5">
      <c r="A42" s="4" t="s">
        <v>63</v>
      </c>
      <c r="B42" s="30"/>
      <c r="C42" s="28"/>
      <c r="D42" s="30"/>
      <c r="E42" s="30"/>
    </row>
    <row r="44" spans="1:5">
      <c r="A44" s="1" t="s">
        <v>17</v>
      </c>
    </row>
    <row r="46" spans="1:5">
      <c r="A46" s="5"/>
      <c r="D46" s="5"/>
    </row>
    <row r="47" spans="1:5">
      <c r="A47" s="2" t="s">
        <v>18</v>
      </c>
      <c r="D47" s="2" t="s">
        <v>18</v>
      </c>
    </row>
  </sheetData>
  <sheetProtection algorithmName="SHA-512" hashValue="gceGP4kPQ6+8KdEJ7ayPNEl3Evurr45rpoDCWncv0/vpQL6OXnhSyVq6Er2Mg41bNPCV+cYn+YCQJuOWPDtxjQ==" saltValue="BUgNKalDh0X++CijpAVVvQ==" spinCount="100000" sheet="1" selectLockedCells="1"/>
  <mergeCells count="6">
    <mergeCell ref="B9:D9"/>
    <mergeCell ref="E1:E2"/>
    <mergeCell ref="B5:D5"/>
    <mergeCell ref="B6:D6"/>
    <mergeCell ref="B7:D7"/>
    <mergeCell ref="B8:D8"/>
  </mergeCells>
  <hyperlinks>
    <hyperlink ref="B1" location="'DATA SHEET'!A1" display="HIGHLANDS PRIME, INC." xr:uid="{00000000-0004-0000-0500-000000000000}"/>
  </hyperlinks>
  <printOptions horizontalCentered="1"/>
  <pageMargins left="0.7" right="0.7" top="1" bottom="0.5" header="0.3" footer="0.3"/>
  <pageSetup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6" tint="-0.499984740745262"/>
    <pageSetUpPr fitToPage="1"/>
  </sheetPr>
  <dimension ref="A1:E47"/>
  <sheetViews>
    <sheetView showGridLines="0" workbookViewId="0">
      <selection activeCell="B17" sqref="B17"/>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1" customFormat="1" ht="12.75" customHeight="1">
      <c r="B1" s="42" t="s">
        <v>35</v>
      </c>
      <c r="C1" s="43"/>
      <c r="E1" s="425" t="s">
        <v>66</v>
      </c>
    </row>
    <row r="2" spans="1:5" s="41" customFormat="1">
      <c r="B2" s="44" t="s">
        <v>54</v>
      </c>
      <c r="C2" s="43"/>
      <c r="E2" s="425"/>
    </row>
    <row r="3" spans="1:5" s="41" customFormat="1">
      <c r="B3" s="44" t="s">
        <v>36</v>
      </c>
      <c r="C3" s="43"/>
    </row>
    <row r="4" spans="1:5" s="41" customFormat="1">
      <c r="C4" s="43"/>
    </row>
    <row r="5" spans="1:5" s="41" customFormat="1">
      <c r="A5" s="45" t="s">
        <v>0</v>
      </c>
      <c r="B5" s="426" t="str">
        <f>'DATA SHEET'!D10</f>
        <v xml:space="preserve"> </v>
      </c>
      <c r="C5" s="426"/>
      <c r="D5" s="427"/>
    </row>
    <row r="6" spans="1:5" s="41" customFormat="1">
      <c r="A6" s="46" t="s">
        <v>31</v>
      </c>
      <c r="B6" s="428" t="e">
        <f>VLOOKUP('DATA SHEET'!D11,#REF!, 1, FALSE)</f>
        <v>#REF!</v>
      </c>
      <c r="C6" s="428"/>
      <c r="D6" s="429"/>
    </row>
    <row r="7" spans="1:5" s="41" customFormat="1">
      <c r="A7" s="46" t="s">
        <v>37</v>
      </c>
      <c r="B7" s="430" t="e">
        <f>VLOOKUP('DATA SHEET'!D11,#REF!, 3, FALSE)</f>
        <v>#REF!</v>
      </c>
      <c r="C7" s="430"/>
      <c r="D7" s="431"/>
    </row>
    <row r="8" spans="1:5" s="41" customFormat="1">
      <c r="A8" s="46" t="s">
        <v>57</v>
      </c>
      <c r="B8" s="432" t="e">
        <f>VLOOKUP('DATA SHEET'!D11,#REF!, 5, FALSE)</f>
        <v>#REF!</v>
      </c>
      <c r="C8" s="432"/>
      <c r="D8" s="433"/>
    </row>
    <row r="9" spans="1:5" s="41" customFormat="1">
      <c r="A9" s="47" t="s">
        <v>33</v>
      </c>
      <c r="B9" s="423" t="s">
        <v>75</v>
      </c>
      <c r="C9" s="423"/>
      <c r="D9" s="424"/>
    </row>
    <row r="10" spans="1:5" s="41" customFormat="1">
      <c r="C10" s="43"/>
    </row>
    <row r="11" spans="1:5" s="41" customFormat="1">
      <c r="A11" s="44" t="s">
        <v>55</v>
      </c>
      <c r="C11" s="43"/>
    </row>
    <row r="12" spans="1:5" s="41" customFormat="1">
      <c r="A12" s="41" t="s">
        <v>76</v>
      </c>
      <c r="C12" s="48" t="e">
        <f>B8</f>
        <v>#REF!</v>
      </c>
      <c r="D12" s="43"/>
    </row>
    <row r="13" spans="1:5">
      <c r="A13" s="1" t="s">
        <v>59</v>
      </c>
      <c r="C13" s="24">
        <v>750000</v>
      </c>
      <c r="D13" s="2"/>
    </row>
    <row r="14" spans="1:5">
      <c r="C14" s="77" t="e">
        <f>C12-C13</f>
        <v>#REF!</v>
      </c>
      <c r="D14" s="2"/>
    </row>
    <row r="15" spans="1:5">
      <c r="A15" s="1" t="s">
        <v>116</v>
      </c>
      <c r="B15" s="49">
        <v>0.01</v>
      </c>
      <c r="C15" s="24" t="e">
        <f>C14*B15</f>
        <v>#REF!</v>
      </c>
      <c r="D15" s="2"/>
    </row>
    <row r="16" spans="1:5">
      <c r="C16" s="77" t="e">
        <f>C14-C15</f>
        <v>#REF!</v>
      </c>
      <c r="D16" s="2"/>
    </row>
    <row r="17" spans="1:5" s="41" customFormat="1">
      <c r="A17" s="41" t="s">
        <v>71</v>
      </c>
      <c r="B17" s="49">
        <v>3.5000000000000003E-2</v>
      </c>
      <c r="C17" s="50" t="e">
        <f>IF(B17&lt;=3.5%,C16*B17,"BEYOND MAX DISC.")</f>
        <v>#REF!</v>
      </c>
      <c r="D17" s="43"/>
    </row>
    <row r="18" spans="1:5" ht="15" thickBot="1">
      <c r="A18" s="6" t="s">
        <v>77</v>
      </c>
      <c r="B18" s="6"/>
      <c r="C18" s="25" t="e">
        <f>C16-C17</f>
        <v>#REF!</v>
      </c>
      <c r="D18" s="2"/>
    </row>
    <row r="19" spans="1:5" ht="15" thickTop="1"/>
    <row r="20" spans="1:5">
      <c r="A20" s="9" t="s">
        <v>34</v>
      </c>
      <c r="B20" s="9" t="s">
        <v>32</v>
      </c>
      <c r="C20" s="9" t="s">
        <v>2</v>
      </c>
      <c r="D20" s="9" t="s">
        <v>3</v>
      </c>
      <c r="E20" s="9" t="s">
        <v>67</v>
      </c>
    </row>
    <row r="21" spans="1:5">
      <c r="A21" s="8">
        <v>0</v>
      </c>
      <c r="B21" s="10">
        <f ca="1">'DATA SHEET'!D9</f>
        <v>43973</v>
      </c>
      <c r="C21" s="8" t="s">
        <v>38</v>
      </c>
      <c r="D21" s="11">
        <v>100000</v>
      </c>
      <c r="E21" s="12" t="e">
        <f>C18-D21</f>
        <v>#REF!</v>
      </c>
    </row>
    <row r="22" spans="1:5">
      <c r="A22" s="7">
        <v>1</v>
      </c>
      <c r="B22" s="10">
        <f ca="1">EDATE(B21,1)</f>
        <v>44004</v>
      </c>
      <c r="C22" s="8" t="s">
        <v>68</v>
      </c>
      <c r="D22" s="11" t="e">
        <f>(C18*0.1)-D21</f>
        <v>#REF!</v>
      </c>
      <c r="E22" s="12" t="e">
        <f>E21-D22</f>
        <v>#REF!</v>
      </c>
    </row>
    <row r="23" spans="1:5">
      <c r="A23" s="7">
        <v>2</v>
      </c>
      <c r="B23" s="10">
        <f t="shared" ref="B23:B35" ca="1" si="0">EDATE(B22,1)</f>
        <v>44034</v>
      </c>
      <c r="C23" s="7" t="s">
        <v>4</v>
      </c>
      <c r="D23" s="13" t="e">
        <f>(C18*0.1)/12</f>
        <v>#REF!</v>
      </c>
      <c r="E23" s="12" t="e">
        <f t="shared" ref="E23:E35" si="1">E22-D23</f>
        <v>#REF!</v>
      </c>
    </row>
    <row r="24" spans="1:5">
      <c r="A24" s="7">
        <v>3</v>
      </c>
      <c r="B24" s="10">
        <f t="shared" ca="1" si="0"/>
        <v>44065</v>
      </c>
      <c r="C24" s="7" t="s">
        <v>5</v>
      </c>
      <c r="D24" s="13" t="e">
        <f>D23</f>
        <v>#REF!</v>
      </c>
      <c r="E24" s="12" t="e">
        <f t="shared" si="1"/>
        <v>#REF!</v>
      </c>
    </row>
    <row r="25" spans="1:5">
      <c r="A25" s="7">
        <v>4</v>
      </c>
      <c r="B25" s="10">
        <f t="shared" ca="1" si="0"/>
        <v>44096</v>
      </c>
      <c r="C25" s="7" t="s">
        <v>6</v>
      </c>
      <c r="D25" s="13" t="e">
        <f t="shared" ref="D25:D34" si="2">D24</f>
        <v>#REF!</v>
      </c>
      <c r="E25" s="12" t="e">
        <f t="shared" si="1"/>
        <v>#REF!</v>
      </c>
    </row>
    <row r="26" spans="1:5">
      <c r="A26" s="7">
        <v>5</v>
      </c>
      <c r="B26" s="10">
        <f t="shared" ca="1" si="0"/>
        <v>44126</v>
      </c>
      <c r="C26" s="7" t="s">
        <v>7</v>
      </c>
      <c r="D26" s="13" t="e">
        <f t="shared" si="2"/>
        <v>#REF!</v>
      </c>
      <c r="E26" s="12" t="e">
        <f t="shared" si="1"/>
        <v>#REF!</v>
      </c>
    </row>
    <row r="27" spans="1:5">
      <c r="A27" s="7">
        <v>6</v>
      </c>
      <c r="B27" s="10">
        <f t="shared" ca="1" si="0"/>
        <v>44157</v>
      </c>
      <c r="C27" s="7" t="s">
        <v>8</v>
      </c>
      <c r="D27" s="13" t="e">
        <f t="shared" si="2"/>
        <v>#REF!</v>
      </c>
      <c r="E27" s="12" t="e">
        <f t="shared" si="1"/>
        <v>#REF!</v>
      </c>
    </row>
    <row r="28" spans="1:5">
      <c r="A28" s="7">
        <v>7</v>
      </c>
      <c r="B28" s="10">
        <f t="shared" ca="1" si="0"/>
        <v>44187</v>
      </c>
      <c r="C28" s="7" t="s">
        <v>9</v>
      </c>
      <c r="D28" s="13" t="e">
        <f t="shared" si="2"/>
        <v>#REF!</v>
      </c>
      <c r="E28" s="12" t="e">
        <f t="shared" si="1"/>
        <v>#REF!</v>
      </c>
    </row>
    <row r="29" spans="1:5">
      <c r="A29" s="7">
        <v>8</v>
      </c>
      <c r="B29" s="10">
        <f t="shared" ca="1" si="0"/>
        <v>44218</v>
      </c>
      <c r="C29" s="7" t="s">
        <v>10</v>
      </c>
      <c r="D29" s="13" t="e">
        <f t="shared" si="2"/>
        <v>#REF!</v>
      </c>
      <c r="E29" s="12" t="e">
        <f t="shared" si="1"/>
        <v>#REF!</v>
      </c>
    </row>
    <row r="30" spans="1:5">
      <c r="A30" s="7">
        <v>9</v>
      </c>
      <c r="B30" s="10">
        <f t="shared" ca="1" si="0"/>
        <v>44249</v>
      </c>
      <c r="C30" s="7" t="s">
        <v>11</v>
      </c>
      <c r="D30" s="13" t="e">
        <f t="shared" si="2"/>
        <v>#REF!</v>
      </c>
      <c r="E30" s="12" t="e">
        <f t="shared" si="1"/>
        <v>#REF!</v>
      </c>
    </row>
    <row r="31" spans="1:5">
      <c r="A31" s="7">
        <v>10</v>
      </c>
      <c r="B31" s="10">
        <f t="shared" ca="1" si="0"/>
        <v>44277</v>
      </c>
      <c r="C31" s="7" t="s">
        <v>12</v>
      </c>
      <c r="D31" s="13" t="e">
        <f t="shared" si="2"/>
        <v>#REF!</v>
      </c>
      <c r="E31" s="12" t="e">
        <f t="shared" si="1"/>
        <v>#REF!</v>
      </c>
    </row>
    <row r="32" spans="1:5">
      <c r="A32" s="7">
        <v>11</v>
      </c>
      <c r="B32" s="10">
        <f t="shared" ca="1" si="0"/>
        <v>44308</v>
      </c>
      <c r="C32" s="7" t="s">
        <v>13</v>
      </c>
      <c r="D32" s="13" t="e">
        <f t="shared" si="2"/>
        <v>#REF!</v>
      </c>
      <c r="E32" s="12" t="e">
        <f t="shared" si="1"/>
        <v>#REF!</v>
      </c>
    </row>
    <row r="33" spans="1:5">
      <c r="A33" s="7">
        <v>12</v>
      </c>
      <c r="B33" s="10">
        <f t="shared" ca="1" si="0"/>
        <v>44338</v>
      </c>
      <c r="C33" s="7" t="s">
        <v>14</v>
      </c>
      <c r="D33" s="13" t="e">
        <f t="shared" si="2"/>
        <v>#REF!</v>
      </c>
      <c r="E33" s="12" t="e">
        <f t="shared" si="1"/>
        <v>#REF!</v>
      </c>
    </row>
    <row r="34" spans="1:5">
      <c r="A34" s="7">
        <v>13</v>
      </c>
      <c r="B34" s="10">
        <f t="shared" ca="1" si="0"/>
        <v>44369</v>
      </c>
      <c r="C34" s="7" t="s">
        <v>15</v>
      </c>
      <c r="D34" s="13" t="e">
        <f t="shared" si="2"/>
        <v>#REF!</v>
      </c>
      <c r="E34" s="12" t="e">
        <f t="shared" si="1"/>
        <v>#REF!</v>
      </c>
    </row>
    <row r="35" spans="1:5">
      <c r="A35" s="14">
        <v>14</v>
      </c>
      <c r="B35" s="15">
        <f t="shared" ca="1" si="0"/>
        <v>44399</v>
      </c>
      <c r="C35" s="14" t="s">
        <v>39</v>
      </c>
      <c r="D35" s="16" t="e">
        <f>C18*0.8</f>
        <v>#REF!</v>
      </c>
      <c r="E35" s="36" t="e">
        <f t="shared" si="1"/>
        <v>#REF!</v>
      </c>
    </row>
    <row r="36" spans="1:5">
      <c r="A36" s="17"/>
      <c r="B36" s="18"/>
      <c r="C36" s="19" t="s">
        <v>16</v>
      </c>
      <c r="D36" s="20" t="e">
        <f>SUM(D21:D35)</f>
        <v>#REF!</v>
      </c>
      <c r="E36" s="17"/>
    </row>
    <row r="37" spans="1:5">
      <c r="A37" s="3" t="s">
        <v>62</v>
      </c>
      <c r="B37" s="27"/>
      <c r="C37" s="28"/>
      <c r="D37" s="29"/>
      <c r="E37" s="30"/>
    </row>
    <row r="38" spans="1:5">
      <c r="A38" s="4" t="s">
        <v>69</v>
      </c>
      <c r="B38" s="30"/>
      <c r="C38" s="28"/>
      <c r="D38" s="29"/>
      <c r="E38" s="30"/>
    </row>
    <row r="39" spans="1:5">
      <c r="A39" s="4" t="s">
        <v>70</v>
      </c>
      <c r="B39" s="30"/>
      <c r="C39" s="28"/>
      <c r="D39" s="29"/>
      <c r="E39" s="30"/>
    </row>
    <row r="40" spans="1:5">
      <c r="A40" s="4" t="s">
        <v>88</v>
      </c>
      <c r="B40" s="30"/>
      <c r="C40" s="28"/>
      <c r="D40" s="30"/>
      <c r="E40" s="30"/>
    </row>
    <row r="41" spans="1:5">
      <c r="A41" s="4" t="s">
        <v>74</v>
      </c>
      <c r="B41" s="30"/>
      <c r="C41" s="28"/>
      <c r="D41" s="30"/>
      <c r="E41" s="30"/>
    </row>
    <row r="42" spans="1:5">
      <c r="A42" s="4" t="s">
        <v>63</v>
      </c>
      <c r="B42" s="30"/>
      <c r="C42" s="28"/>
      <c r="D42" s="30"/>
      <c r="E42" s="30"/>
    </row>
    <row r="44" spans="1:5">
      <c r="A44" s="1" t="s">
        <v>17</v>
      </c>
    </row>
    <row r="46" spans="1:5">
      <c r="A46" s="5"/>
      <c r="D46" s="5"/>
    </row>
    <row r="47" spans="1:5">
      <c r="A47" s="2" t="s">
        <v>18</v>
      </c>
      <c r="D47" s="2" t="s">
        <v>18</v>
      </c>
    </row>
  </sheetData>
  <sheetProtection algorithmName="SHA-512" hashValue="sHeUviLGfBSSUlXxH+l9LBap/D9wAGEyjPBAVHtPD7fWzC4T+IbA7OBWtQgTB+KH/HMIAT+ma8AxfGmaFtPN0Q==" saltValue="A/WruhqvCyQ1P0XBWDBP3w==" spinCount="100000" sheet="1" selectLockedCells="1"/>
  <mergeCells count="6">
    <mergeCell ref="B9:D9"/>
    <mergeCell ref="E1:E2"/>
    <mergeCell ref="B5:D5"/>
    <mergeCell ref="B6:D6"/>
    <mergeCell ref="B7:D7"/>
    <mergeCell ref="B8:D8"/>
  </mergeCells>
  <hyperlinks>
    <hyperlink ref="B1" location="'DATA SHEET'!A1" display="HIGHLANDS PRIME, INC." xr:uid="{00000000-0004-0000-0600-000000000000}"/>
  </hyperlinks>
  <printOptions horizontalCentered="1"/>
  <pageMargins left="0.7" right="0.7" top="1" bottom="0.5" header="0.3" footer="0.3"/>
  <pageSetup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C000"/>
  </sheetPr>
  <dimension ref="A1:E59"/>
  <sheetViews>
    <sheetView showGridLines="0" topLeftCell="A3" workbookViewId="0">
      <selection activeCell="B15" sqref="B15"/>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1" customFormat="1" ht="12.75" customHeight="1">
      <c r="B1" s="42" t="s">
        <v>35</v>
      </c>
      <c r="C1" s="43"/>
      <c r="E1" s="425" t="s">
        <v>66</v>
      </c>
    </row>
    <row r="2" spans="1:5" s="41" customFormat="1">
      <c r="B2" s="44" t="s">
        <v>54</v>
      </c>
      <c r="C2" s="43"/>
      <c r="E2" s="425"/>
    </row>
    <row r="3" spans="1:5" s="41" customFormat="1">
      <c r="B3" s="44" t="s">
        <v>36</v>
      </c>
      <c r="C3" s="43"/>
    </row>
    <row r="4" spans="1:5" s="41" customFormat="1">
      <c r="C4" s="43"/>
    </row>
    <row r="5" spans="1:5" s="41" customFormat="1">
      <c r="A5" s="45" t="s">
        <v>0</v>
      </c>
      <c r="B5" s="426" t="str">
        <f>'DATA SHEET'!D10</f>
        <v xml:space="preserve"> </v>
      </c>
      <c r="C5" s="426"/>
      <c r="D5" s="427"/>
    </row>
    <row r="6" spans="1:5" s="41" customFormat="1">
      <c r="A6" s="46" t="s">
        <v>31</v>
      </c>
      <c r="B6" s="428" t="e">
        <f>VLOOKUP('DATA SHEET'!D11,#REF!, 1, FALSE)</f>
        <v>#REF!</v>
      </c>
      <c r="C6" s="428"/>
      <c r="D6" s="429"/>
    </row>
    <row r="7" spans="1:5" s="41" customFormat="1">
      <c r="A7" s="46" t="s">
        <v>37</v>
      </c>
      <c r="B7" s="430" t="e">
        <f>VLOOKUP('DATA SHEET'!D11,#REF!, 3, FALSE)</f>
        <v>#REF!</v>
      </c>
      <c r="C7" s="430"/>
      <c r="D7" s="431"/>
    </row>
    <row r="8" spans="1:5" s="41" customFormat="1">
      <c r="A8" s="46" t="s">
        <v>57</v>
      </c>
      <c r="B8" s="432" t="e">
        <f>VLOOKUP('DATA SHEET'!D11,#REF!, 5, FALSE)</f>
        <v>#REF!</v>
      </c>
      <c r="C8" s="432"/>
      <c r="D8" s="433"/>
    </row>
    <row r="9" spans="1:5" s="41" customFormat="1">
      <c r="A9" s="47" t="s">
        <v>33</v>
      </c>
      <c r="B9" s="423" t="s">
        <v>89</v>
      </c>
      <c r="C9" s="423"/>
      <c r="D9" s="424"/>
    </row>
    <row r="10" spans="1:5" s="41" customFormat="1">
      <c r="C10" s="43"/>
    </row>
    <row r="11" spans="1:5" s="41" customFormat="1">
      <c r="A11" s="44" t="s">
        <v>55</v>
      </c>
      <c r="C11" s="43"/>
    </row>
    <row r="12" spans="1:5" s="41" customFormat="1">
      <c r="A12" s="41" t="s">
        <v>61</v>
      </c>
      <c r="C12" s="48" t="e">
        <f>B8-750000</f>
        <v>#REF!</v>
      </c>
      <c r="D12" s="43"/>
    </row>
    <row r="13" spans="1:5" s="41" customFormat="1" hidden="1">
      <c r="A13" s="41" t="s">
        <v>116</v>
      </c>
      <c r="B13" s="49">
        <v>0</v>
      </c>
      <c r="C13" s="50" t="e">
        <f>C12*B13</f>
        <v>#REF!</v>
      </c>
      <c r="D13" s="43"/>
    </row>
    <row r="14" spans="1:5" s="41" customFormat="1" hidden="1">
      <c r="C14" s="48" t="e">
        <f>C12-C13</f>
        <v>#REF!</v>
      </c>
      <c r="D14" s="43"/>
    </row>
    <row r="15" spans="1:5" s="41" customFormat="1">
      <c r="A15" s="41" t="s">
        <v>71</v>
      </c>
      <c r="B15" s="49">
        <v>0.05</v>
      </c>
      <c r="C15" s="50" t="e">
        <f>IF(B15&lt;=5%,C14*B15,"BEYOND MAX DISC.")</f>
        <v>#REF!</v>
      </c>
      <c r="D15" s="43"/>
    </row>
    <row r="16" spans="1:5">
      <c r="C16" s="23" t="e">
        <f>C14-C15</f>
        <v>#REF!</v>
      </c>
      <c r="D16" s="97"/>
    </row>
    <row r="17" spans="1:5">
      <c r="A17" s="1" t="s">
        <v>56</v>
      </c>
      <c r="C17" s="24">
        <v>750000</v>
      </c>
      <c r="D17" s="2"/>
    </row>
    <row r="18" spans="1:5" ht="15" thickBot="1">
      <c r="A18" s="6" t="s">
        <v>58</v>
      </c>
      <c r="B18" s="6"/>
      <c r="C18" s="25" t="e">
        <f>C16+C17</f>
        <v>#REF!</v>
      </c>
      <c r="D18" s="2"/>
    </row>
    <row r="19" spans="1:5" ht="15" thickTop="1"/>
    <row r="20" spans="1:5">
      <c r="A20" s="9" t="s">
        <v>34</v>
      </c>
      <c r="B20" s="9" t="s">
        <v>32</v>
      </c>
      <c r="C20" s="9" t="s">
        <v>2</v>
      </c>
      <c r="D20" s="9" t="s">
        <v>3</v>
      </c>
      <c r="E20" s="9" t="s">
        <v>67</v>
      </c>
    </row>
    <row r="21" spans="1:5">
      <c r="A21" s="8">
        <v>0</v>
      </c>
      <c r="B21" s="10">
        <f ca="1">'DATA SHEET'!D9</f>
        <v>43973</v>
      </c>
      <c r="C21" s="8" t="s">
        <v>38</v>
      </c>
      <c r="D21" s="11">
        <v>100000</v>
      </c>
      <c r="E21" s="12" t="e">
        <f>C18-D21</f>
        <v>#REF!</v>
      </c>
    </row>
    <row r="22" spans="1:5">
      <c r="A22" s="8">
        <v>1</v>
      </c>
      <c r="B22" s="10">
        <f ca="1">EDATE(B21,1)</f>
        <v>44004</v>
      </c>
      <c r="C22" s="8" t="s">
        <v>68</v>
      </c>
      <c r="D22" s="11" t="e">
        <f>(C18*0.5)-D21</f>
        <v>#REF!</v>
      </c>
      <c r="E22" s="12" t="e">
        <f>E21-D22</f>
        <v>#REF!</v>
      </c>
    </row>
    <row r="23" spans="1:5">
      <c r="A23" s="8">
        <v>2</v>
      </c>
      <c r="B23" s="10">
        <f t="shared" ref="B23:B47" ca="1" si="0">EDATE(B22,1)</f>
        <v>44034</v>
      </c>
      <c r="C23" s="8" t="s">
        <v>4</v>
      </c>
      <c r="D23" s="11" t="e">
        <f>(C18*0.1)/24</f>
        <v>#REF!</v>
      </c>
      <c r="E23" s="12" t="e">
        <f t="shared" ref="E23:E46" si="1">E22-D23</f>
        <v>#REF!</v>
      </c>
    </row>
    <row r="24" spans="1:5">
      <c r="A24" s="8">
        <v>3</v>
      </c>
      <c r="B24" s="10">
        <f t="shared" ca="1" si="0"/>
        <v>44065</v>
      </c>
      <c r="C24" s="8" t="s">
        <v>5</v>
      </c>
      <c r="D24" s="11" t="e">
        <f>D23</f>
        <v>#REF!</v>
      </c>
      <c r="E24" s="12" t="e">
        <f t="shared" si="1"/>
        <v>#REF!</v>
      </c>
    </row>
    <row r="25" spans="1:5">
      <c r="A25" s="8">
        <v>4</v>
      </c>
      <c r="B25" s="10">
        <f t="shared" ca="1" si="0"/>
        <v>44096</v>
      </c>
      <c r="C25" s="8" t="s">
        <v>6</v>
      </c>
      <c r="D25" s="11" t="e">
        <f t="shared" ref="D25:D46" si="2">D24</f>
        <v>#REF!</v>
      </c>
      <c r="E25" s="12" t="e">
        <f t="shared" si="1"/>
        <v>#REF!</v>
      </c>
    </row>
    <row r="26" spans="1:5">
      <c r="A26" s="8">
        <v>5</v>
      </c>
      <c r="B26" s="10">
        <f t="shared" ca="1" si="0"/>
        <v>44126</v>
      </c>
      <c r="C26" s="8" t="s">
        <v>7</v>
      </c>
      <c r="D26" s="11" t="e">
        <f t="shared" si="2"/>
        <v>#REF!</v>
      </c>
      <c r="E26" s="12" t="e">
        <f t="shared" si="1"/>
        <v>#REF!</v>
      </c>
    </row>
    <row r="27" spans="1:5">
      <c r="A27" s="8">
        <v>6</v>
      </c>
      <c r="B27" s="10">
        <f t="shared" ca="1" si="0"/>
        <v>44157</v>
      </c>
      <c r="C27" s="8" t="s">
        <v>8</v>
      </c>
      <c r="D27" s="11" t="e">
        <f t="shared" si="2"/>
        <v>#REF!</v>
      </c>
      <c r="E27" s="12" t="e">
        <f t="shared" si="1"/>
        <v>#REF!</v>
      </c>
    </row>
    <row r="28" spans="1:5">
      <c r="A28" s="8">
        <v>7</v>
      </c>
      <c r="B28" s="10">
        <f t="shared" ca="1" si="0"/>
        <v>44187</v>
      </c>
      <c r="C28" s="8" t="s">
        <v>9</v>
      </c>
      <c r="D28" s="11" t="e">
        <f t="shared" si="2"/>
        <v>#REF!</v>
      </c>
      <c r="E28" s="12" t="e">
        <f t="shared" si="1"/>
        <v>#REF!</v>
      </c>
    </row>
    <row r="29" spans="1:5">
      <c r="A29" s="8">
        <v>8</v>
      </c>
      <c r="B29" s="10">
        <f t="shared" ca="1" si="0"/>
        <v>44218</v>
      </c>
      <c r="C29" s="8" t="s">
        <v>10</v>
      </c>
      <c r="D29" s="11" t="e">
        <f t="shared" si="2"/>
        <v>#REF!</v>
      </c>
      <c r="E29" s="12" t="e">
        <f t="shared" si="1"/>
        <v>#REF!</v>
      </c>
    </row>
    <row r="30" spans="1:5">
      <c r="A30" s="8">
        <v>9</v>
      </c>
      <c r="B30" s="10">
        <f t="shared" ca="1" si="0"/>
        <v>44249</v>
      </c>
      <c r="C30" s="8" t="s">
        <v>11</v>
      </c>
      <c r="D30" s="11" t="e">
        <f t="shared" si="2"/>
        <v>#REF!</v>
      </c>
      <c r="E30" s="12" t="e">
        <f t="shared" si="1"/>
        <v>#REF!</v>
      </c>
    </row>
    <row r="31" spans="1:5">
      <c r="A31" s="8">
        <v>10</v>
      </c>
      <c r="B31" s="10">
        <f t="shared" ca="1" si="0"/>
        <v>44277</v>
      </c>
      <c r="C31" s="8" t="s">
        <v>12</v>
      </c>
      <c r="D31" s="11" t="e">
        <f t="shared" si="2"/>
        <v>#REF!</v>
      </c>
      <c r="E31" s="12" t="e">
        <f t="shared" si="1"/>
        <v>#REF!</v>
      </c>
    </row>
    <row r="32" spans="1:5">
      <c r="A32" s="8">
        <v>11</v>
      </c>
      <c r="B32" s="10">
        <f t="shared" ca="1" si="0"/>
        <v>44308</v>
      </c>
      <c r="C32" s="8" t="s">
        <v>13</v>
      </c>
      <c r="D32" s="11" t="e">
        <f t="shared" si="2"/>
        <v>#REF!</v>
      </c>
      <c r="E32" s="12" t="e">
        <f t="shared" si="1"/>
        <v>#REF!</v>
      </c>
    </row>
    <row r="33" spans="1:5">
      <c r="A33" s="8">
        <v>12</v>
      </c>
      <c r="B33" s="10">
        <f t="shared" ca="1" si="0"/>
        <v>44338</v>
      </c>
      <c r="C33" s="8" t="s">
        <v>14</v>
      </c>
      <c r="D33" s="11" t="e">
        <f t="shared" si="2"/>
        <v>#REF!</v>
      </c>
      <c r="E33" s="12" t="e">
        <f t="shared" si="1"/>
        <v>#REF!</v>
      </c>
    </row>
    <row r="34" spans="1:5">
      <c r="A34" s="8">
        <v>13</v>
      </c>
      <c r="B34" s="10">
        <f t="shared" ca="1" si="0"/>
        <v>44369</v>
      </c>
      <c r="C34" s="8" t="s">
        <v>15</v>
      </c>
      <c r="D34" s="11" t="e">
        <f t="shared" si="2"/>
        <v>#REF!</v>
      </c>
      <c r="E34" s="12" t="e">
        <f t="shared" si="1"/>
        <v>#REF!</v>
      </c>
    </row>
    <row r="35" spans="1:5">
      <c r="A35" s="8">
        <v>14</v>
      </c>
      <c r="B35" s="10">
        <f t="shared" ca="1" si="0"/>
        <v>44399</v>
      </c>
      <c r="C35" s="8" t="s">
        <v>19</v>
      </c>
      <c r="D35" s="11" t="e">
        <f t="shared" si="2"/>
        <v>#REF!</v>
      </c>
      <c r="E35" s="12" t="e">
        <f t="shared" si="1"/>
        <v>#REF!</v>
      </c>
    </row>
    <row r="36" spans="1:5">
      <c r="A36" s="8">
        <v>15</v>
      </c>
      <c r="B36" s="10">
        <f t="shared" ca="1" si="0"/>
        <v>44430</v>
      </c>
      <c r="C36" s="8" t="s">
        <v>20</v>
      </c>
      <c r="D36" s="11" t="e">
        <f t="shared" si="2"/>
        <v>#REF!</v>
      </c>
      <c r="E36" s="12" t="e">
        <f t="shared" si="1"/>
        <v>#REF!</v>
      </c>
    </row>
    <row r="37" spans="1:5">
      <c r="A37" s="8">
        <v>16</v>
      </c>
      <c r="B37" s="10">
        <f t="shared" ca="1" si="0"/>
        <v>44461</v>
      </c>
      <c r="C37" s="8" t="s">
        <v>21</v>
      </c>
      <c r="D37" s="11" t="e">
        <f t="shared" si="2"/>
        <v>#REF!</v>
      </c>
      <c r="E37" s="12" t="e">
        <f t="shared" si="1"/>
        <v>#REF!</v>
      </c>
    </row>
    <row r="38" spans="1:5">
      <c r="A38" s="8">
        <v>17</v>
      </c>
      <c r="B38" s="10">
        <f t="shared" ca="1" si="0"/>
        <v>44491</v>
      </c>
      <c r="C38" s="8" t="s">
        <v>22</v>
      </c>
      <c r="D38" s="11" t="e">
        <f t="shared" si="2"/>
        <v>#REF!</v>
      </c>
      <c r="E38" s="12" t="e">
        <f t="shared" si="1"/>
        <v>#REF!</v>
      </c>
    </row>
    <row r="39" spans="1:5">
      <c r="A39" s="8">
        <v>18</v>
      </c>
      <c r="B39" s="10">
        <f t="shared" ca="1" si="0"/>
        <v>44522</v>
      </c>
      <c r="C39" s="8" t="s">
        <v>23</v>
      </c>
      <c r="D39" s="11" t="e">
        <f t="shared" si="2"/>
        <v>#REF!</v>
      </c>
      <c r="E39" s="12" t="e">
        <f t="shared" si="1"/>
        <v>#REF!</v>
      </c>
    </row>
    <row r="40" spans="1:5">
      <c r="A40" s="8">
        <v>19</v>
      </c>
      <c r="B40" s="10">
        <f t="shared" ca="1" si="0"/>
        <v>44552</v>
      </c>
      <c r="C40" s="8" t="s">
        <v>24</v>
      </c>
      <c r="D40" s="11" t="e">
        <f t="shared" si="2"/>
        <v>#REF!</v>
      </c>
      <c r="E40" s="12" t="e">
        <f t="shared" si="1"/>
        <v>#REF!</v>
      </c>
    </row>
    <row r="41" spans="1:5">
      <c r="A41" s="8">
        <v>20</v>
      </c>
      <c r="B41" s="10">
        <f t="shared" ca="1" si="0"/>
        <v>44583</v>
      </c>
      <c r="C41" s="8" t="s">
        <v>25</v>
      </c>
      <c r="D41" s="11" t="e">
        <f t="shared" si="2"/>
        <v>#REF!</v>
      </c>
      <c r="E41" s="12" t="e">
        <f t="shared" si="1"/>
        <v>#REF!</v>
      </c>
    </row>
    <row r="42" spans="1:5">
      <c r="A42" s="8">
        <v>21</v>
      </c>
      <c r="B42" s="10">
        <f t="shared" ca="1" si="0"/>
        <v>44614</v>
      </c>
      <c r="C42" s="8" t="s">
        <v>26</v>
      </c>
      <c r="D42" s="11" t="e">
        <f t="shared" si="2"/>
        <v>#REF!</v>
      </c>
      <c r="E42" s="12" t="e">
        <f t="shared" si="1"/>
        <v>#REF!</v>
      </c>
    </row>
    <row r="43" spans="1:5">
      <c r="A43" s="8">
        <v>22</v>
      </c>
      <c r="B43" s="10">
        <f t="shared" ca="1" si="0"/>
        <v>44642</v>
      </c>
      <c r="C43" s="8" t="s">
        <v>27</v>
      </c>
      <c r="D43" s="11" t="e">
        <f t="shared" si="2"/>
        <v>#REF!</v>
      </c>
      <c r="E43" s="12" t="e">
        <f t="shared" si="1"/>
        <v>#REF!</v>
      </c>
    </row>
    <row r="44" spans="1:5">
      <c r="A44" s="8">
        <v>23</v>
      </c>
      <c r="B44" s="10">
        <f t="shared" ca="1" si="0"/>
        <v>44673</v>
      </c>
      <c r="C44" s="8" t="s">
        <v>28</v>
      </c>
      <c r="D44" s="11" t="e">
        <f t="shared" si="2"/>
        <v>#REF!</v>
      </c>
      <c r="E44" s="12" t="e">
        <f t="shared" si="1"/>
        <v>#REF!</v>
      </c>
    </row>
    <row r="45" spans="1:5">
      <c r="A45" s="8">
        <v>24</v>
      </c>
      <c r="B45" s="10">
        <f t="shared" ca="1" si="0"/>
        <v>44703</v>
      </c>
      <c r="C45" s="8" t="s">
        <v>29</v>
      </c>
      <c r="D45" s="11" t="e">
        <f t="shared" si="2"/>
        <v>#REF!</v>
      </c>
      <c r="E45" s="12" t="e">
        <f t="shared" si="1"/>
        <v>#REF!</v>
      </c>
    </row>
    <row r="46" spans="1:5">
      <c r="A46" s="8">
        <v>25</v>
      </c>
      <c r="B46" s="10">
        <f t="shared" ca="1" si="0"/>
        <v>44734</v>
      </c>
      <c r="C46" s="8" t="s">
        <v>30</v>
      </c>
      <c r="D46" s="11" t="e">
        <f t="shared" si="2"/>
        <v>#REF!</v>
      </c>
      <c r="E46" s="12" t="e">
        <f t="shared" si="1"/>
        <v>#REF!</v>
      </c>
    </row>
    <row r="47" spans="1:5">
      <c r="A47" s="14">
        <v>26</v>
      </c>
      <c r="B47" s="15">
        <f t="shared" ca="1" si="0"/>
        <v>44764</v>
      </c>
      <c r="C47" s="14" t="s">
        <v>39</v>
      </c>
      <c r="D47" s="16" t="e">
        <f>(C18*0.4)</f>
        <v>#REF!</v>
      </c>
      <c r="E47" s="36" t="e">
        <f>E46-D47</f>
        <v>#REF!</v>
      </c>
    </row>
    <row r="48" spans="1:5">
      <c r="A48" s="17"/>
      <c r="B48" s="18"/>
      <c r="C48" s="19" t="s">
        <v>16</v>
      </c>
      <c r="D48" s="20" t="e">
        <f>SUM(D21:D47)</f>
        <v>#REF!</v>
      </c>
      <c r="E48" s="17"/>
    </row>
    <row r="49" spans="1:5">
      <c r="A49" s="3" t="s">
        <v>62</v>
      </c>
      <c r="B49" s="27"/>
      <c r="C49" s="28"/>
      <c r="D49" s="29"/>
      <c r="E49" s="30"/>
    </row>
    <row r="50" spans="1:5">
      <c r="A50" s="4" t="s">
        <v>69</v>
      </c>
      <c r="B50" s="30"/>
      <c r="C50" s="28"/>
      <c r="D50" s="29"/>
      <c r="E50" s="30"/>
    </row>
    <row r="51" spans="1:5">
      <c r="A51" s="4" t="s">
        <v>70</v>
      </c>
      <c r="B51" s="30"/>
      <c r="C51" s="28"/>
      <c r="D51" s="29"/>
      <c r="E51" s="30"/>
    </row>
    <row r="52" spans="1:5">
      <c r="A52" s="4" t="s">
        <v>88</v>
      </c>
      <c r="B52" s="30"/>
      <c r="C52" s="28"/>
      <c r="D52" s="30"/>
      <c r="E52" s="30"/>
    </row>
    <row r="53" spans="1:5">
      <c r="A53" s="4" t="s">
        <v>74</v>
      </c>
      <c r="B53" s="30"/>
      <c r="C53" s="28"/>
      <c r="D53" s="30"/>
      <c r="E53" s="30"/>
    </row>
    <row r="54" spans="1:5">
      <c r="A54" s="4" t="s">
        <v>63</v>
      </c>
      <c r="B54" s="30"/>
      <c r="C54" s="28"/>
      <c r="D54" s="30"/>
      <c r="E54" s="30"/>
    </row>
    <row r="56" spans="1:5">
      <c r="A56" s="1" t="s">
        <v>17</v>
      </c>
    </row>
    <row r="58" spans="1:5">
      <c r="A58" s="5"/>
      <c r="D58" s="5"/>
    </row>
    <row r="59" spans="1:5">
      <c r="A59" s="2" t="s">
        <v>18</v>
      </c>
      <c r="D59" s="2" t="s">
        <v>18</v>
      </c>
    </row>
  </sheetData>
  <sheetProtection algorithmName="SHA-512" hashValue="myn1dh5fTbuxOKa3RKI4J+AzIJRZgUO3pzwhzHxWWkMhPpUpOyNZsCPErzvtj7+ENkEr54BVCwRtG8A7MyFUEw==" saltValue="Jta9sKU4UdESvMuplnaOOg==" spinCount="100000" sheet="1" selectLockedCells="1"/>
  <mergeCells count="6">
    <mergeCell ref="B9:D9"/>
    <mergeCell ref="E1:E2"/>
    <mergeCell ref="B5:D5"/>
    <mergeCell ref="B6:D6"/>
    <mergeCell ref="B7:D7"/>
    <mergeCell ref="B8:D8"/>
  </mergeCells>
  <hyperlinks>
    <hyperlink ref="B1" location="'DATA SHEET'!A1" display="HIGHLANDS PRIME, INC." xr:uid="{00000000-0004-0000-0700-000000000000}"/>
  </hyperlinks>
  <printOptions horizontalCentered="1"/>
  <pageMargins left="0.7" right="0.7" top="0.75" bottom="0.5" header="0.3" footer="0.3"/>
  <pageSetup scale="90" orientation="portrait" r:id="rId1"/>
  <headerFooter>
    <oddFooter>&amp;L&amp;8A project of HIGHLANDS PRIME, INC. 
Woodridge Place at Tagaytay Highlands,  Tagaytay Highlands, Tagaytay City
HLURB License To Sell No. 22459&amp;RPage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6" tint="-0.249977111117893"/>
  </sheetPr>
  <dimension ref="A1:E59"/>
  <sheetViews>
    <sheetView showGridLines="0" workbookViewId="0">
      <selection activeCell="B17" sqref="B17"/>
    </sheetView>
  </sheetViews>
  <sheetFormatPr baseColWidth="10" defaultColWidth="9.1640625" defaultRowHeight="14"/>
  <cols>
    <col min="1" max="1" width="16.6640625" style="1" customWidth="1"/>
    <col min="2" max="2" width="12.6640625" style="1" customWidth="1"/>
    <col min="3" max="3" width="16.6640625" style="2" customWidth="1"/>
    <col min="4" max="5" width="15.6640625" style="1" customWidth="1"/>
    <col min="6" max="16384" width="9.1640625" style="1"/>
  </cols>
  <sheetData>
    <row r="1" spans="1:5" s="41" customFormat="1" ht="12.75" customHeight="1">
      <c r="B1" s="42" t="s">
        <v>35</v>
      </c>
      <c r="C1" s="43"/>
      <c r="E1" s="425" t="s">
        <v>66</v>
      </c>
    </row>
    <row r="2" spans="1:5" s="41" customFormat="1">
      <c r="B2" s="44" t="s">
        <v>54</v>
      </c>
      <c r="C2" s="43"/>
      <c r="E2" s="425"/>
    </row>
    <row r="3" spans="1:5" s="41" customFormat="1">
      <c r="B3" s="44" t="s">
        <v>36</v>
      </c>
      <c r="C3" s="43"/>
    </row>
    <row r="4" spans="1:5" s="41" customFormat="1">
      <c r="C4" s="43"/>
    </row>
    <row r="5" spans="1:5" s="41" customFormat="1">
      <c r="A5" s="45" t="s">
        <v>0</v>
      </c>
      <c r="B5" s="426" t="str">
        <f>'DATA SHEET'!D10</f>
        <v xml:space="preserve"> </v>
      </c>
      <c r="C5" s="426"/>
      <c r="D5" s="427"/>
    </row>
    <row r="6" spans="1:5" s="41" customFormat="1">
      <c r="A6" s="46" t="s">
        <v>31</v>
      </c>
      <c r="B6" s="428" t="e">
        <f>VLOOKUP('DATA SHEET'!D11,#REF!, 1, FALSE)</f>
        <v>#REF!</v>
      </c>
      <c r="C6" s="428"/>
      <c r="D6" s="429"/>
    </row>
    <row r="7" spans="1:5" s="41" customFormat="1">
      <c r="A7" s="46" t="s">
        <v>37</v>
      </c>
      <c r="B7" s="430" t="e">
        <f>VLOOKUP('DATA SHEET'!D11,#REF!, 3, FALSE)</f>
        <v>#REF!</v>
      </c>
      <c r="C7" s="430"/>
      <c r="D7" s="431"/>
    </row>
    <row r="8" spans="1:5" s="41" customFormat="1">
      <c r="A8" s="46" t="s">
        <v>57</v>
      </c>
      <c r="B8" s="432" t="e">
        <f>VLOOKUP('DATA SHEET'!D11,#REF!, 5, FALSE)</f>
        <v>#REF!</v>
      </c>
      <c r="C8" s="432"/>
      <c r="D8" s="433"/>
    </row>
    <row r="9" spans="1:5" s="41" customFormat="1">
      <c r="A9" s="47" t="s">
        <v>33</v>
      </c>
      <c r="B9" s="423" t="s">
        <v>89</v>
      </c>
      <c r="C9" s="423"/>
      <c r="D9" s="424"/>
    </row>
    <row r="10" spans="1:5" s="41" customFormat="1">
      <c r="C10" s="43"/>
    </row>
    <row r="11" spans="1:5" s="41" customFormat="1">
      <c r="A11" s="44" t="s">
        <v>55</v>
      </c>
      <c r="C11" s="43"/>
    </row>
    <row r="12" spans="1:5" s="41" customFormat="1">
      <c r="A12" s="41" t="s">
        <v>57</v>
      </c>
      <c r="C12" s="48" t="e">
        <f>B8</f>
        <v>#REF!</v>
      </c>
      <c r="D12" s="43"/>
    </row>
    <row r="13" spans="1:5" s="41" customFormat="1">
      <c r="A13" s="41" t="s">
        <v>59</v>
      </c>
      <c r="C13" s="50">
        <v>750000</v>
      </c>
      <c r="D13" s="43"/>
    </row>
    <row r="14" spans="1:5" s="41" customFormat="1">
      <c r="C14" s="48" t="e">
        <f>C12-C13</f>
        <v>#REF!</v>
      </c>
      <c r="D14" s="43"/>
    </row>
    <row r="15" spans="1:5" s="41" customFormat="1" hidden="1">
      <c r="A15" s="41" t="s">
        <v>116</v>
      </c>
      <c r="B15" s="49">
        <v>0</v>
      </c>
      <c r="C15" s="50" t="e">
        <f>C14*B15</f>
        <v>#REF!</v>
      </c>
      <c r="D15" s="43"/>
    </row>
    <row r="16" spans="1:5" s="41" customFormat="1" hidden="1">
      <c r="C16" s="48" t="e">
        <f>C14-C15</f>
        <v>#REF!</v>
      </c>
      <c r="D16" s="43"/>
    </row>
    <row r="17" spans="1:5" s="41" customFormat="1">
      <c r="A17" s="41" t="s">
        <v>71</v>
      </c>
      <c r="B17" s="49">
        <v>0.05</v>
      </c>
      <c r="C17" s="50" t="e">
        <f>IF(B17&lt;=5%,C16*B17,"BEYOND MAX DISC.")</f>
        <v>#REF!</v>
      </c>
      <c r="D17" s="43"/>
    </row>
    <row r="18" spans="1:5" ht="15" thickBot="1">
      <c r="A18" s="6" t="s">
        <v>58</v>
      </c>
      <c r="B18" s="6"/>
      <c r="C18" s="25" t="e">
        <f>C16-C17</f>
        <v>#REF!</v>
      </c>
      <c r="D18" s="2"/>
    </row>
    <row r="19" spans="1:5" ht="15" thickTop="1"/>
    <row r="20" spans="1:5">
      <c r="A20" s="9" t="s">
        <v>34</v>
      </c>
      <c r="B20" s="9" t="s">
        <v>32</v>
      </c>
      <c r="C20" s="9" t="s">
        <v>2</v>
      </c>
      <c r="D20" s="9" t="s">
        <v>3</v>
      </c>
      <c r="E20" s="9" t="s">
        <v>67</v>
      </c>
    </row>
    <row r="21" spans="1:5">
      <c r="A21" s="8">
        <v>0</v>
      </c>
      <c r="B21" s="10">
        <f ca="1">'DATA SHEET'!D9</f>
        <v>43973</v>
      </c>
      <c r="C21" s="8" t="s">
        <v>38</v>
      </c>
      <c r="D21" s="11">
        <v>100000</v>
      </c>
      <c r="E21" s="12" t="e">
        <f>C18-D21</f>
        <v>#REF!</v>
      </c>
    </row>
    <row r="22" spans="1:5">
      <c r="A22" s="8">
        <v>1</v>
      </c>
      <c r="B22" s="10">
        <f ca="1">EDATE(B21,1)</f>
        <v>44004</v>
      </c>
      <c r="C22" s="8" t="s">
        <v>68</v>
      </c>
      <c r="D22" s="11" t="e">
        <f>(C18*0.5)-D21</f>
        <v>#REF!</v>
      </c>
      <c r="E22" s="12" t="e">
        <f>E21-D22</f>
        <v>#REF!</v>
      </c>
    </row>
    <row r="23" spans="1:5">
      <c r="A23" s="8">
        <v>2</v>
      </c>
      <c r="B23" s="10">
        <f t="shared" ref="B23:B47" ca="1" si="0">EDATE(B22,1)</f>
        <v>44034</v>
      </c>
      <c r="C23" s="8" t="s">
        <v>4</v>
      </c>
      <c r="D23" s="11" t="e">
        <f>(C18*0.1)/24</f>
        <v>#REF!</v>
      </c>
      <c r="E23" s="12" t="e">
        <f t="shared" ref="E23:E46" si="1">E22-D23</f>
        <v>#REF!</v>
      </c>
    </row>
    <row r="24" spans="1:5">
      <c r="A24" s="8">
        <v>3</v>
      </c>
      <c r="B24" s="10">
        <f t="shared" ca="1" si="0"/>
        <v>44065</v>
      </c>
      <c r="C24" s="8" t="s">
        <v>5</v>
      </c>
      <c r="D24" s="11" t="e">
        <f>D23</f>
        <v>#REF!</v>
      </c>
      <c r="E24" s="12" t="e">
        <f t="shared" si="1"/>
        <v>#REF!</v>
      </c>
    </row>
    <row r="25" spans="1:5">
      <c r="A25" s="8">
        <v>4</v>
      </c>
      <c r="B25" s="10">
        <f t="shared" ca="1" si="0"/>
        <v>44096</v>
      </c>
      <c r="C25" s="8" t="s">
        <v>6</v>
      </c>
      <c r="D25" s="11" t="e">
        <f t="shared" ref="D25:D46" si="2">D24</f>
        <v>#REF!</v>
      </c>
      <c r="E25" s="12" t="e">
        <f t="shared" si="1"/>
        <v>#REF!</v>
      </c>
    </row>
    <row r="26" spans="1:5">
      <c r="A26" s="8">
        <v>5</v>
      </c>
      <c r="B26" s="10">
        <f t="shared" ca="1" si="0"/>
        <v>44126</v>
      </c>
      <c r="C26" s="8" t="s">
        <v>7</v>
      </c>
      <c r="D26" s="11" t="e">
        <f t="shared" si="2"/>
        <v>#REF!</v>
      </c>
      <c r="E26" s="12" t="e">
        <f t="shared" si="1"/>
        <v>#REF!</v>
      </c>
    </row>
    <row r="27" spans="1:5">
      <c r="A27" s="8">
        <v>6</v>
      </c>
      <c r="B27" s="10">
        <f t="shared" ca="1" si="0"/>
        <v>44157</v>
      </c>
      <c r="C27" s="8" t="s">
        <v>8</v>
      </c>
      <c r="D27" s="11" t="e">
        <f t="shared" si="2"/>
        <v>#REF!</v>
      </c>
      <c r="E27" s="12" t="e">
        <f t="shared" si="1"/>
        <v>#REF!</v>
      </c>
    </row>
    <row r="28" spans="1:5">
      <c r="A28" s="8">
        <v>7</v>
      </c>
      <c r="B28" s="10">
        <f t="shared" ca="1" si="0"/>
        <v>44187</v>
      </c>
      <c r="C28" s="8" t="s">
        <v>9</v>
      </c>
      <c r="D28" s="11" t="e">
        <f t="shared" si="2"/>
        <v>#REF!</v>
      </c>
      <c r="E28" s="12" t="e">
        <f t="shared" si="1"/>
        <v>#REF!</v>
      </c>
    </row>
    <row r="29" spans="1:5">
      <c r="A29" s="8">
        <v>8</v>
      </c>
      <c r="B29" s="10">
        <f t="shared" ca="1" si="0"/>
        <v>44218</v>
      </c>
      <c r="C29" s="8" t="s">
        <v>10</v>
      </c>
      <c r="D29" s="11" t="e">
        <f t="shared" si="2"/>
        <v>#REF!</v>
      </c>
      <c r="E29" s="12" t="e">
        <f t="shared" si="1"/>
        <v>#REF!</v>
      </c>
    </row>
    <row r="30" spans="1:5">
      <c r="A30" s="8">
        <v>9</v>
      </c>
      <c r="B30" s="10">
        <f t="shared" ca="1" si="0"/>
        <v>44249</v>
      </c>
      <c r="C30" s="8" t="s">
        <v>11</v>
      </c>
      <c r="D30" s="11" t="e">
        <f t="shared" si="2"/>
        <v>#REF!</v>
      </c>
      <c r="E30" s="12" t="e">
        <f t="shared" si="1"/>
        <v>#REF!</v>
      </c>
    </row>
    <row r="31" spans="1:5">
      <c r="A31" s="8">
        <v>10</v>
      </c>
      <c r="B31" s="10">
        <f t="shared" ca="1" si="0"/>
        <v>44277</v>
      </c>
      <c r="C31" s="8" t="s">
        <v>12</v>
      </c>
      <c r="D31" s="11" t="e">
        <f t="shared" si="2"/>
        <v>#REF!</v>
      </c>
      <c r="E31" s="12" t="e">
        <f t="shared" si="1"/>
        <v>#REF!</v>
      </c>
    </row>
    <row r="32" spans="1:5">
      <c r="A32" s="8">
        <v>11</v>
      </c>
      <c r="B32" s="10">
        <f t="shared" ca="1" si="0"/>
        <v>44308</v>
      </c>
      <c r="C32" s="8" t="s">
        <v>13</v>
      </c>
      <c r="D32" s="11" t="e">
        <f t="shared" si="2"/>
        <v>#REF!</v>
      </c>
      <c r="E32" s="12" t="e">
        <f t="shared" si="1"/>
        <v>#REF!</v>
      </c>
    </row>
    <row r="33" spans="1:5">
      <c r="A33" s="8">
        <v>12</v>
      </c>
      <c r="B33" s="10">
        <f t="shared" ca="1" si="0"/>
        <v>44338</v>
      </c>
      <c r="C33" s="8" t="s">
        <v>14</v>
      </c>
      <c r="D33" s="11" t="e">
        <f t="shared" si="2"/>
        <v>#REF!</v>
      </c>
      <c r="E33" s="12" t="e">
        <f t="shared" si="1"/>
        <v>#REF!</v>
      </c>
    </row>
    <row r="34" spans="1:5">
      <c r="A34" s="8">
        <v>13</v>
      </c>
      <c r="B34" s="10">
        <f t="shared" ca="1" si="0"/>
        <v>44369</v>
      </c>
      <c r="C34" s="8" t="s">
        <v>15</v>
      </c>
      <c r="D34" s="11" t="e">
        <f t="shared" si="2"/>
        <v>#REF!</v>
      </c>
      <c r="E34" s="12" t="e">
        <f t="shared" si="1"/>
        <v>#REF!</v>
      </c>
    </row>
    <row r="35" spans="1:5">
      <c r="A35" s="8">
        <v>14</v>
      </c>
      <c r="B35" s="10">
        <f t="shared" ca="1" si="0"/>
        <v>44399</v>
      </c>
      <c r="C35" s="8" t="s">
        <v>19</v>
      </c>
      <c r="D35" s="11" t="e">
        <f t="shared" si="2"/>
        <v>#REF!</v>
      </c>
      <c r="E35" s="12" t="e">
        <f t="shared" si="1"/>
        <v>#REF!</v>
      </c>
    </row>
    <row r="36" spans="1:5">
      <c r="A36" s="8">
        <v>15</v>
      </c>
      <c r="B36" s="10">
        <f t="shared" ca="1" si="0"/>
        <v>44430</v>
      </c>
      <c r="C36" s="8" t="s">
        <v>20</v>
      </c>
      <c r="D36" s="11" t="e">
        <f t="shared" si="2"/>
        <v>#REF!</v>
      </c>
      <c r="E36" s="12" t="e">
        <f t="shared" si="1"/>
        <v>#REF!</v>
      </c>
    </row>
    <row r="37" spans="1:5">
      <c r="A37" s="8">
        <v>16</v>
      </c>
      <c r="B37" s="10">
        <f t="shared" ca="1" si="0"/>
        <v>44461</v>
      </c>
      <c r="C37" s="8" t="s">
        <v>21</v>
      </c>
      <c r="D37" s="11" t="e">
        <f t="shared" si="2"/>
        <v>#REF!</v>
      </c>
      <c r="E37" s="12" t="e">
        <f t="shared" si="1"/>
        <v>#REF!</v>
      </c>
    </row>
    <row r="38" spans="1:5">
      <c r="A38" s="8">
        <v>17</v>
      </c>
      <c r="B38" s="10">
        <f t="shared" ca="1" si="0"/>
        <v>44491</v>
      </c>
      <c r="C38" s="8" t="s">
        <v>22</v>
      </c>
      <c r="D38" s="11" t="e">
        <f t="shared" si="2"/>
        <v>#REF!</v>
      </c>
      <c r="E38" s="12" t="e">
        <f t="shared" si="1"/>
        <v>#REF!</v>
      </c>
    </row>
    <row r="39" spans="1:5">
      <c r="A39" s="8">
        <v>18</v>
      </c>
      <c r="B39" s="10">
        <f t="shared" ca="1" si="0"/>
        <v>44522</v>
      </c>
      <c r="C39" s="8" t="s">
        <v>23</v>
      </c>
      <c r="D39" s="11" t="e">
        <f t="shared" si="2"/>
        <v>#REF!</v>
      </c>
      <c r="E39" s="12" t="e">
        <f t="shared" si="1"/>
        <v>#REF!</v>
      </c>
    </row>
    <row r="40" spans="1:5">
      <c r="A40" s="8">
        <v>19</v>
      </c>
      <c r="B40" s="10">
        <f t="shared" ca="1" si="0"/>
        <v>44552</v>
      </c>
      <c r="C40" s="8" t="s">
        <v>24</v>
      </c>
      <c r="D40" s="11" t="e">
        <f t="shared" si="2"/>
        <v>#REF!</v>
      </c>
      <c r="E40" s="12" t="e">
        <f t="shared" si="1"/>
        <v>#REF!</v>
      </c>
    </row>
    <row r="41" spans="1:5">
      <c r="A41" s="8">
        <v>20</v>
      </c>
      <c r="B41" s="10">
        <f t="shared" ca="1" si="0"/>
        <v>44583</v>
      </c>
      <c r="C41" s="8" t="s">
        <v>25</v>
      </c>
      <c r="D41" s="11" t="e">
        <f t="shared" si="2"/>
        <v>#REF!</v>
      </c>
      <c r="E41" s="12" t="e">
        <f t="shared" si="1"/>
        <v>#REF!</v>
      </c>
    </row>
    <row r="42" spans="1:5">
      <c r="A42" s="8">
        <v>21</v>
      </c>
      <c r="B42" s="10">
        <f t="shared" ca="1" si="0"/>
        <v>44614</v>
      </c>
      <c r="C42" s="8" t="s">
        <v>26</v>
      </c>
      <c r="D42" s="11" t="e">
        <f t="shared" si="2"/>
        <v>#REF!</v>
      </c>
      <c r="E42" s="12" t="e">
        <f t="shared" si="1"/>
        <v>#REF!</v>
      </c>
    </row>
    <row r="43" spans="1:5">
      <c r="A43" s="8">
        <v>22</v>
      </c>
      <c r="B43" s="10">
        <f t="shared" ca="1" si="0"/>
        <v>44642</v>
      </c>
      <c r="C43" s="8" t="s">
        <v>27</v>
      </c>
      <c r="D43" s="11" t="e">
        <f t="shared" si="2"/>
        <v>#REF!</v>
      </c>
      <c r="E43" s="12" t="e">
        <f t="shared" si="1"/>
        <v>#REF!</v>
      </c>
    </row>
    <row r="44" spans="1:5">
      <c r="A44" s="8">
        <v>23</v>
      </c>
      <c r="B44" s="10">
        <f t="shared" ca="1" si="0"/>
        <v>44673</v>
      </c>
      <c r="C44" s="8" t="s">
        <v>28</v>
      </c>
      <c r="D44" s="11" t="e">
        <f t="shared" si="2"/>
        <v>#REF!</v>
      </c>
      <c r="E44" s="12" t="e">
        <f t="shared" si="1"/>
        <v>#REF!</v>
      </c>
    </row>
    <row r="45" spans="1:5">
      <c r="A45" s="8">
        <v>24</v>
      </c>
      <c r="B45" s="10">
        <f t="shared" ca="1" si="0"/>
        <v>44703</v>
      </c>
      <c r="C45" s="8" t="s">
        <v>29</v>
      </c>
      <c r="D45" s="11" t="e">
        <f t="shared" si="2"/>
        <v>#REF!</v>
      </c>
      <c r="E45" s="12" t="e">
        <f t="shared" si="1"/>
        <v>#REF!</v>
      </c>
    </row>
    <row r="46" spans="1:5">
      <c r="A46" s="8">
        <v>25</v>
      </c>
      <c r="B46" s="10">
        <f t="shared" ca="1" si="0"/>
        <v>44734</v>
      </c>
      <c r="C46" s="8" t="s">
        <v>30</v>
      </c>
      <c r="D46" s="11" t="e">
        <f t="shared" si="2"/>
        <v>#REF!</v>
      </c>
      <c r="E46" s="12" t="e">
        <f t="shared" si="1"/>
        <v>#REF!</v>
      </c>
    </row>
    <row r="47" spans="1:5">
      <c r="A47" s="14">
        <v>26</v>
      </c>
      <c r="B47" s="15">
        <f t="shared" ca="1" si="0"/>
        <v>44764</v>
      </c>
      <c r="C47" s="14" t="s">
        <v>39</v>
      </c>
      <c r="D47" s="16" t="e">
        <f>(C18*0.4)</f>
        <v>#REF!</v>
      </c>
      <c r="E47" s="36" t="e">
        <f>E46-D47</f>
        <v>#REF!</v>
      </c>
    </row>
    <row r="48" spans="1:5">
      <c r="A48" s="17"/>
      <c r="B48" s="18"/>
      <c r="C48" s="19" t="s">
        <v>16</v>
      </c>
      <c r="D48" s="20" t="e">
        <f>SUM(D21:D47)</f>
        <v>#REF!</v>
      </c>
      <c r="E48" s="17"/>
    </row>
    <row r="49" spans="1:5">
      <c r="A49" s="3" t="s">
        <v>62</v>
      </c>
      <c r="B49" s="27"/>
      <c r="C49" s="28"/>
      <c r="D49" s="29"/>
      <c r="E49" s="30"/>
    </row>
    <row r="50" spans="1:5">
      <c r="A50" s="4" t="s">
        <v>69</v>
      </c>
      <c r="B50" s="30"/>
      <c r="C50" s="28"/>
      <c r="D50" s="29"/>
      <c r="E50" s="30"/>
    </row>
    <row r="51" spans="1:5">
      <c r="A51" s="4" t="s">
        <v>70</v>
      </c>
      <c r="B51" s="30"/>
      <c r="C51" s="28"/>
      <c r="D51" s="29"/>
      <c r="E51" s="30"/>
    </row>
    <row r="52" spans="1:5">
      <c r="A52" s="4" t="s">
        <v>88</v>
      </c>
      <c r="B52" s="30"/>
      <c r="C52" s="28"/>
      <c r="D52" s="30"/>
      <c r="E52" s="30"/>
    </row>
    <row r="53" spans="1:5">
      <c r="A53" s="4" t="s">
        <v>74</v>
      </c>
      <c r="B53" s="30"/>
      <c r="C53" s="28"/>
      <c r="D53" s="30"/>
      <c r="E53" s="30"/>
    </row>
    <row r="54" spans="1:5">
      <c r="A54" s="4" t="s">
        <v>63</v>
      </c>
      <c r="B54" s="30"/>
      <c r="C54" s="28"/>
      <c r="D54" s="30"/>
      <c r="E54" s="30"/>
    </row>
    <row r="56" spans="1:5">
      <c r="A56" s="1" t="s">
        <v>17</v>
      </c>
    </row>
    <row r="58" spans="1:5">
      <c r="A58" s="5"/>
      <c r="D58" s="5"/>
    </row>
    <row r="59" spans="1:5">
      <c r="A59" s="2" t="s">
        <v>18</v>
      </c>
      <c r="D59" s="2" t="s">
        <v>18</v>
      </c>
    </row>
  </sheetData>
  <sheetProtection algorithmName="SHA-512" hashValue="Z7ihk/xlTzYbXQrJdSNR57bSqNLXesiqI2AcQ/WXS2Zt4b7iXOEiLeCvK/pIDkuyRq8P7s6MMf/RIVIqc2dzJg==" saltValue="ViON0BZ9li8s4ZFPo4L8jA==" spinCount="100000" sheet="1" selectLockedCells="1"/>
  <mergeCells count="6">
    <mergeCell ref="B9:D9"/>
    <mergeCell ref="E1:E2"/>
    <mergeCell ref="B5:D5"/>
    <mergeCell ref="B6:D6"/>
    <mergeCell ref="B7:D7"/>
    <mergeCell ref="B8:D8"/>
  </mergeCells>
  <hyperlinks>
    <hyperlink ref="B1" location="'DATA SHEET'!A1" display="HIGHLANDS PRIME, INC." xr:uid="{00000000-0004-0000-0800-000000000000}"/>
  </hyperlinks>
  <printOptions horizontalCentered="1"/>
  <pageMargins left="0.7" right="0.7" top="0.75" bottom="0.5" header="0.3" footer="0.3"/>
  <pageSetup scale="90" orientation="portrait" r:id="rId1"/>
  <headerFooter>
    <oddFooter>&amp;L&amp;8A project of HIGHLANDS PRIME, INC. 
Woodridge Place at Tagaytay Highlands,  Tagaytay Highlands, Tagaytay City
HLURB License To Sell No. 22459&amp;RPage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36</vt:i4>
      </vt:variant>
      <vt:variant>
        <vt:lpstr>Named Ranges</vt:lpstr>
      </vt:variant>
      <vt:variant>
        <vt:i4>43</vt:i4>
      </vt:variant>
    </vt:vector>
  </HeadingPairs>
  <TitlesOfParts>
    <vt:vector size="79" baseType="lpstr">
      <vt:lpstr>DATA SHEET</vt:lpstr>
      <vt:lpstr> </vt:lpstr>
      <vt:lpstr> Garden Suites PL</vt:lpstr>
      <vt:lpstr>Cash_Non-mem</vt:lpstr>
      <vt:lpstr>Cash_Mem</vt:lpstr>
      <vt:lpstr>Deferred Cash_Non-mem</vt:lpstr>
      <vt:lpstr>Deferred Cash_Mem</vt:lpstr>
      <vt:lpstr>INST1_Non-mem</vt:lpstr>
      <vt:lpstr>INST1_Mem</vt:lpstr>
      <vt:lpstr>INST2_Non-mem</vt:lpstr>
      <vt:lpstr>INST2_Mem</vt:lpstr>
      <vt:lpstr>Promo Term 1_Non-mem</vt:lpstr>
      <vt:lpstr>Promo Term 1_Mem</vt:lpstr>
      <vt:lpstr>Promo Term 2_Non-mem</vt:lpstr>
      <vt:lpstr>Promo Term 2_Mem</vt:lpstr>
      <vt:lpstr>Cash_Non mem</vt:lpstr>
      <vt:lpstr>DP term1_Non Mem</vt:lpstr>
      <vt:lpstr>DP term2_Non-member</vt:lpstr>
      <vt:lpstr>DP term3_Non mem</vt:lpstr>
      <vt:lpstr>DP term4_Non mem</vt:lpstr>
      <vt:lpstr>NO DP term1_Non-member</vt:lpstr>
      <vt:lpstr>NO DP term2_Non-member</vt:lpstr>
      <vt:lpstr>NO DP term4_Non-mem</vt:lpstr>
      <vt:lpstr>PROMO_Non Member </vt:lpstr>
      <vt:lpstr>Cash_Member</vt:lpstr>
      <vt:lpstr>DP term1_Member</vt:lpstr>
      <vt:lpstr>DP term2_Member</vt:lpstr>
      <vt:lpstr>DP term3_Member</vt:lpstr>
      <vt:lpstr>DP term4_Member</vt:lpstr>
      <vt:lpstr>NO DP Term1__Member</vt:lpstr>
      <vt:lpstr>NO DP term1_Member</vt:lpstr>
      <vt:lpstr>NO DP Term2_Member</vt:lpstr>
      <vt:lpstr>PROMO_Member</vt:lpstr>
      <vt:lpstr>No DP term3_Non-mem</vt:lpstr>
      <vt:lpstr>NO DP term4_Member</vt:lpstr>
      <vt:lpstr>Compatibility Report</vt:lpstr>
      <vt:lpstr>Cash_Mem!Print_Area</vt:lpstr>
      <vt:lpstr>Cash_Member!Print_Area</vt:lpstr>
      <vt:lpstr>'Cash_Non mem'!Print_Area</vt:lpstr>
      <vt:lpstr>'Cash_Non-mem'!Print_Area</vt:lpstr>
      <vt:lpstr>'Deferred Cash_Mem'!Print_Area</vt:lpstr>
      <vt:lpstr>'Deferred Cash_Non-mem'!Print_Area</vt:lpstr>
      <vt:lpstr>'DP term1_Member'!Print_Area</vt:lpstr>
      <vt:lpstr>'DP term1_Non Mem'!Print_Area</vt:lpstr>
      <vt:lpstr>'DP term2_Member'!Print_Area</vt:lpstr>
      <vt:lpstr>'DP term2_Non-member'!Print_Area</vt:lpstr>
      <vt:lpstr>'DP term3_Member'!Print_Area</vt:lpstr>
      <vt:lpstr>'DP term3_Non mem'!Print_Area</vt:lpstr>
      <vt:lpstr>'DP term4_Member'!Print_Area</vt:lpstr>
      <vt:lpstr>'DP term4_Non mem'!Print_Area</vt:lpstr>
      <vt:lpstr>INST1_Mem!Print_Area</vt:lpstr>
      <vt:lpstr>'INST1_Non-mem'!Print_Area</vt:lpstr>
      <vt:lpstr>INST2_Mem!Print_Area</vt:lpstr>
      <vt:lpstr>'INST2_Non-mem'!Print_Area</vt:lpstr>
      <vt:lpstr>'NO DP Term1__Member'!Print_Area</vt:lpstr>
      <vt:lpstr>'NO DP term1_Member'!Print_Area</vt:lpstr>
      <vt:lpstr>'NO DP term1_Non-member'!Print_Area</vt:lpstr>
      <vt:lpstr>'NO DP Term2_Member'!Print_Area</vt:lpstr>
      <vt:lpstr>'NO DP term2_Non-member'!Print_Area</vt:lpstr>
      <vt:lpstr>'NO DP term4_Member'!Print_Area</vt:lpstr>
      <vt:lpstr>'NO DP term4_Non-mem'!Print_Area</vt:lpstr>
      <vt:lpstr>'Promo Term 1_Mem'!Print_Area</vt:lpstr>
      <vt:lpstr>'Promo Term 1_Non-mem'!Print_Area</vt:lpstr>
      <vt:lpstr>'Promo Term 2_Mem'!Print_Area</vt:lpstr>
      <vt:lpstr>'Promo Term 2_Non-mem'!Print_Area</vt:lpstr>
      <vt:lpstr>PROMO_Member!Print_Area</vt:lpstr>
      <vt:lpstr>'PROMO_Non Member '!Print_Area</vt:lpstr>
      <vt:lpstr>'DP term3_Non mem'!Print_Titles</vt:lpstr>
      <vt:lpstr>'DP term4_Non mem'!Print_Titles</vt:lpstr>
      <vt:lpstr>'NO DP term1_Member'!Print_Titles</vt:lpstr>
      <vt:lpstr>'NO DP term1_Non-member'!Print_Titles</vt:lpstr>
      <vt:lpstr>'NO DP Term2_Member'!Print_Titles</vt:lpstr>
      <vt:lpstr>'NO DP term2_Non-member'!Print_Titles</vt:lpstr>
      <vt:lpstr>'NO DP term4_Member'!Print_Titles</vt:lpstr>
      <vt:lpstr>'NO DP term4_Non-mem'!Print_Titles</vt:lpstr>
      <vt:lpstr>'Promo Term 2_Mem'!Print_Titles</vt:lpstr>
      <vt:lpstr>'Promo Term 2_Non-mem'!Print_Titles</vt:lpstr>
      <vt:lpstr>PROMO_Member!Print_Titles</vt:lpstr>
      <vt:lpstr>'PROMO_Non Member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ariel david acuzar</cp:lastModifiedBy>
  <cp:lastPrinted>2020-01-02T13:12:30Z</cp:lastPrinted>
  <dcterms:created xsi:type="dcterms:W3CDTF">2012-10-30T18:10:05Z</dcterms:created>
  <dcterms:modified xsi:type="dcterms:W3CDTF">2020-05-22T14:24:44Z</dcterms:modified>
</cp:coreProperties>
</file>