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codeName="ThisWorkbook" defaultThemeVersion="124226"/>
  <mc:AlternateContent xmlns:mc="http://schemas.openxmlformats.org/markup-compatibility/2006">
    <mc:Choice Requires="x15">
      <x15ac:absPath xmlns:x15ac="http://schemas.microsoft.com/office/spreadsheetml/2010/11/ac" url="/Users/arielacuzar/Desktop/highlands templates/"/>
    </mc:Choice>
  </mc:AlternateContent>
  <xr:revisionPtr revIDLastSave="0" documentId="8_{7443E9E7-AB03-ED4C-8EF8-76C34600DBF2}" xr6:coauthVersionLast="36" xr6:coauthVersionMax="36" xr10:uidLastSave="{00000000-0000-0000-0000-000000000000}"/>
  <workbookProtection workbookPassword="CAF1" lockStructure="1"/>
  <bookViews>
    <workbookView xWindow="880" yWindow="460" windowWidth="29340" windowHeight="15400" xr2:uid="{00000000-000D-0000-FFFF-FFFF00000000}"/>
  </bookViews>
  <sheets>
    <sheet name="DATA SHEET" sheetId="4" r:id="rId1"/>
    <sheet name=" " sheetId="238" state="hidden" r:id="rId2"/>
    <sheet name=" Glenview PL" sheetId="233" state="hidden" r:id="rId3"/>
    <sheet name="Cash_Non-mem" sheetId="132" state="hidden" r:id="rId4"/>
    <sheet name="Cash_Mem" sheetId="133" state="hidden" r:id="rId5"/>
    <sheet name="Deferred Cash_Non-mem" sheetId="51" state="hidden" r:id="rId6"/>
    <sheet name="Deferred Cash_Mem" sheetId="134" state="hidden" r:id="rId7"/>
    <sheet name="INST1_Non-mem" sheetId="128" state="hidden" r:id="rId8"/>
    <sheet name="INST1_Mem" sheetId="129" state="hidden" r:id="rId9"/>
    <sheet name="INST2_Non-mem" sheetId="130" state="hidden" r:id="rId10"/>
    <sheet name="INST2_Mem" sheetId="131" state="hidden" r:id="rId11"/>
    <sheet name="Promo Term 1_Non-mem" sheetId="135" state="hidden" r:id="rId12"/>
    <sheet name="Promo Term 1_Mem" sheetId="136" state="hidden" r:id="rId13"/>
    <sheet name="Promo Term 2_Non-mem" sheetId="147" state="hidden" r:id="rId14"/>
    <sheet name="Promo Term 2_Mem" sheetId="148" state="hidden" r:id="rId15"/>
    <sheet name="INST1_Non mem" sheetId="221" state="hidden" r:id="rId16"/>
    <sheet name="INST1_Member" sheetId="222" state="hidden" r:id="rId17"/>
    <sheet name="INST2_Non-member" sheetId="223" state="hidden" r:id="rId18"/>
    <sheet name="INST2_Member" sheetId="224" state="hidden" r:id="rId19"/>
    <sheet name="CASH TERM_Non-Member" sheetId="244" r:id="rId20"/>
    <sheet name="DP Term1_Non-member" sheetId="236" r:id="rId21"/>
    <sheet name="DP Term2_Non-mem" sheetId="239" r:id="rId22"/>
    <sheet name="DP Term3_Non-mem" sheetId="242" r:id="rId23"/>
    <sheet name="DP Term4_Non-mem" sheetId="248" r:id="rId24"/>
    <sheet name="NO DP term1_Non-mem" sheetId="225" r:id="rId25"/>
    <sheet name="NO DP term2_Non-mem" sheetId="246" r:id="rId26"/>
    <sheet name="NO DP term3_Non-mem" sheetId="249" r:id="rId27"/>
    <sheet name="CASH TERM_Member" sheetId="243" r:id="rId28"/>
    <sheet name="DP Term1_Member" sheetId="229" r:id="rId29"/>
    <sheet name="DP Term2_Member" sheetId="240" r:id="rId30"/>
    <sheet name="DP Term3_Member" sheetId="237" r:id="rId31"/>
    <sheet name="DP Term4_Member" sheetId="247" r:id="rId32"/>
    <sheet name="NO DP Term1_Member" sheetId="150" r:id="rId33"/>
    <sheet name="NO DP Term 2_Member" sheetId="245" r:id="rId34"/>
    <sheet name="NO DP Term 3_Member" sheetId="250" r:id="rId35"/>
    <sheet name="Compatibility Report" sheetId="232" state="hidden"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_xlnm.Print_Area_4" localSheetId="27">#REF!</definedName>
    <definedName name="____xlnm.Print_Area_4" localSheetId="19">#REF!</definedName>
    <definedName name="____xlnm.Print_Area_4" localSheetId="4">#REF!</definedName>
    <definedName name="____xlnm.Print_Area_4" localSheetId="3">#REF!</definedName>
    <definedName name="____xlnm.Print_Area_4" localSheetId="6">#REF!</definedName>
    <definedName name="____xlnm.Print_Area_4" localSheetId="5">#REF!</definedName>
    <definedName name="____xlnm.Print_Area_4" localSheetId="28">#REF!</definedName>
    <definedName name="____xlnm.Print_Area_4" localSheetId="20">#REF!</definedName>
    <definedName name="____xlnm.Print_Area_4" localSheetId="31">#REF!</definedName>
    <definedName name="____xlnm.Print_Area_4" localSheetId="23">#REF!</definedName>
    <definedName name="____xlnm.Print_Area_4" localSheetId="8">#REF!</definedName>
    <definedName name="____xlnm.Print_Area_4" localSheetId="16">#REF!</definedName>
    <definedName name="____xlnm.Print_Area_4" localSheetId="15">#REF!</definedName>
    <definedName name="____xlnm.Print_Area_4" localSheetId="7">#REF!</definedName>
    <definedName name="____xlnm.Print_Area_4" localSheetId="10">#REF!</definedName>
    <definedName name="____xlnm.Print_Area_4" localSheetId="18">#REF!</definedName>
    <definedName name="____xlnm.Print_Area_4" localSheetId="9">#REF!</definedName>
    <definedName name="____xlnm.Print_Area_4" localSheetId="17">#REF!</definedName>
    <definedName name="____xlnm.Print_Area_4" localSheetId="33">#REF!</definedName>
    <definedName name="____xlnm.Print_Area_4" localSheetId="34">#REF!</definedName>
    <definedName name="____xlnm.Print_Area_4" localSheetId="32">#REF!</definedName>
    <definedName name="____xlnm.Print_Area_4" localSheetId="24">#REF!</definedName>
    <definedName name="____xlnm.Print_Area_4" localSheetId="25">#REF!</definedName>
    <definedName name="____xlnm.Print_Area_4" localSheetId="26">#REF!</definedName>
    <definedName name="____xlnm.Print_Area_4" localSheetId="12">#REF!</definedName>
    <definedName name="____xlnm.Print_Area_4" localSheetId="11">#REF!</definedName>
    <definedName name="____xlnm.Print_Area_4" localSheetId="14">#REF!</definedName>
    <definedName name="____xlnm.Print_Area_4" localSheetId="13">#REF!</definedName>
    <definedName name="____xlnm.Print_Area_4">#REF!</definedName>
    <definedName name="___xlnm.Print_Area_4" localSheetId="27">#REF!</definedName>
    <definedName name="___xlnm.Print_Area_4" localSheetId="19">#REF!</definedName>
    <definedName name="___xlnm.Print_Area_4" localSheetId="4">#REF!</definedName>
    <definedName name="___xlnm.Print_Area_4" localSheetId="3">#REF!</definedName>
    <definedName name="___xlnm.Print_Area_4" localSheetId="6">#REF!</definedName>
    <definedName name="___xlnm.Print_Area_4" localSheetId="5">#REF!</definedName>
    <definedName name="___xlnm.Print_Area_4" localSheetId="28">#REF!</definedName>
    <definedName name="___xlnm.Print_Area_4" localSheetId="20">#REF!</definedName>
    <definedName name="___xlnm.Print_Area_4" localSheetId="31">#REF!</definedName>
    <definedName name="___xlnm.Print_Area_4" localSheetId="23">#REF!</definedName>
    <definedName name="___xlnm.Print_Area_4" localSheetId="8">#REF!</definedName>
    <definedName name="___xlnm.Print_Area_4" localSheetId="16">#REF!</definedName>
    <definedName name="___xlnm.Print_Area_4" localSheetId="15">#REF!</definedName>
    <definedName name="___xlnm.Print_Area_4" localSheetId="7">#REF!</definedName>
    <definedName name="___xlnm.Print_Area_4" localSheetId="10">#REF!</definedName>
    <definedName name="___xlnm.Print_Area_4" localSheetId="18">#REF!</definedName>
    <definedName name="___xlnm.Print_Area_4" localSheetId="9">#REF!</definedName>
    <definedName name="___xlnm.Print_Area_4" localSheetId="17">#REF!</definedName>
    <definedName name="___xlnm.Print_Area_4" localSheetId="33">#REF!</definedName>
    <definedName name="___xlnm.Print_Area_4" localSheetId="34">#REF!</definedName>
    <definedName name="___xlnm.Print_Area_4" localSheetId="32">#REF!</definedName>
    <definedName name="___xlnm.Print_Area_4" localSheetId="24">#REF!</definedName>
    <definedName name="___xlnm.Print_Area_4" localSheetId="25">#REF!</definedName>
    <definedName name="___xlnm.Print_Area_4" localSheetId="26">#REF!</definedName>
    <definedName name="___xlnm.Print_Area_4" localSheetId="12">#REF!</definedName>
    <definedName name="___xlnm.Print_Area_4" localSheetId="11">#REF!</definedName>
    <definedName name="___xlnm.Print_Area_4" localSheetId="14">#REF!</definedName>
    <definedName name="___xlnm.Print_Area_4" localSheetId="13">#REF!</definedName>
    <definedName name="___xlnm.Print_Area_4">#REF!</definedName>
    <definedName name="__FEU8" localSheetId="27">[1]Assumptions!#REF!</definedName>
    <definedName name="__FEU8" localSheetId="19">[1]Assumptions!#REF!</definedName>
    <definedName name="__FEU8" localSheetId="4">[1]Assumptions!#REF!</definedName>
    <definedName name="__FEU8" localSheetId="3">[1]Assumptions!#REF!</definedName>
    <definedName name="__FEU8" localSheetId="6">[1]Assumptions!#REF!</definedName>
    <definedName name="__FEU8" localSheetId="28">[1]Assumptions!#REF!</definedName>
    <definedName name="__FEU8" localSheetId="20">[1]Assumptions!#REF!</definedName>
    <definedName name="__FEU8" localSheetId="31">[1]Assumptions!#REF!</definedName>
    <definedName name="__FEU8" localSheetId="23">[1]Assumptions!#REF!</definedName>
    <definedName name="__FEU8" localSheetId="8">[1]Assumptions!#REF!</definedName>
    <definedName name="__FEU8" localSheetId="16">[1]Assumptions!#REF!</definedName>
    <definedName name="__FEU8" localSheetId="15">[1]Assumptions!#REF!</definedName>
    <definedName name="__FEU8" localSheetId="7">[1]Assumptions!#REF!</definedName>
    <definedName name="__FEU8" localSheetId="10">[1]Assumptions!#REF!</definedName>
    <definedName name="__FEU8" localSheetId="18">[1]Assumptions!#REF!</definedName>
    <definedName name="__FEU8" localSheetId="9">[1]Assumptions!#REF!</definedName>
    <definedName name="__FEU8" localSheetId="17">[1]Assumptions!#REF!</definedName>
    <definedName name="__FEU8" localSheetId="33">[1]Assumptions!#REF!</definedName>
    <definedName name="__FEU8" localSheetId="34">[1]Assumptions!#REF!</definedName>
    <definedName name="__FEU8" localSheetId="32">[1]Assumptions!#REF!</definedName>
    <definedName name="__FEU8" localSheetId="24">[1]Assumptions!#REF!</definedName>
    <definedName name="__FEU8" localSheetId="25">[1]Assumptions!#REF!</definedName>
    <definedName name="__FEU8" localSheetId="26">[1]Assumptions!#REF!</definedName>
    <definedName name="__FEU8" localSheetId="12">[1]Assumptions!#REF!</definedName>
    <definedName name="__FEU8" localSheetId="11">[1]Assumptions!#REF!</definedName>
    <definedName name="__FEU8" localSheetId="14">[1]Assumptions!#REF!</definedName>
    <definedName name="__FEU8" localSheetId="13">[1]Assumptions!#REF!</definedName>
    <definedName name="__FEU8">[1]Assumptions!#REF!</definedName>
    <definedName name="__klq6" localSheetId="27">#REF!</definedName>
    <definedName name="__klq6" localSheetId="19">#REF!</definedName>
    <definedName name="__klq6" localSheetId="4">#REF!</definedName>
    <definedName name="__klq6" localSheetId="3">#REF!</definedName>
    <definedName name="__klq6" localSheetId="6">#REF!</definedName>
    <definedName name="__klq6" localSheetId="28">#REF!</definedName>
    <definedName name="__klq6" localSheetId="20">#REF!</definedName>
    <definedName name="__klq6" localSheetId="31">#REF!</definedName>
    <definedName name="__klq6" localSheetId="23">#REF!</definedName>
    <definedName name="__klq6" localSheetId="8">#REF!</definedName>
    <definedName name="__klq6" localSheetId="16">#REF!</definedName>
    <definedName name="__klq6" localSheetId="15">#REF!</definedName>
    <definedName name="__klq6" localSheetId="7">#REF!</definedName>
    <definedName name="__klq6" localSheetId="10">#REF!</definedName>
    <definedName name="__klq6" localSheetId="18">#REF!</definedName>
    <definedName name="__klq6" localSheetId="9">#REF!</definedName>
    <definedName name="__klq6" localSheetId="17">#REF!</definedName>
    <definedName name="__klq6" localSheetId="33">#REF!</definedName>
    <definedName name="__klq6" localSheetId="34">#REF!</definedName>
    <definedName name="__klq6" localSheetId="32">#REF!</definedName>
    <definedName name="__klq6" localSheetId="24">#REF!</definedName>
    <definedName name="__klq6" localSheetId="25">#REF!</definedName>
    <definedName name="__klq6" localSheetId="26">#REF!</definedName>
    <definedName name="__klq6" localSheetId="12">#REF!</definedName>
    <definedName name="__klq6" localSheetId="11">#REF!</definedName>
    <definedName name="__klq6" localSheetId="14">#REF!</definedName>
    <definedName name="__klq6" localSheetId="13">#REF!</definedName>
    <definedName name="__klq6">#REF!</definedName>
    <definedName name="__kz6" localSheetId="27">#REF!</definedName>
    <definedName name="__kz6" localSheetId="19">#REF!</definedName>
    <definedName name="__kz6" localSheetId="4">#REF!</definedName>
    <definedName name="__kz6" localSheetId="3">#REF!</definedName>
    <definedName name="__kz6" localSheetId="6">#REF!</definedName>
    <definedName name="__kz6" localSheetId="28">#REF!</definedName>
    <definedName name="__kz6" localSheetId="20">#REF!</definedName>
    <definedName name="__kz6" localSheetId="31">#REF!</definedName>
    <definedName name="__kz6" localSheetId="23">#REF!</definedName>
    <definedName name="__kz6" localSheetId="8">#REF!</definedName>
    <definedName name="__kz6" localSheetId="16">#REF!</definedName>
    <definedName name="__kz6" localSheetId="15">#REF!</definedName>
    <definedName name="__kz6" localSheetId="7">#REF!</definedName>
    <definedName name="__kz6" localSheetId="10">#REF!</definedName>
    <definedName name="__kz6" localSheetId="18">#REF!</definedName>
    <definedName name="__kz6" localSheetId="9">#REF!</definedName>
    <definedName name="__kz6" localSheetId="17">#REF!</definedName>
    <definedName name="__kz6" localSheetId="33">#REF!</definedName>
    <definedName name="__kz6" localSheetId="34">#REF!</definedName>
    <definedName name="__kz6" localSheetId="32">#REF!</definedName>
    <definedName name="__kz6" localSheetId="24">#REF!</definedName>
    <definedName name="__kz6" localSheetId="25">#REF!</definedName>
    <definedName name="__kz6" localSheetId="26">#REF!</definedName>
    <definedName name="__kz6" localSheetId="12">#REF!</definedName>
    <definedName name="__kz6" localSheetId="11">#REF!</definedName>
    <definedName name="__kz6" localSheetId="14">#REF!</definedName>
    <definedName name="__kz6" localSheetId="13">#REF!</definedName>
    <definedName name="__kz6">#REF!</definedName>
    <definedName name="__SL101" localSheetId="27">#REF!</definedName>
    <definedName name="__SL101" localSheetId="19">#REF!</definedName>
    <definedName name="__SL101" localSheetId="4">#REF!</definedName>
    <definedName name="__SL101" localSheetId="3">#REF!</definedName>
    <definedName name="__SL101" localSheetId="6">#REF!</definedName>
    <definedName name="__SL101" localSheetId="28">#REF!</definedName>
    <definedName name="__SL101" localSheetId="20">#REF!</definedName>
    <definedName name="__SL101" localSheetId="31">#REF!</definedName>
    <definedName name="__SL101" localSheetId="23">#REF!</definedName>
    <definedName name="__SL101" localSheetId="8">#REF!</definedName>
    <definedName name="__SL101" localSheetId="16">#REF!</definedName>
    <definedName name="__SL101" localSheetId="15">#REF!</definedName>
    <definedName name="__SL101" localSheetId="7">#REF!</definedName>
    <definedName name="__SL101" localSheetId="10">#REF!</definedName>
    <definedName name="__SL101" localSheetId="18">#REF!</definedName>
    <definedName name="__SL101" localSheetId="9">#REF!</definedName>
    <definedName name="__SL101" localSheetId="17">#REF!</definedName>
    <definedName name="__SL101" localSheetId="33">#REF!</definedName>
    <definedName name="__SL101" localSheetId="34">#REF!</definedName>
    <definedName name="__SL101" localSheetId="32">#REF!</definedName>
    <definedName name="__SL101" localSheetId="24">#REF!</definedName>
    <definedName name="__SL101" localSheetId="25">#REF!</definedName>
    <definedName name="__SL101" localSheetId="26">#REF!</definedName>
    <definedName name="__SL101" localSheetId="12">#REF!</definedName>
    <definedName name="__SL101" localSheetId="11">#REF!</definedName>
    <definedName name="__SL101" localSheetId="14">#REF!</definedName>
    <definedName name="__SL101" localSheetId="13">#REF!</definedName>
    <definedName name="__SL101">#REF!</definedName>
    <definedName name="__xlnm.Print_Area_4" localSheetId="27">#REF!</definedName>
    <definedName name="__xlnm.Print_Area_4" localSheetId="19">#REF!</definedName>
    <definedName name="__xlnm.Print_Area_4" localSheetId="4">#REF!</definedName>
    <definedName name="__xlnm.Print_Area_4" localSheetId="3">#REF!</definedName>
    <definedName name="__xlnm.Print_Area_4" localSheetId="6">#REF!</definedName>
    <definedName name="__xlnm.Print_Area_4" localSheetId="5">#REF!</definedName>
    <definedName name="__xlnm.Print_Area_4" localSheetId="28">#REF!</definedName>
    <definedName name="__xlnm.Print_Area_4" localSheetId="20">#REF!</definedName>
    <definedName name="__xlnm.Print_Area_4" localSheetId="31">#REF!</definedName>
    <definedName name="__xlnm.Print_Area_4" localSheetId="23">#REF!</definedName>
    <definedName name="__xlnm.Print_Area_4" localSheetId="8">#REF!</definedName>
    <definedName name="__xlnm.Print_Area_4" localSheetId="16">#REF!</definedName>
    <definedName name="__xlnm.Print_Area_4" localSheetId="15">#REF!</definedName>
    <definedName name="__xlnm.Print_Area_4" localSheetId="7">#REF!</definedName>
    <definedName name="__xlnm.Print_Area_4" localSheetId="10">#REF!</definedName>
    <definedName name="__xlnm.Print_Area_4" localSheetId="18">#REF!</definedName>
    <definedName name="__xlnm.Print_Area_4" localSheetId="9">#REF!</definedName>
    <definedName name="__xlnm.Print_Area_4" localSheetId="17">#REF!</definedName>
    <definedName name="__xlnm.Print_Area_4" localSheetId="33">#REF!</definedName>
    <definedName name="__xlnm.Print_Area_4" localSheetId="34">#REF!</definedName>
    <definedName name="__xlnm.Print_Area_4" localSheetId="32">#REF!</definedName>
    <definedName name="__xlnm.Print_Area_4" localSheetId="24">#REF!</definedName>
    <definedName name="__xlnm.Print_Area_4" localSheetId="25">#REF!</definedName>
    <definedName name="__xlnm.Print_Area_4" localSheetId="26">#REF!</definedName>
    <definedName name="__xlnm.Print_Area_4" localSheetId="12">#REF!</definedName>
    <definedName name="__xlnm.Print_Area_4" localSheetId="11">#REF!</definedName>
    <definedName name="__xlnm.Print_Area_4" localSheetId="14">#REF!</definedName>
    <definedName name="__xlnm.Print_Area_4" localSheetId="13">#REF!</definedName>
    <definedName name="__xlnm.Print_Area_4">#REF!</definedName>
    <definedName name="_CTS_STATUS" localSheetId="27">#REF!</definedName>
    <definedName name="_CTS_STATUS" localSheetId="19">#REF!</definedName>
    <definedName name="_CTS_STATUS" localSheetId="4">#REF!</definedName>
    <definedName name="_CTS_STATUS" localSheetId="3">#REF!</definedName>
    <definedName name="_CTS_STATUS" localSheetId="6">#REF!</definedName>
    <definedName name="_CTS_STATUS" localSheetId="5">#REF!</definedName>
    <definedName name="_CTS_STATUS" localSheetId="28">#REF!</definedName>
    <definedName name="_CTS_STATUS" localSheetId="20">#REF!</definedName>
    <definedName name="_CTS_STATUS" localSheetId="31">#REF!</definedName>
    <definedName name="_CTS_STATUS" localSheetId="23">#REF!</definedName>
    <definedName name="_CTS_STATUS" localSheetId="8">#REF!</definedName>
    <definedName name="_CTS_STATUS" localSheetId="16">#REF!</definedName>
    <definedName name="_CTS_STATUS" localSheetId="15">#REF!</definedName>
    <definedName name="_CTS_STATUS" localSheetId="7">#REF!</definedName>
    <definedName name="_CTS_STATUS" localSheetId="10">#REF!</definedName>
    <definedName name="_CTS_STATUS" localSheetId="18">#REF!</definedName>
    <definedName name="_CTS_STATUS" localSheetId="9">#REF!</definedName>
    <definedName name="_CTS_STATUS" localSheetId="17">#REF!</definedName>
    <definedName name="_CTS_STATUS" localSheetId="33">#REF!</definedName>
    <definedName name="_CTS_STATUS" localSheetId="34">#REF!</definedName>
    <definedName name="_CTS_STATUS" localSheetId="32">#REF!</definedName>
    <definedName name="_CTS_STATUS" localSheetId="24">#REF!</definedName>
    <definedName name="_CTS_STATUS" localSheetId="25">#REF!</definedName>
    <definedName name="_CTS_STATUS" localSheetId="26">#REF!</definedName>
    <definedName name="_CTS_STATUS" localSheetId="12">#REF!</definedName>
    <definedName name="_CTS_STATUS" localSheetId="11">#REF!</definedName>
    <definedName name="_CTS_STATUS" localSheetId="14">#REF!</definedName>
    <definedName name="_CTS_STATUS" localSheetId="13">#REF!</definedName>
    <definedName name="_CTS_STATUS">#REF!</definedName>
    <definedName name="_FEU8" localSheetId="27">[1]Assumptions!#REF!</definedName>
    <definedName name="_FEU8" localSheetId="19">[1]Assumptions!#REF!</definedName>
    <definedName name="_FEU8" localSheetId="4">[1]Assumptions!#REF!</definedName>
    <definedName name="_FEU8" localSheetId="3">[1]Assumptions!#REF!</definedName>
    <definedName name="_FEU8" localSheetId="6">[1]Assumptions!#REF!</definedName>
    <definedName name="_FEU8" localSheetId="5">[1]Assumptions!#REF!</definedName>
    <definedName name="_FEU8" localSheetId="28">[1]Assumptions!#REF!</definedName>
    <definedName name="_FEU8" localSheetId="20">[1]Assumptions!#REF!</definedName>
    <definedName name="_FEU8" localSheetId="31">[1]Assumptions!#REF!</definedName>
    <definedName name="_FEU8" localSheetId="23">[1]Assumptions!#REF!</definedName>
    <definedName name="_FEU8" localSheetId="8">[1]Assumptions!#REF!</definedName>
    <definedName name="_FEU8" localSheetId="16">[1]Assumptions!#REF!</definedName>
    <definedName name="_FEU8" localSheetId="15">[1]Assumptions!#REF!</definedName>
    <definedName name="_FEU8" localSheetId="7">[1]Assumptions!#REF!</definedName>
    <definedName name="_FEU8" localSheetId="10">[1]Assumptions!#REF!</definedName>
    <definedName name="_FEU8" localSheetId="18">[1]Assumptions!#REF!</definedName>
    <definedName name="_FEU8" localSheetId="9">[1]Assumptions!#REF!</definedName>
    <definedName name="_FEU8" localSheetId="17">[1]Assumptions!#REF!</definedName>
    <definedName name="_FEU8" localSheetId="33">[1]Assumptions!#REF!</definedName>
    <definedName name="_FEU8" localSheetId="34">[1]Assumptions!#REF!</definedName>
    <definedName name="_FEU8" localSheetId="32">[1]Assumptions!#REF!</definedName>
    <definedName name="_FEU8" localSheetId="24">[1]Assumptions!#REF!</definedName>
    <definedName name="_FEU8" localSheetId="25">[1]Assumptions!#REF!</definedName>
    <definedName name="_FEU8" localSheetId="26">[1]Assumptions!#REF!</definedName>
    <definedName name="_FEU8" localSheetId="12">[1]Assumptions!#REF!</definedName>
    <definedName name="_FEU8" localSheetId="11">[1]Assumptions!#REF!</definedName>
    <definedName name="_FEU8" localSheetId="14">[1]Assumptions!#REF!</definedName>
    <definedName name="_FEU8" localSheetId="13">[1]Assumptions!#REF!</definedName>
    <definedName name="_FEU8">[1]Assumptions!#REF!</definedName>
    <definedName name="_hillside123" localSheetId="27">#REF!</definedName>
    <definedName name="_hillside123" localSheetId="19">#REF!</definedName>
    <definedName name="_hillside123" localSheetId="4">#REF!</definedName>
    <definedName name="_hillside123" localSheetId="3">#REF!</definedName>
    <definedName name="_hillside123" localSheetId="6">#REF!</definedName>
    <definedName name="_hillside123" localSheetId="5">#REF!</definedName>
    <definedName name="_hillside123" localSheetId="28">#REF!</definedName>
    <definedName name="_hillside123" localSheetId="20">#REF!</definedName>
    <definedName name="_hillside123" localSheetId="31">#REF!</definedName>
    <definedName name="_hillside123" localSheetId="23">#REF!</definedName>
    <definedName name="_hillside123" localSheetId="8">#REF!</definedName>
    <definedName name="_hillside123" localSheetId="16">#REF!</definedName>
    <definedName name="_hillside123" localSheetId="15">#REF!</definedName>
    <definedName name="_hillside123" localSheetId="7">#REF!</definedName>
    <definedName name="_hillside123" localSheetId="10">#REF!</definedName>
    <definedName name="_hillside123" localSheetId="18">#REF!</definedName>
    <definedName name="_hillside123" localSheetId="9">#REF!</definedName>
    <definedName name="_hillside123" localSheetId="17">#REF!</definedName>
    <definedName name="_hillside123" localSheetId="33">#REF!</definedName>
    <definedName name="_hillside123" localSheetId="34">#REF!</definedName>
    <definedName name="_hillside123" localSheetId="32">#REF!</definedName>
    <definedName name="_hillside123" localSheetId="24">#REF!</definedName>
    <definedName name="_hillside123" localSheetId="25">#REF!</definedName>
    <definedName name="_hillside123" localSheetId="26">#REF!</definedName>
    <definedName name="_hillside123" localSheetId="12">#REF!</definedName>
    <definedName name="_hillside123" localSheetId="11">#REF!</definedName>
    <definedName name="_hillside123" localSheetId="14">#REF!</definedName>
    <definedName name="_hillside123" localSheetId="13">#REF!</definedName>
    <definedName name="_hillside123">#REF!</definedName>
    <definedName name="_klq6" localSheetId="27">#REF!</definedName>
    <definedName name="_klq6" localSheetId="19">#REF!</definedName>
    <definedName name="_klq6" localSheetId="4">#REF!</definedName>
    <definedName name="_klq6" localSheetId="3">#REF!</definedName>
    <definedName name="_klq6" localSheetId="6">#REF!</definedName>
    <definedName name="_klq6" localSheetId="5">#REF!</definedName>
    <definedName name="_klq6" localSheetId="28">#REF!</definedName>
    <definedName name="_klq6" localSheetId="20">#REF!</definedName>
    <definedName name="_klq6" localSheetId="31">#REF!</definedName>
    <definedName name="_klq6" localSheetId="23">#REF!</definedName>
    <definedName name="_klq6" localSheetId="8">#REF!</definedName>
    <definedName name="_klq6" localSheetId="16">#REF!</definedName>
    <definedName name="_klq6" localSheetId="15">#REF!</definedName>
    <definedName name="_klq6" localSheetId="7">#REF!</definedName>
    <definedName name="_klq6" localSheetId="10">#REF!</definedName>
    <definedName name="_klq6" localSheetId="18">#REF!</definedName>
    <definedName name="_klq6" localSheetId="9">#REF!</definedName>
    <definedName name="_klq6" localSheetId="17">#REF!</definedName>
    <definedName name="_klq6" localSheetId="33">#REF!</definedName>
    <definedName name="_klq6" localSheetId="34">#REF!</definedName>
    <definedName name="_klq6" localSheetId="32">#REF!</definedName>
    <definedName name="_klq6" localSheetId="24">#REF!</definedName>
    <definedName name="_klq6" localSheetId="25">#REF!</definedName>
    <definedName name="_klq6" localSheetId="26">#REF!</definedName>
    <definedName name="_klq6" localSheetId="12">#REF!</definedName>
    <definedName name="_klq6" localSheetId="11">#REF!</definedName>
    <definedName name="_klq6" localSheetId="14">#REF!</definedName>
    <definedName name="_klq6" localSheetId="13">#REF!</definedName>
    <definedName name="_klq6">#REF!</definedName>
    <definedName name="_kz6" localSheetId="27">#REF!</definedName>
    <definedName name="_kz6" localSheetId="19">#REF!</definedName>
    <definedName name="_kz6" localSheetId="4">#REF!</definedName>
    <definedName name="_kz6" localSheetId="3">#REF!</definedName>
    <definedName name="_kz6" localSheetId="6">#REF!</definedName>
    <definedName name="_kz6" localSheetId="5">#REF!</definedName>
    <definedName name="_kz6" localSheetId="28">#REF!</definedName>
    <definedName name="_kz6" localSheetId="20">#REF!</definedName>
    <definedName name="_kz6" localSheetId="31">#REF!</definedName>
    <definedName name="_kz6" localSheetId="23">#REF!</definedName>
    <definedName name="_kz6" localSheetId="8">#REF!</definedName>
    <definedName name="_kz6" localSheetId="16">#REF!</definedName>
    <definedName name="_kz6" localSheetId="15">#REF!</definedName>
    <definedName name="_kz6" localSheetId="7">#REF!</definedName>
    <definedName name="_kz6" localSheetId="10">#REF!</definedName>
    <definedName name="_kz6" localSheetId="18">#REF!</definedName>
    <definedName name="_kz6" localSheetId="9">#REF!</definedName>
    <definedName name="_kz6" localSheetId="17">#REF!</definedName>
    <definedName name="_kz6" localSheetId="33">#REF!</definedName>
    <definedName name="_kz6" localSheetId="34">#REF!</definedName>
    <definedName name="_kz6" localSheetId="32">#REF!</definedName>
    <definedName name="_kz6" localSheetId="24">#REF!</definedName>
    <definedName name="_kz6" localSheetId="25">#REF!</definedName>
    <definedName name="_kz6" localSheetId="26">#REF!</definedName>
    <definedName name="_kz6" localSheetId="12">#REF!</definedName>
    <definedName name="_kz6" localSheetId="11">#REF!</definedName>
    <definedName name="_kz6" localSheetId="14">#REF!</definedName>
    <definedName name="_kz6" localSheetId="13">#REF!</definedName>
    <definedName name="_kz6">#REF!</definedName>
    <definedName name="_OWNERSHIP" localSheetId="27">#REF!</definedName>
    <definedName name="_OWNERSHIP" localSheetId="19">#REF!</definedName>
    <definedName name="_OWNERSHIP" localSheetId="4">#REF!</definedName>
    <definedName name="_OWNERSHIP" localSheetId="3">#REF!</definedName>
    <definedName name="_OWNERSHIP" localSheetId="6">#REF!</definedName>
    <definedName name="_OWNERSHIP" localSheetId="5">#REF!</definedName>
    <definedName name="_OWNERSHIP" localSheetId="28">#REF!</definedName>
    <definedName name="_OWNERSHIP" localSheetId="20">#REF!</definedName>
    <definedName name="_OWNERSHIP" localSheetId="31">#REF!</definedName>
    <definedName name="_OWNERSHIP" localSheetId="23">#REF!</definedName>
    <definedName name="_OWNERSHIP" localSheetId="8">#REF!</definedName>
    <definedName name="_OWNERSHIP" localSheetId="16">#REF!</definedName>
    <definedName name="_OWNERSHIP" localSheetId="15">#REF!</definedName>
    <definedName name="_OWNERSHIP" localSheetId="7">#REF!</definedName>
    <definedName name="_OWNERSHIP" localSheetId="10">#REF!</definedName>
    <definedName name="_OWNERSHIP" localSheetId="18">#REF!</definedName>
    <definedName name="_OWNERSHIP" localSheetId="9">#REF!</definedName>
    <definedName name="_OWNERSHIP" localSheetId="17">#REF!</definedName>
    <definedName name="_OWNERSHIP" localSheetId="33">#REF!</definedName>
    <definedName name="_OWNERSHIP" localSheetId="34">#REF!</definedName>
    <definedName name="_OWNERSHIP" localSheetId="32">#REF!</definedName>
    <definedName name="_OWNERSHIP" localSheetId="24">#REF!</definedName>
    <definedName name="_OWNERSHIP" localSheetId="25">#REF!</definedName>
    <definedName name="_OWNERSHIP" localSheetId="26">#REF!</definedName>
    <definedName name="_OWNERSHIP" localSheetId="12">#REF!</definedName>
    <definedName name="_OWNERSHIP" localSheetId="11">#REF!</definedName>
    <definedName name="_OWNERSHIP" localSheetId="14">#REF!</definedName>
    <definedName name="_OWNERSHIP" localSheetId="13">#REF!</definedName>
    <definedName name="_OWNERSHIP">#REF!</definedName>
    <definedName name="_SL101" localSheetId="27">#REF!</definedName>
    <definedName name="_SL101" localSheetId="19">#REF!</definedName>
    <definedName name="_SL101" localSheetId="4">#REF!</definedName>
    <definedName name="_SL101" localSheetId="3">#REF!</definedName>
    <definedName name="_SL101" localSheetId="6">#REF!</definedName>
    <definedName name="_SL101" localSheetId="5">#REF!</definedName>
    <definedName name="_SL101" localSheetId="28">#REF!</definedName>
    <definedName name="_SL101" localSheetId="20">#REF!</definedName>
    <definedName name="_SL101" localSheetId="31">#REF!</definedName>
    <definedName name="_SL101" localSheetId="23">#REF!</definedName>
    <definedName name="_SL101" localSheetId="8">#REF!</definedName>
    <definedName name="_SL101" localSheetId="16">#REF!</definedName>
    <definedName name="_SL101" localSheetId="15">#REF!</definedName>
    <definedName name="_SL101" localSheetId="7">#REF!</definedName>
    <definedName name="_SL101" localSheetId="10">#REF!</definedName>
    <definedName name="_SL101" localSheetId="18">#REF!</definedName>
    <definedName name="_SL101" localSheetId="9">#REF!</definedName>
    <definedName name="_SL101" localSheetId="17">#REF!</definedName>
    <definedName name="_SL101" localSheetId="33">#REF!</definedName>
    <definedName name="_SL101" localSheetId="34">#REF!</definedName>
    <definedName name="_SL101" localSheetId="32">#REF!</definedName>
    <definedName name="_SL101" localSheetId="24">#REF!</definedName>
    <definedName name="_SL101" localSheetId="25">#REF!</definedName>
    <definedName name="_SL101" localSheetId="26">#REF!</definedName>
    <definedName name="_SL101" localSheetId="12">#REF!</definedName>
    <definedName name="_SL101" localSheetId="11">#REF!</definedName>
    <definedName name="_SL101" localSheetId="14">#REF!</definedName>
    <definedName name="_SL101" localSheetId="13">#REF!</definedName>
    <definedName name="_SL101">#REF!</definedName>
    <definedName name="\" localSheetId="27">#REF!</definedName>
    <definedName name="\" localSheetId="19">#REF!</definedName>
    <definedName name="\" localSheetId="4">#REF!</definedName>
    <definedName name="\" localSheetId="3">#REF!</definedName>
    <definedName name="\" localSheetId="6">#REF!</definedName>
    <definedName name="\" localSheetId="5">#REF!</definedName>
    <definedName name="\" localSheetId="28">#REF!</definedName>
    <definedName name="\" localSheetId="20">#REF!</definedName>
    <definedName name="\" localSheetId="31">#REF!</definedName>
    <definedName name="\" localSheetId="23">#REF!</definedName>
    <definedName name="\" localSheetId="8">#REF!</definedName>
    <definedName name="\" localSheetId="16">#REF!</definedName>
    <definedName name="\" localSheetId="15">#REF!</definedName>
    <definedName name="\" localSheetId="7">#REF!</definedName>
    <definedName name="\" localSheetId="10">#REF!</definedName>
    <definedName name="\" localSheetId="18">#REF!</definedName>
    <definedName name="\" localSheetId="9">#REF!</definedName>
    <definedName name="\" localSheetId="17">#REF!</definedName>
    <definedName name="\" localSheetId="33">#REF!</definedName>
    <definedName name="\" localSheetId="34">#REF!</definedName>
    <definedName name="\" localSheetId="32">#REF!</definedName>
    <definedName name="\" localSheetId="24">#REF!</definedName>
    <definedName name="\" localSheetId="25">#REF!</definedName>
    <definedName name="\" localSheetId="26">#REF!</definedName>
    <definedName name="\" localSheetId="12">#REF!</definedName>
    <definedName name="\" localSheetId="11">#REF!</definedName>
    <definedName name="\" localSheetId="14">#REF!</definedName>
    <definedName name="\" localSheetId="13">#REF!</definedName>
    <definedName name="\">#REF!</definedName>
    <definedName name="A" localSheetId="27">#REF!</definedName>
    <definedName name="A" localSheetId="19">#REF!</definedName>
    <definedName name="A" localSheetId="4">#REF!</definedName>
    <definedName name="A" localSheetId="3">#REF!</definedName>
    <definedName name="A" localSheetId="6">#REF!</definedName>
    <definedName name="A" localSheetId="5">#REF!</definedName>
    <definedName name="A" localSheetId="28">#REF!</definedName>
    <definedName name="A" localSheetId="20">#REF!</definedName>
    <definedName name="A" localSheetId="31">#REF!</definedName>
    <definedName name="A" localSheetId="23">#REF!</definedName>
    <definedName name="A" localSheetId="8">#REF!</definedName>
    <definedName name="A" localSheetId="16">#REF!</definedName>
    <definedName name="A" localSheetId="15">#REF!</definedName>
    <definedName name="A" localSheetId="7">#REF!</definedName>
    <definedName name="A" localSheetId="10">#REF!</definedName>
    <definedName name="A" localSheetId="18">#REF!</definedName>
    <definedName name="A" localSheetId="9">#REF!</definedName>
    <definedName name="A" localSheetId="17">#REF!</definedName>
    <definedName name="A" localSheetId="33">#REF!</definedName>
    <definedName name="A" localSheetId="34">#REF!</definedName>
    <definedName name="A" localSheetId="32">#REF!</definedName>
    <definedName name="A" localSheetId="24">#REF!</definedName>
    <definedName name="A" localSheetId="25">#REF!</definedName>
    <definedName name="A" localSheetId="26">#REF!</definedName>
    <definedName name="A" localSheetId="12">#REF!</definedName>
    <definedName name="A" localSheetId="11">#REF!</definedName>
    <definedName name="A" localSheetId="14">#REF!</definedName>
    <definedName name="A" localSheetId="13">#REF!</definedName>
    <definedName name="A">#REF!</definedName>
    <definedName name="A_3" localSheetId="27">#REF!</definedName>
    <definedName name="A_3" localSheetId="19">#REF!</definedName>
    <definedName name="A_3" localSheetId="4">#REF!</definedName>
    <definedName name="A_3" localSheetId="3">#REF!</definedName>
    <definedName name="A_3" localSheetId="6">#REF!</definedName>
    <definedName name="A_3" localSheetId="5">#REF!</definedName>
    <definedName name="A_3" localSheetId="28">#REF!</definedName>
    <definedName name="A_3" localSheetId="20">#REF!</definedName>
    <definedName name="A_3" localSheetId="31">#REF!</definedName>
    <definedName name="A_3" localSheetId="23">#REF!</definedName>
    <definedName name="A_3" localSheetId="8">#REF!</definedName>
    <definedName name="A_3" localSheetId="16">#REF!</definedName>
    <definedName name="A_3" localSheetId="15">#REF!</definedName>
    <definedName name="A_3" localSheetId="7">#REF!</definedName>
    <definedName name="A_3" localSheetId="10">#REF!</definedName>
    <definedName name="A_3" localSheetId="18">#REF!</definedName>
    <definedName name="A_3" localSheetId="9">#REF!</definedName>
    <definedName name="A_3" localSheetId="17">#REF!</definedName>
    <definedName name="A_3" localSheetId="33">#REF!</definedName>
    <definedName name="A_3" localSheetId="34">#REF!</definedName>
    <definedName name="A_3" localSheetId="32">#REF!</definedName>
    <definedName name="A_3" localSheetId="24">#REF!</definedName>
    <definedName name="A_3" localSheetId="25">#REF!</definedName>
    <definedName name="A_3" localSheetId="26">#REF!</definedName>
    <definedName name="A_3" localSheetId="12">#REF!</definedName>
    <definedName name="A_3" localSheetId="11">#REF!</definedName>
    <definedName name="A_3" localSheetId="14">#REF!</definedName>
    <definedName name="A_3" localSheetId="13">#REF!</definedName>
    <definedName name="A_3">#REF!</definedName>
    <definedName name="AdPromo">[2]Assumptions!$E$77</definedName>
    <definedName name="ALlan" localSheetId="27">#REF!</definedName>
    <definedName name="ALlan" localSheetId="19">#REF!</definedName>
    <definedName name="ALlan" localSheetId="4">#REF!</definedName>
    <definedName name="ALlan" localSheetId="3">#REF!</definedName>
    <definedName name="ALlan" localSheetId="6">#REF!</definedName>
    <definedName name="ALlan" localSheetId="5">#REF!</definedName>
    <definedName name="ALlan" localSheetId="28">#REF!</definedName>
    <definedName name="ALlan" localSheetId="20">#REF!</definedName>
    <definedName name="ALlan" localSheetId="31">#REF!</definedName>
    <definedName name="ALlan" localSheetId="23">#REF!</definedName>
    <definedName name="ALlan" localSheetId="8">#REF!</definedName>
    <definedName name="ALlan" localSheetId="16">#REF!</definedName>
    <definedName name="ALlan" localSheetId="15">#REF!</definedName>
    <definedName name="ALlan" localSheetId="7">#REF!</definedName>
    <definedName name="ALlan" localSheetId="10">#REF!</definedName>
    <definedName name="ALlan" localSheetId="18">#REF!</definedName>
    <definedName name="ALlan" localSheetId="9">#REF!</definedName>
    <definedName name="ALlan" localSheetId="17">#REF!</definedName>
    <definedName name="ALlan" localSheetId="33">#REF!</definedName>
    <definedName name="ALlan" localSheetId="34">#REF!</definedName>
    <definedName name="ALlan" localSheetId="32">#REF!</definedName>
    <definedName name="ALlan" localSheetId="24">#REF!</definedName>
    <definedName name="ALlan" localSheetId="25">#REF!</definedName>
    <definedName name="ALlan" localSheetId="26">#REF!</definedName>
    <definedName name="ALlan" localSheetId="12">#REF!</definedName>
    <definedName name="ALlan" localSheetId="11">#REF!</definedName>
    <definedName name="ALlan" localSheetId="14">#REF!</definedName>
    <definedName name="ALlan" localSheetId="13">#REF!</definedName>
    <definedName name="ALlan">#REF!</definedName>
    <definedName name="B" localSheetId="27">#REF!</definedName>
    <definedName name="B" localSheetId="19">#REF!</definedName>
    <definedName name="B" localSheetId="4">#REF!</definedName>
    <definedName name="B" localSheetId="3">#REF!</definedName>
    <definedName name="B" localSheetId="6">#REF!</definedName>
    <definedName name="B" localSheetId="28">#REF!</definedName>
    <definedName name="B" localSheetId="20">#REF!</definedName>
    <definedName name="B" localSheetId="31">#REF!</definedName>
    <definedName name="B" localSheetId="23">#REF!</definedName>
    <definedName name="B" localSheetId="8">#REF!</definedName>
    <definedName name="B" localSheetId="16">#REF!</definedName>
    <definedName name="B" localSheetId="15">#REF!</definedName>
    <definedName name="B" localSheetId="7">#REF!</definedName>
    <definedName name="B" localSheetId="10">#REF!</definedName>
    <definedName name="B" localSheetId="18">#REF!</definedName>
    <definedName name="B" localSheetId="9">#REF!</definedName>
    <definedName name="B" localSheetId="17">#REF!</definedName>
    <definedName name="B" localSheetId="33">#REF!</definedName>
    <definedName name="B" localSheetId="34">#REF!</definedName>
    <definedName name="B" localSheetId="32">#REF!</definedName>
    <definedName name="B" localSheetId="24">#REF!</definedName>
    <definedName name="B" localSheetId="25">#REF!</definedName>
    <definedName name="B" localSheetId="26">#REF!</definedName>
    <definedName name="B" localSheetId="12">#REF!</definedName>
    <definedName name="B" localSheetId="11">#REF!</definedName>
    <definedName name="B" localSheetId="14">#REF!</definedName>
    <definedName name="B" localSheetId="13">#REF!</definedName>
    <definedName name="B">#REF!</definedName>
    <definedName name="BALA" localSheetId="27">[2]Assumptions!#REF!</definedName>
    <definedName name="BALA" localSheetId="19">[2]Assumptions!#REF!</definedName>
    <definedName name="BALA" localSheetId="4">[2]Assumptions!#REF!</definedName>
    <definedName name="BALA" localSheetId="3">[2]Assumptions!#REF!</definedName>
    <definedName name="BALA" localSheetId="6">[2]Assumptions!#REF!</definedName>
    <definedName name="BALA" localSheetId="5">[2]Assumptions!#REF!</definedName>
    <definedName name="BALA" localSheetId="28">[2]Assumptions!#REF!</definedName>
    <definedName name="BALA" localSheetId="20">[2]Assumptions!#REF!</definedName>
    <definedName name="BALA" localSheetId="31">[2]Assumptions!#REF!</definedName>
    <definedName name="BALA" localSheetId="23">[2]Assumptions!#REF!</definedName>
    <definedName name="BALA" localSheetId="8">[2]Assumptions!#REF!</definedName>
    <definedName name="BALA" localSheetId="16">[2]Assumptions!#REF!</definedName>
    <definedName name="BALA" localSheetId="15">[2]Assumptions!#REF!</definedName>
    <definedName name="BALA" localSheetId="7">[2]Assumptions!#REF!</definedName>
    <definedName name="BALA" localSheetId="10">[2]Assumptions!#REF!</definedName>
    <definedName name="BALA" localSheetId="18">[2]Assumptions!#REF!</definedName>
    <definedName name="BALA" localSheetId="9">[2]Assumptions!#REF!</definedName>
    <definedName name="BALA" localSheetId="17">[2]Assumptions!#REF!</definedName>
    <definedName name="BALA" localSheetId="33">[2]Assumptions!#REF!</definedName>
    <definedName name="BALA" localSheetId="34">[2]Assumptions!#REF!</definedName>
    <definedName name="BALA" localSheetId="32">[2]Assumptions!#REF!</definedName>
    <definedName name="BALA" localSheetId="24">[2]Assumptions!#REF!</definedName>
    <definedName name="BALA" localSheetId="25">[2]Assumptions!#REF!</definedName>
    <definedName name="BALA" localSheetId="26">[2]Assumptions!#REF!</definedName>
    <definedName name="BALA" localSheetId="12">[2]Assumptions!#REF!</definedName>
    <definedName name="BALA" localSheetId="11">[2]Assumptions!#REF!</definedName>
    <definedName name="BALA" localSheetId="14">[2]Assumptions!#REF!</definedName>
    <definedName name="BALA" localSheetId="13">[2]Assumptions!#REF!</definedName>
    <definedName name="BALA">[2]Assumptions!#REF!</definedName>
    <definedName name="BaseNPV" localSheetId="27">#REF!</definedName>
    <definedName name="BaseNPV" localSheetId="19">#REF!</definedName>
    <definedName name="BaseNPV" localSheetId="4">#REF!</definedName>
    <definedName name="BaseNPV" localSheetId="3">#REF!</definedName>
    <definedName name="BaseNPV" localSheetId="6">#REF!</definedName>
    <definedName name="BaseNPV" localSheetId="5">#REF!</definedName>
    <definedName name="BaseNPV" localSheetId="28">#REF!</definedName>
    <definedName name="BaseNPV" localSheetId="20">#REF!</definedName>
    <definedName name="BaseNPV" localSheetId="31">#REF!</definedName>
    <definedName name="BaseNPV" localSheetId="23">#REF!</definedName>
    <definedName name="BaseNPV" localSheetId="8">#REF!</definedName>
    <definedName name="BaseNPV" localSheetId="16">#REF!</definedName>
    <definedName name="BaseNPV" localSheetId="15">#REF!</definedName>
    <definedName name="BaseNPV" localSheetId="7">#REF!</definedName>
    <definedName name="BaseNPV" localSheetId="10">#REF!</definedName>
    <definedName name="BaseNPV" localSheetId="18">#REF!</definedName>
    <definedName name="BaseNPV" localSheetId="9">#REF!</definedName>
    <definedName name="BaseNPV" localSheetId="17">#REF!</definedName>
    <definedName name="BaseNPV" localSheetId="33">#REF!</definedName>
    <definedName name="BaseNPV" localSheetId="34">#REF!</definedName>
    <definedName name="BaseNPV" localSheetId="32">#REF!</definedName>
    <definedName name="BaseNPV" localSheetId="24">#REF!</definedName>
    <definedName name="BaseNPV" localSheetId="25">#REF!</definedName>
    <definedName name="BaseNPV" localSheetId="26">#REF!</definedName>
    <definedName name="BaseNPV" localSheetId="12">#REF!</definedName>
    <definedName name="BaseNPV" localSheetId="11">#REF!</definedName>
    <definedName name="BaseNPV" localSheetId="14">#REF!</definedName>
    <definedName name="BaseNPV" localSheetId="13">#REF!</definedName>
    <definedName name="BaseNPV">#REF!</definedName>
    <definedName name="BaseNPV_1" localSheetId="27">#REF!</definedName>
    <definedName name="BaseNPV_1" localSheetId="19">#REF!</definedName>
    <definedName name="BaseNPV_1" localSheetId="4">#REF!</definedName>
    <definedName name="BaseNPV_1" localSheetId="3">#REF!</definedName>
    <definedName name="BaseNPV_1" localSheetId="6">#REF!</definedName>
    <definedName name="BaseNPV_1" localSheetId="5">#REF!</definedName>
    <definedName name="BaseNPV_1" localSheetId="28">#REF!</definedName>
    <definedName name="BaseNPV_1" localSheetId="20">#REF!</definedName>
    <definedName name="BaseNPV_1" localSheetId="31">#REF!</definedName>
    <definedName name="BaseNPV_1" localSheetId="23">#REF!</definedName>
    <definedName name="BaseNPV_1" localSheetId="8">#REF!</definedName>
    <definedName name="BaseNPV_1" localSheetId="16">#REF!</definedName>
    <definedName name="BaseNPV_1" localSheetId="15">#REF!</definedName>
    <definedName name="BaseNPV_1" localSheetId="7">#REF!</definedName>
    <definedName name="BaseNPV_1" localSheetId="10">#REF!</definedName>
    <definedName name="BaseNPV_1" localSheetId="18">#REF!</definedName>
    <definedName name="BaseNPV_1" localSheetId="9">#REF!</definedName>
    <definedName name="BaseNPV_1" localSheetId="17">#REF!</definedName>
    <definedName name="BaseNPV_1" localSheetId="33">#REF!</definedName>
    <definedName name="BaseNPV_1" localSheetId="34">#REF!</definedName>
    <definedName name="BaseNPV_1" localSheetId="32">#REF!</definedName>
    <definedName name="BaseNPV_1" localSheetId="24">#REF!</definedName>
    <definedName name="BaseNPV_1" localSheetId="25">#REF!</definedName>
    <definedName name="BaseNPV_1" localSheetId="26">#REF!</definedName>
    <definedName name="BaseNPV_1" localSheetId="12">#REF!</definedName>
    <definedName name="BaseNPV_1" localSheetId="11">#REF!</definedName>
    <definedName name="BaseNPV_1" localSheetId="14">#REF!</definedName>
    <definedName name="BaseNPV_1" localSheetId="13">#REF!</definedName>
    <definedName name="BaseNPV_1">#REF!</definedName>
    <definedName name="blk_l0t" localSheetId="27">#REF!</definedName>
    <definedName name="blk_l0t" localSheetId="19">#REF!</definedName>
    <definedName name="blk_l0t" localSheetId="4">#REF!</definedName>
    <definedName name="blk_l0t" localSheetId="3">#REF!</definedName>
    <definedName name="blk_l0t" localSheetId="6">#REF!</definedName>
    <definedName name="blk_l0t" localSheetId="5">#REF!</definedName>
    <definedName name="blk_l0t" localSheetId="28">#REF!</definedName>
    <definedName name="blk_l0t" localSheetId="20">#REF!</definedName>
    <definedName name="blk_l0t" localSheetId="31">#REF!</definedName>
    <definedName name="blk_l0t" localSheetId="23">#REF!</definedName>
    <definedName name="blk_l0t" localSheetId="8">#REF!</definedName>
    <definedName name="blk_l0t" localSheetId="16">#REF!</definedName>
    <definedName name="blk_l0t" localSheetId="15">#REF!</definedName>
    <definedName name="blk_l0t" localSheetId="7">#REF!</definedName>
    <definedName name="blk_l0t" localSheetId="10">#REF!</definedName>
    <definedName name="blk_l0t" localSheetId="18">#REF!</definedName>
    <definedName name="blk_l0t" localSheetId="9">#REF!</definedName>
    <definedName name="blk_l0t" localSheetId="17">#REF!</definedName>
    <definedName name="blk_l0t" localSheetId="33">#REF!</definedName>
    <definedName name="blk_l0t" localSheetId="34">#REF!</definedName>
    <definedName name="blk_l0t" localSheetId="32">#REF!</definedName>
    <definedName name="blk_l0t" localSheetId="24">#REF!</definedName>
    <definedName name="blk_l0t" localSheetId="25">#REF!</definedName>
    <definedName name="blk_l0t" localSheetId="26">#REF!</definedName>
    <definedName name="blk_l0t" localSheetId="12">#REF!</definedName>
    <definedName name="blk_l0t" localSheetId="11">#REF!</definedName>
    <definedName name="blk_l0t" localSheetId="14">#REF!</definedName>
    <definedName name="blk_l0t" localSheetId="13">#REF!</definedName>
    <definedName name="blk_l0t">#REF!</definedName>
    <definedName name="case_current" localSheetId="27">#REF!</definedName>
    <definedName name="case_current" localSheetId="19">#REF!</definedName>
    <definedName name="case_current" localSheetId="4">#REF!</definedName>
    <definedName name="case_current" localSheetId="3">#REF!</definedName>
    <definedName name="case_current" localSheetId="6">#REF!</definedName>
    <definedName name="case_current" localSheetId="5">#REF!</definedName>
    <definedName name="case_current" localSheetId="28">#REF!</definedName>
    <definedName name="case_current" localSheetId="20">#REF!</definedName>
    <definedName name="case_current" localSheetId="31">#REF!</definedName>
    <definedName name="case_current" localSheetId="23">#REF!</definedName>
    <definedName name="case_current" localSheetId="8">#REF!</definedName>
    <definedName name="case_current" localSheetId="16">#REF!</definedName>
    <definedName name="case_current" localSheetId="15">#REF!</definedName>
    <definedName name="case_current" localSheetId="7">#REF!</definedName>
    <definedName name="case_current" localSheetId="10">#REF!</definedName>
    <definedName name="case_current" localSheetId="18">#REF!</definedName>
    <definedName name="case_current" localSheetId="9">#REF!</definedName>
    <definedName name="case_current" localSheetId="17">#REF!</definedName>
    <definedName name="case_current" localSheetId="33">#REF!</definedName>
    <definedName name="case_current" localSheetId="34">#REF!</definedName>
    <definedName name="case_current" localSheetId="32">#REF!</definedName>
    <definedName name="case_current" localSheetId="24">#REF!</definedName>
    <definedName name="case_current" localSheetId="25">#REF!</definedName>
    <definedName name="case_current" localSheetId="26">#REF!</definedName>
    <definedName name="case_current" localSheetId="12">#REF!</definedName>
    <definedName name="case_current" localSheetId="11">#REF!</definedName>
    <definedName name="case_current" localSheetId="14">#REF!</definedName>
    <definedName name="case_current" localSheetId="13">#REF!</definedName>
    <definedName name="case_current">#REF!</definedName>
    <definedName name="case_current_1" localSheetId="27">#REF!</definedName>
    <definedName name="case_current_1" localSheetId="19">#REF!</definedName>
    <definedName name="case_current_1" localSheetId="4">#REF!</definedName>
    <definedName name="case_current_1" localSheetId="3">#REF!</definedName>
    <definedName name="case_current_1" localSheetId="6">#REF!</definedName>
    <definedName name="case_current_1" localSheetId="5">#REF!</definedName>
    <definedName name="case_current_1" localSheetId="28">#REF!</definedName>
    <definedName name="case_current_1" localSheetId="20">#REF!</definedName>
    <definedName name="case_current_1" localSheetId="31">#REF!</definedName>
    <definedName name="case_current_1" localSheetId="23">#REF!</definedName>
    <definedName name="case_current_1" localSheetId="8">#REF!</definedName>
    <definedName name="case_current_1" localSheetId="16">#REF!</definedName>
    <definedName name="case_current_1" localSheetId="15">#REF!</definedName>
    <definedName name="case_current_1" localSheetId="7">#REF!</definedName>
    <definedName name="case_current_1" localSheetId="10">#REF!</definedName>
    <definedName name="case_current_1" localSheetId="18">#REF!</definedName>
    <definedName name="case_current_1" localSheetId="9">#REF!</definedName>
    <definedName name="case_current_1" localSheetId="17">#REF!</definedName>
    <definedName name="case_current_1" localSheetId="33">#REF!</definedName>
    <definedName name="case_current_1" localSheetId="34">#REF!</definedName>
    <definedName name="case_current_1" localSheetId="32">#REF!</definedName>
    <definedName name="case_current_1" localSheetId="24">#REF!</definedName>
    <definedName name="case_current_1" localSheetId="25">#REF!</definedName>
    <definedName name="case_current_1" localSheetId="26">#REF!</definedName>
    <definedName name="case_current_1" localSheetId="12">#REF!</definedName>
    <definedName name="case_current_1" localSheetId="11">#REF!</definedName>
    <definedName name="case_current_1" localSheetId="14">#REF!</definedName>
    <definedName name="case_current_1" localSheetId="13">#REF!</definedName>
    <definedName name="case_current_1">#REF!</definedName>
    <definedName name="CASE_kwje" localSheetId="27">#REF!</definedName>
    <definedName name="CASE_kwje" localSheetId="19">#REF!</definedName>
    <definedName name="CASE_kwje" localSheetId="4">#REF!</definedName>
    <definedName name="CASE_kwje" localSheetId="3">#REF!</definedName>
    <definedName name="CASE_kwje" localSheetId="6">#REF!</definedName>
    <definedName name="CASE_kwje" localSheetId="5">#REF!</definedName>
    <definedName name="CASE_kwje" localSheetId="28">#REF!</definedName>
    <definedName name="CASE_kwje" localSheetId="20">#REF!</definedName>
    <definedName name="CASE_kwje" localSheetId="31">#REF!</definedName>
    <definedName name="CASE_kwje" localSheetId="23">#REF!</definedName>
    <definedName name="CASE_kwje" localSheetId="8">#REF!</definedName>
    <definedName name="CASE_kwje" localSheetId="16">#REF!</definedName>
    <definedName name="CASE_kwje" localSheetId="15">#REF!</definedName>
    <definedName name="CASE_kwje" localSheetId="7">#REF!</definedName>
    <definedName name="CASE_kwje" localSheetId="10">#REF!</definedName>
    <definedName name="CASE_kwje" localSheetId="18">#REF!</definedName>
    <definedName name="CASE_kwje" localSheetId="9">#REF!</definedName>
    <definedName name="CASE_kwje" localSheetId="17">#REF!</definedName>
    <definedName name="CASE_kwje" localSheetId="33">#REF!</definedName>
    <definedName name="CASE_kwje" localSheetId="34">#REF!</definedName>
    <definedName name="CASE_kwje" localSheetId="32">#REF!</definedName>
    <definedName name="CASE_kwje" localSheetId="24">#REF!</definedName>
    <definedName name="CASE_kwje" localSheetId="25">#REF!</definedName>
    <definedName name="CASE_kwje" localSheetId="26">#REF!</definedName>
    <definedName name="CASE_kwje" localSheetId="12">#REF!</definedName>
    <definedName name="CASE_kwje" localSheetId="11">#REF!</definedName>
    <definedName name="CASE_kwje" localSheetId="14">#REF!</definedName>
    <definedName name="CASE_kwje" localSheetId="13">#REF!</definedName>
    <definedName name="CASE_kwje">#REF!</definedName>
    <definedName name="case_max" localSheetId="27">#REF!</definedName>
    <definedName name="case_max" localSheetId="19">#REF!</definedName>
    <definedName name="case_max" localSheetId="4">#REF!</definedName>
    <definedName name="case_max" localSheetId="3">#REF!</definedName>
    <definedName name="case_max" localSheetId="6">#REF!</definedName>
    <definedName name="case_max" localSheetId="5">#REF!</definedName>
    <definedName name="case_max" localSheetId="28">#REF!</definedName>
    <definedName name="case_max" localSheetId="20">#REF!</definedName>
    <definedName name="case_max" localSheetId="31">#REF!</definedName>
    <definedName name="case_max" localSheetId="23">#REF!</definedName>
    <definedName name="case_max" localSheetId="8">#REF!</definedName>
    <definedName name="case_max" localSheetId="16">#REF!</definedName>
    <definedName name="case_max" localSheetId="15">#REF!</definedName>
    <definedName name="case_max" localSheetId="7">#REF!</definedName>
    <definedName name="case_max" localSheetId="10">#REF!</definedName>
    <definedName name="case_max" localSheetId="18">#REF!</definedName>
    <definedName name="case_max" localSheetId="9">#REF!</definedName>
    <definedName name="case_max" localSheetId="17">#REF!</definedName>
    <definedName name="case_max" localSheetId="33">#REF!</definedName>
    <definedName name="case_max" localSheetId="34">#REF!</definedName>
    <definedName name="case_max" localSheetId="32">#REF!</definedName>
    <definedName name="case_max" localSheetId="24">#REF!</definedName>
    <definedName name="case_max" localSheetId="25">#REF!</definedName>
    <definedName name="case_max" localSheetId="26">#REF!</definedName>
    <definedName name="case_max" localSheetId="12">#REF!</definedName>
    <definedName name="case_max" localSheetId="11">#REF!</definedName>
    <definedName name="case_max" localSheetId="14">#REF!</definedName>
    <definedName name="case_max" localSheetId="13">#REF!</definedName>
    <definedName name="case_max">#REF!</definedName>
    <definedName name="case_max_1" localSheetId="27">#REF!</definedName>
    <definedName name="case_max_1" localSheetId="19">#REF!</definedName>
    <definedName name="case_max_1" localSheetId="4">#REF!</definedName>
    <definedName name="case_max_1" localSheetId="3">#REF!</definedName>
    <definedName name="case_max_1" localSheetId="6">#REF!</definedName>
    <definedName name="case_max_1" localSheetId="5">#REF!</definedName>
    <definedName name="case_max_1" localSheetId="28">#REF!</definedName>
    <definedName name="case_max_1" localSheetId="20">#REF!</definedName>
    <definedName name="case_max_1" localSheetId="31">#REF!</definedName>
    <definedName name="case_max_1" localSheetId="23">#REF!</definedName>
    <definedName name="case_max_1" localSheetId="8">#REF!</definedName>
    <definedName name="case_max_1" localSheetId="16">#REF!</definedName>
    <definedName name="case_max_1" localSheetId="15">#REF!</definedName>
    <definedName name="case_max_1" localSheetId="7">#REF!</definedName>
    <definedName name="case_max_1" localSheetId="10">#REF!</definedName>
    <definedName name="case_max_1" localSheetId="18">#REF!</definedName>
    <definedName name="case_max_1" localSheetId="9">#REF!</definedName>
    <definedName name="case_max_1" localSheetId="17">#REF!</definedName>
    <definedName name="case_max_1" localSheetId="33">#REF!</definedName>
    <definedName name="case_max_1" localSheetId="34">#REF!</definedName>
    <definedName name="case_max_1" localSheetId="32">#REF!</definedName>
    <definedName name="case_max_1" localSheetId="24">#REF!</definedName>
    <definedName name="case_max_1" localSheetId="25">#REF!</definedName>
    <definedName name="case_max_1" localSheetId="26">#REF!</definedName>
    <definedName name="case_max_1" localSheetId="12">#REF!</definedName>
    <definedName name="case_max_1" localSheetId="11">#REF!</definedName>
    <definedName name="case_max_1" localSheetId="14">#REF!</definedName>
    <definedName name="case_max_1" localSheetId="13">#REF!</definedName>
    <definedName name="case_max_1">#REF!</definedName>
    <definedName name="case_min" localSheetId="27">#REF!</definedName>
    <definedName name="case_min" localSheetId="19">#REF!</definedName>
    <definedName name="case_min" localSheetId="4">#REF!</definedName>
    <definedName name="case_min" localSheetId="3">#REF!</definedName>
    <definedName name="case_min" localSheetId="6">#REF!</definedName>
    <definedName name="case_min" localSheetId="5">#REF!</definedName>
    <definedName name="case_min" localSheetId="28">#REF!</definedName>
    <definedName name="case_min" localSheetId="20">#REF!</definedName>
    <definedName name="case_min" localSheetId="31">#REF!</definedName>
    <definedName name="case_min" localSheetId="23">#REF!</definedName>
    <definedName name="case_min" localSheetId="8">#REF!</definedName>
    <definedName name="case_min" localSheetId="16">#REF!</definedName>
    <definedName name="case_min" localSheetId="15">#REF!</definedName>
    <definedName name="case_min" localSheetId="7">#REF!</definedName>
    <definedName name="case_min" localSheetId="10">#REF!</definedName>
    <definedName name="case_min" localSheetId="18">#REF!</definedName>
    <definedName name="case_min" localSheetId="9">#REF!</definedName>
    <definedName name="case_min" localSheetId="17">#REF!</definedName>
    <definedName name="case_min" localSheetId="33">#REF!</definedName>
    <definedName name="case_min" localSheetId="34">#REF!</definedName>
    <definedName name="case_min" localSheetId="32">#REF!</definedName>
    <definedName name="case_min" localSheetId="24">#REF!</definedName>
    <definedName name="case_min" localSheetId="25">#REF!</definedName>
    <definedName name="case_min" localSheetId="26">#REF!</definedName>
    <definedName name="case_min" localSheetId="12">#REF!</definedName>
    <definedName name="case_min" localSheetId="11">#REF!</definedName>
    <definedName name="case_min" localSheetId="14">#REF!</definedName>
    <definedName name="case_min" localSheetId="13">#REF!</definedName>
    <definedName name="case_min">#REF!</definedName>
    <definedName name="case_min_1" localSheetId="27">#REF!</definedName>
    <definedName name="case_min_1" localSheetId="19">#REF!</definedName>
    <definedName name="case_min_1" localSheetId="4">#REF!</definedName>
    <definedName name="case_min_1" localSheetId="3">#REF!</definedName>
    <definedName name="case_min_1" localSheetId="6">#REF!</definedName>
    <definedName name="case_min_1" localSheetId="5">#REF!</definedName>
    <definedName name="case_min_1" localSheetId="28">#REF!</definedName>
    <definedName name="case_min_1" localSheetId="20">#REF!</definedName>
    <definedName name="case_min_1" localSheetId="31">#REF!</definedName>
    <definedName name="case_min_1" localSheetId="23">#REF!</definedName>
    <definedName name="case_min_1" localSheetId="8">#REF!</definedName>
    <definedName name="case_min_1" localSheetId="16">#REF!</definedName>
    <definedName name="case_min_1" localSheetId="15">#REF!</definedName>
    <definedName name="case_min_1" localSheetId="7">#REF!</definedName>
    <definedName name="case_min_1" localSheetId="10">#REF!</definedName>
    <definedName name="case_min_1" localSheetId="18">#REF!</definedName>
    <definedName name="case_min_1" localSheetId="9">#REF!</definedName>
    <definedName name="case_min_1" localSheetId="17">#REF!</definedName>
    <definedName name="case_min_1" localSheetId="33">#REF!</definedName>
    <definedName name="case_min_1" localSheetId="34">#REF!</definedName>
    <definedName name="case_min_1" localSheetId="32">#REF!</definedName>
    <definedName name="case_min_1" localSheetId="24">#REF!</definedName>
    <definedName name="case_min_1" localSheetId="25">#REF!</definedName>
    <definedName name="case_min_1" localSheetId="26">#REF!</definedName>
    <definedName name="case_min_1" localSheetId="12">#REF!</definedName>
    <definedName name="case_min_1" localSheetId="11">#REF!</definedName>
    <definedName name="case_min_1" localSheetId="14">#REF!</definedName>
    <definedName name="case_min_1" localSheetId="13">#REF!</definedName>
    <definedName name="case_min_1">#REF!</definedName>
    <definedName name="case_row" localSheetId="27">#REF!</definedName>
    <definedName name="case_row" localSheetId="19">#REF!</definedName>
    <definedName name="case_row" localSheetId="4">#REF!</definedName>
    <definedName name="case_row" localSheetId="3">#REF!</definedName>
    <definedName name="case_row" localSheetId="6">#REF!</definedName>
    <definedName name="case_row" localSheetId="5">#REF!</definedName>
    <definedName name="case_row" localSheetId="28">#REF!</definedName>
    <definedName name="case_row" localSheetId="20">#REF!</definedName>
    <definedName name="case_row" localSheetId="31">#REF!</definedName>
    <definedName name="case_row" localSheetId="23">#REF!</definedName>
    <definedName name="case_row" localSheetId="8">#REF!</definedName>
    <definedName name="case_row" localSheetId="16">#REF!</definedName>
    <definedName name="case_row" localSheetId="15">#REF!</definedName>
    <definedName name="case_row" localSheetId="7">#REF!</definedName>
    <definedName name="case_row" localSheetId="10">#REF!</definedName>
    <definedName name="case_row" localSheetId="18">#REF!</definedName>
    <definedName name="case_row" localSheetId="9">#REF!</definedName>
    <definedName name="case_row" localSheetId="17">#REF!</definedName>
    <definedName name="case_row" localSheetId="33">#REF!</definedName>
    <definedName name="case_row" localSheetId="34">#REF!</definedName>
    <definedName name="case_row" localSheetId="32">#REF!</definedName>
    <definedName name="case_row" localSheetId="24">#REF!</definedName>
    <definedName name="case_row" localSheetId="25">#REF!</definedName>
    <definedName name="case_row" localSheetId="26">#REF!</definedName>
    <definedName name="case_row" localSheetId="12">#REF!</definedName>
    <definedName name="case_row" localSheetId="11">#REF!</definedName>
    <definedName name="case_row" localSheetId="14">#REF!</definedName>
    <definedName name="case_row" localSheetId="13">#REF!</definedName>
    <definedName name="case_row">#REF!</definedName>
    <definedName name="case_row_1" localSheetId="27">#REF!</definedName>
    <definedName name="case_row_1" localSheetId="19">#REF!</definedName>
    <definedName name="case_row_1" localSheetId="4">#REF!</definedName>
    <definedName name="case_row_1" localSheetId="3">#REF!</definedName>
    <definedName name="case_row_1" localSheetId="6">#REF!</definedName>
    <definedName name="case_row_1" localSheetId="5">#REF!</definedName>
    <definedName name="case_row_1" localSheetId="28">#REF!</definedName>
    <definedName name="case_row_1" localSheetId="20">#REF!</definedName>
    <definedName name="case_row_1" localSheetId="31">#REF!</definedName>
    <definedName name="case_row_1" localSheetId="23">#REF!</definedName>
    <definedName name="case_row_1" localSheetId="8">#REF!</definedName>
    <definedName name="case_row_1" localSheetId="16">#REF!</definedName>
    <definedName name="case_row_1" localSheetId="15">#REF!</definedName>
    <definedName name="case_row_1" localSheetId="7">#REF!</definedName>
    <definedName name="case_row_1" localSheetId="10">#REF!</definedName>
    <definedName name="case_row_1" localSheetId="18">#REF!</definedName>
    <definedName name="case_row_1" localSheetId="9">#REF!</definedName>
    <definedName name="case_row_1" localSheetId="17">#REF!</definedName>
    <definedName name="case_row_1" localSheetId="33">#REF!</definedName>
    <definedName name="case_row_1" localSheetId="34">#REF!</definedName>
    <definedName name="case_row_1" localSheetId="32">#REF!</definedName>
    <definedName name="case_row_1" localSheetId="24">#REF!</definedName>
    <definedName name="case_row_1" localSheetId="25">#REF!</definedName>
    <definedName name="case_row_1" localSheetId="26">#REF!</definedName>
    <definedName name="case_row_1" localSheetId="12">#REF!</definedName>
    <definedName name="case_row_1" localSheetId="11">#REF!</definedName>
    <definedName name="case_row_1" localSheetId="14">#REF!</definedName>
    <definedName name="case_row_1" localSheetId="13">#REF!</definedName>
    <definedName name="case_row_1">#REF!</definedName>
    <definedName name="case_rowmax" localSheetId="27">#REF!</definedName>
    <definedName name="case_rowmax" localSheetId="19">#REF!</definedName>
    <definedName name="case_rowmax" localSheetId="4">#REF!</definedName>
    <definedName name="case_rowmax" localSheetId="3">#REF!</definedName>
    <definedName name="case_rowmax" localSheetId="6">#REF!</definedName>
    <definedName name="case_rowmax" localSheetId="5">#REF!</definedName>
    <definedName name="case_rowmax" localSheetId="28">#REF!</definedName>
    <definedName name="case_rowmax" localSheetId="20">#REF!</definedName>
    <definedName name="case_rowmax" localSheetId="31">#REF!</definedName>
    <definedName name="case_rowmax" localSheetId="23">#REF!</definedName>
    <definedName name="case_rowmax" localSheetId="8">#REF!</definedName>
    <definedName name="case_rowmax" localSheetId="16">#REF!</definedName>
    <definedName name="case_rowmax" localSheetId="15">#REF!</definedName>
    <definedName name="case_rowmax" localSheetId="7">#REF!</definedName>
    <definedName name="case_rowmax" localSheetId="10">#REF!</definedName>
    <definedName name="case_rowmax" localSheetId="18">#REF!</definedName>
    <definedName name="case_rowmax" localSheetId="9">#REF!</definedName>
    <definedName name="case_rowmax" localSheetId="17">#REF!</definedName>
    <definedName name="case_rowmax" localSheetId="33">#REF!</definedName>
    <definedName name="case_rowmax" localSheetId="34">#REF!</definedName>
    <definedName name="case_rowmax" localSheetId="32">#REF!</definedName>
    <definedName name="case_rowmax" localSheetId="24">#REF!</definedName>
    <definedName name="case_rowmax" localSheetId="25">#REF!</definedName>
    <definedName name="case_rowmax" localSheetId="26">#REF!</definedName>
    <definedName name="case_rowmax" localSheetId="12">#REF!</definedName>
    <definedName name="case_rowmax" localSheetId="11">#REF!</definedName>
    <definedName name="case_rowmax" localSheetId="14">#REF!</definedName>
    <definedName name="case_rowmax" localSheetId="13">#REF!</definedName>
    <definedName name="case_rowmax">#REF!</definedName>
    <definedName name="case_rowmax_1" localSheetId="27">#REF!</definedName>
    <definedName name="case_rowmax_1" localSheetId="19">#REF!</definedName>
    <definedName name="case_rowmax_1" localSheetId="4">#REF!</definedName>
    <definedName name="case_rowmax_1" localSheetId="3">#REF!</definedName>
    <definedName name="case_rowmax_1" localSheetId="6">#REF!</definedName>
    <definedName name="case_rowmax_1" localSheetId="5">#REF!</definedName>
    <definedName name="case_rowmax_1" localSheetId="28">#REF!</definedName>
    <definedName name="case_rowmax_1" localSheetId="20">#REF!</definedName>
    <definedName name="case_rowmax_1" localSheetId="31">#REF!</definedName>
    <definedName name="case_rowmax_1" localSheetId="23">#REF!</definedName>
    <definedName name="case_rowmax_1" localSheetId="8">#REF!</definedName>
    <definedName name="case_rowmax_1" localSheetId="16">#REF!</definedName>
    <definedName name="case_rowmax_1" localSheetId="15">#REF!</definedName>
    <definedName name="case_rowmax_1" localSheetId="7">#REF!</definedName>
    <definedName name="case_rowmax_1" localSheetId="10">#REF!</definedName>
    <definedName name="case_rowmax_1" localSheetId="18">#REF!</definedName>
    <definedName name="case_rowmax_1" localSheetId="9">#REF!</definedName>
    <definedName name="case_rowmax_1" localSheetId="17">#REF!</definedName>
    <definedName name="case_rowmax_1" localSheetId="33">#REF!</definedName>
    <definedName name="case_rowmax_1" localSheetId="34">#REF!</definedName>
    <definedName name="case_rowmax_1" localSheetId="32">#REF!</definedName>
    <definedName name="case_rowmax_1" localSheetId="24">#REF!</definedName>
    <definedName name="case_rowmax_1" localSheetId="25">#REF!</definedName>
    <definedName name="case_rowmax_1" localSheetId="26">#REF!</definedName>
    <definedName name="case_rowmax_1" localSheetId="12">#REF!</definedName>
    <definedName name="case_rowmax_1" localSheetId="11">#REF!</definedName>
    <definedName name="case_rowmax_1" localSheetId="14">#REF!</definedName>
    <definedName name="case_rowmax_1" localSheetId="13">#REF!</definedName>
    <definedName name="case_rowmax_1">#REF!</definedName>
    <definedName name="case_rowmin" localSheetId="27">#REF!</definedName>
    <definedName name="case_rowmin" localSheetId="19">#REF!</definedName>
    <definedName name="case_rowmin" localSheetId="4">#REF!</definedName>
    <definedName name="case_rowmin" localSheetId="3">#REF!</definedName>
    <definedName name="case_rowmin" localSheetId="6">#REF!</definedName>
    <definedName name="case_rowmin" localSheetId="5">#REF!</definedName>
    <definedName name="case_rowmin" localSheetId="28">#REF!</definedName>
    <definedName name="case_rowmin" localSheetId="20">#REF!</definedName>
    <definedName name="case_rowmin" localSheetId="31">#REF!</definedName>
    <definedName name="case_rowmin" localSheetId="23">#REF!</definedName>
    <definedName name="case_rowmin" localSheetId="8">#REF!</definedName>
    <definedName name="case_rowmin" localSheetId="16">#REF!</definedName>
    <definedName name="case_rowmin" localSheetId="15">#REF!</definedName>
    <definedName name="case_rowmin" localSheetId="7">#REF!</definedName>
    <definedName name="case_rowmin" localSheetId="10">#REF!</definedName>
    <definedName name="case_rowmin" localSheetId="18">#REF!</definedName>
    <definedName name="case_rowmin" localSheetId="9">#REF!</definedName>
    <definedName name="case_rowmin" localSheetId="17">#REF!</definedName>
    <definedName name="case_rowmin" localSheetId="33">#REF!</definedName>
    <definedName name="case_rowmin" localSheetId="34">#REF!</definedName>
    <definedName name="case_rowmin" localSheetId="32">#REF!</definedName>
    <definedName name="case_rowmin" localSheetId="24">#REF!</definedName>
    <definedName name="case_rowmin" localSheetId="25">#REF!</definedName>
    <definedName name="case_rowmin" localSheetId="26">#REF!</definedName>
    <definedName name="case_rowmin" localSheetId="12">#REF!</definedName>
    <definedName name="case_rowmin" localSheetId="11">#REF!</definedName>
    <definedName name="case_rowmin" localSheetId="14">#REF!</definedName>
    <definedName name="case_rowmin" localSheetId="13">#REF!</definedName>
    <definedName name="case_rowmin">#REF!</definedName>
    <definedName name="case_rowmin_1" localSheetId="27">#REF!</definedName>
    <definedName name="case_rowmin_1" localSheetId="19">#REF!</definedName>
    <definedName name="case_rowmin_1" localSheetId="4">#REF!</definedName>
    <definedName name="case_rowmin_1" localSheetId="3">#REF!</definedName>
    <definedName name="case_rowmin_1" localSheetId="6">#REF!</definedName>
    <definedName name="case_rowmin_1" localSheetId="5">#REF!</definedName>
    <definedName name="case_rowmin_1" localSheetId="28">#REF!</definedName>
    <definedName name="case_rowmin_1" localSheetId="20">#REF!</definedName>
    <definedName name="case_rowmin_1" localSheetId="31">#REF!</definedName>
    <definedName name="case_rowmin_1" localSheetId="23">#REF!</definedName>
    <definedName name="case_rowmin_1" localSheetId="8">#REF!</definedName>
    <definedName name="case_rowmin_1" localSheetId="16">#REF!</definedName>
    <definedName name="case_rowmin_1" localSheetId="15">#REF!</definedName>
    <definedName name="case_rowmin_1" localSheetId="7">#REF!</definedName>
    <definedName name="case_rowmin_1" localSheetId="10">#REF!</definedName>
    <definedName name="case_rowmin_1" localSheetId="18">#REF!</definedName>
    <definedName name="case_rowmin_1" localSheetId="9">#REF!</definedName>
    <definedName name="case_rowmin_1" localSheetId="17">#REF!</definedName>
    <definedName name="case_rowmin_1" localSheetId="33">#REF!</definedName>
    <definedName name="case_rowmin_1" localSheetId="34">#REF!</definedName>
    <definedName name="case_rowmin_1" localSheetId="32">#REF!</definedName>
    <definedName name="case_rowmin_1" localSheetId="24">#REF!</definedName>
    <definedName name="case_rowmin_1" localSheetId="25">#REF!</definedName>
    <definedName name="case_rowmin_1" localSheetId="26">#REF!</definedName>
    <definedName name="case_rowmin_1" localSheetId="12">#REF!</definedName>
    <definedName name="case_rowmin_1" localSheetId="11">#REF!</definedName>
    <definedName name="case_rowmin_1" localSheetId="14">#REF!</definedName>
    <definedName name="case_rowmin_1" localSheetId="13">#REF!</definedName>
    <definedName name="case_rowmin_1">#REF!</definedName>
    <definedName name="CashAdvance" localSheetId="27">[3]Assumptions!#REF!</definedName>
    <definedName name="CashAdvance" localSheetId="19">[3]Assumptions!#REF!</definedName>
    <definedName name="CashAdvance" localSheetId="4">[3]Assumptions!#REF!</definedName>
    <definedName name="CashAdvance" localSheetId="3">[3]Assumptions!#REF!</definedName>
    <definedName name="CashAdvance" localSheetId="6">[3]Assumptions!#REF!</definedName>
    <definedName name="CashAdvance" localSheetId="5">[3]Assumptions!#REF!</definedName>
    <definedName name="CashAdvance" localSheetId="28">[3]Assumptions!#REF!</definedName>
    <definedName name="CashAdvance" localSheetId="20">[3]Assumptions!#REF!</definedName>
    <definedName name="CashAdvance" localSheetId="31">[3]Assumptions!#REF!</definedName>
    <definedName name="CashAdvance" localSheetId="23">[3]Assumptions!#REF!</definedName>
    <definedName name="CashAdvance" localSheetId="8">[3]Assumptions!#REF!</definedName>
    <definedName name="CashAdvance" localSheetId="16">[3]Assumptions!#REF!</definedName>
    <definedName name="CashAdvance" localSheetId="15">[3]Assumptions!#REF!</definedName>
    <definedName name="CashAdvance" localSheetId="7">[3]Assumptions!#REF!</definedName>
    <definedName name="CashAdvance" localSheetId="10">[3]Assumptions!#REF!</definedName>
    <definedName name="CashAdvance" localSheetId="18">[3]Assumptions!#REF!</definedName>
    <definedName name="CashAdvance" localSheetId="9">[3]Assumptions!#REF!</definedName>
    <definedName name="CashAdvance" localSheetId="17">[3]Assumptions!#REF!</definedName>
    <definedName name="CashAdvance" localSheetId="33">[3]Assumptions!#REF!</definedName>
    <definedName name="CashAdvance" localSheetId="34">[3]Assumptions!#REF!</definedName>
    <definedName name="CashAdvance" localSheetId="32">[3]Assumptions!#REF!</definedName>
    <definedName name="CashAdvance" localSheetId="24">[3]Assumptions!#REF!</definedName>
    <definedName name="CashAdvance" localSheetId="25">[3]Assumptions!#REF!</definedName>
    <definedName name="CashAdvance" localSheetId="26">[3]Assumptions!#REF!</definedName>
    <definedName name="CashAdvance" localSheetId="12">[3]Assumptions!#REF!</definedName>
    <definedName name="CashAdvance" localSheetId="11">[3]Assumptions!#REF!</definedName>
    <definedName name="CashAdvance" localSheetId="14">[3]Assumptions!#REF!</definedName>
    <definedName name="CashAdvance" localSheetId="13">[3]Assumptions!#REF!</definedName>
    <definedName name="CashAdvance">[3]Assumptions!#REF!</definedName>
    <definedName name="cmiercjrice_7" localSheetId="27">#REF!</definedName>
    <definedName name="cmiercjrice_7" localSheetId="19">#REF!</definedName>
    <definedName name="cmiercjrice_7" localSheetId="4">#REF!</definedName>
    <definedName name="cmiercjrice_7" localSheetId="3">#REF!</definedName>
    <definedName name="cmiercjrice_7" localSheetId="6">#REF!</definedName>
    <definedName name="cmiercjrice_7" localSheetId="5">#REF!</definedName>
    <definedName name="cmiercjrice_7" localSheetId="28">#REF!</definedName>
    <definedName name="cmiercjrice_7" localSheetId="20">#REF!</definedName>
    <definedName name="cmiercjrice_7" localSheetId="31">#REF!</definedName>
    <definedName name="cmiercjrice_7" localSheetId="23">#REF!</definedName>
    <definedName name="cmiercjrice_7" localSheetId="8">#REF!</definedName>
    <definedName name="cmiercjrice_7" localSheetId="16">#REF!</definedName>
    <definedName name="cmiercjrice_7" localSheetId="15">#REF!</definedName>
    <definedName name="cmiercjrice_7" localSheetId="7">#REF!</definedName>
    <definedName name="cmiercjrice_7" localSheetId="10">#REF!</definedName>
    <definedName name="cmiercjrice_7" localSheetId="18">#REF!</definedName>
    <definedName name="cmiercjrice_7" localSheetId="9">#REF!</definedName>
    <definedName name="cmiercjrice_7" localSheetId="17">#REF!</definedName>
    <definedName name="cmiercjrice_7" localSheetId="33">#REF!</definedName>
    <definedName name="cmiercjrice_7" localSheetId="34">#REF!</definedName>
    <definedName name="cmiercjrice_7" localSheetId="32">#REF!</definedName>
    <definedName name="cmiercjrice_7" localSheetId="24">#REF!</definedName>
    <definedName name="cmiercjrice_7" localSheetId="25">#REF!</definedName>
    <definedName name="cmiercjrice_7" localSheetId="26">#REF!</definedName>
    <definedName name="cmiercjrice_7" localSheetId="12">#REF!</definedName>
    <definedName name="cmiercjrice_7" localSheetId="11">#REF!</definedName>
    <definedName name="cmiercjrice_7" localSheetId="14">#REF!</definedName>
    <definedName name="cmiercjrice_7" localSheetId="13">#REF!</definedName>
    <definedName name="cmiercjrice_7">#REF!</definedName>
    <definedName name="CX" localSheetId="27">#REF!</definedName>
    <definedName name="CX" localSheetId="19">#REF!</definedName>
    <definedName name="CX" localSheetId="4">#REF!</definedName>
    <definedName name="CX" localSheetId="3">#REF!</definedName>
    <definedName name="CX" localSheetId="6">#REF!</definedName>
    <definedName name="CX" localSheetId="5">#REF!</definedName>
    <definedName name="CX" localSheetId="28">#REF!</definedName>
    <definedName name="CX" localSheetId="20">#REF!</definedName>
    <definedName name="CX" localSheetId="31">#REF!</definedName>
    <definedName name="CX" localSheetId="23">#REF!</definedName>
    <definedName name="CX" localSheetId="8">#REF!</definedName>
    <definedName name="CX" localSheetId="16">#REF!</definedName>
    <definedName name="CX" localSheetId="15">#REF!</definedName>
    <definedName name="CX" localSheetId="7">#REF!</definedName>
    <definedName name="CX" localSheetId="10">#REF!</definedName>
    <definedName name="CX" localSheetId="18">#REF!</definedName>
    <definedName name="CX" localSheetId="9">#REF!</definedName>
    <definedName name="CX" localSheetId="17">#REF!</definedName>
    <definedName name="CX" localSheetId="33">#REF!</definedName>
    <definedName name="CX" localSheetId="34">#REF!</definedName>
    <definedName name="CX" localSheetId="32">#REF!</definedName>
    <definedName name="CX" localSheetId="24">#REF!</definedName>
    <definedName name="CX" localSheetId="25">#REF!</definedName>
    <definedName name="CX" localSheetId="26">#REF!</definedName>
    <definedName name="CX" localSheetId="12">#REF!</definedName>
    <definedName name="CX" localSheetId="11">#REF!</definedName>
    <definedName name="CX" localSheetId="14">#REF!</definedName>
    <definedName name="CX" localSheetId="13">#REF!</definedName>
    <definedName name="CX">#REF!</definedName>
    <definedName name="D" localSheetId="27">#REF!</definedName>
    <definedName name="D" localSheetId="19">#REF!</definedName>
    <definedName name="D" localSheetId="4">#REF!</definedName>
    <definedName name="D" localSheetId="3">#REF!</definedName>
    <definedName name="D" localSheetId="6">#REF!</definedName>
    <definedName name="D" localSheetId="5">#REF!</definedName>
    <definedName name="D" localSheetId="28">#REF!</definedName>
    <definedName name="D" localSheetId="20">#REF!</definedName>
    <definedName name="D" localSheetId="31">#REF!</definedName>
    <definedName name="D" localSheetId="23">#REF!</definedName>
    <definedName name="D" localSheetId="8">#REF!</definedName>
    <definedName name="D" localSheetId="16">#REF!</definedName>
    <definedName name="D" localSheetId="15">#REF!</definedName>
    <definedName name="D" localSheetId="7">#REF!</definedName>
    <definedName name="D" localSheetId="10">#REF!</definedName>
    <definedName name="D" localSheetId="18">#REF!</definedName>
    <definedName name="D" localSheetId="9">#REF!</definedName>
    <definedName name="D" localSheetId="17">#REF!</definedName>
    <definedName name="D" localSheetId="33">#REF!</definedName>
    <definedName name="D" localSheetId="34">#REF!</definedName>
    <definedName name="D" localSheetId="32">#REF!</definedName>
    <definedName name="D" localSheetId="24">#REF!</definedName>
    <definedName name="D" localSheetId="25">#REF!</definedName>
    <definedName name="D" localSheetId="26">#REF!</definedName>
    <definedName name="D" localSheetId="12">#REF!</definedName>
    <definedName name="D" localSheetId="11">#REF!</definedName>
    <definedName name="D" localSheetId="14">#REF!</definedName>
    <definedName name="D" localSheetId="13">#REF!</definedName>
    <definedName name="D">#REF!</definedName>
    <definedName name="data">[4]data!$B$2:$AH$790</definedName>
    <definedName name="DeliverBag" localSheetId="27">[3]Assumptions!#REF!</definedName>
    <definedName name="DeliverBag" localSheetId="19">[3]Assumptions!#REF!</definedName>
    <definedName name="DeliverBag" localSheetId="4">[3]Assumptions!#REF!</definedName>
    <definedName name="DeliverBag" localSheetId="3">[3]Assumptions!#REF!</definedName>
    <definedName name="DeliverBag" localSheetId="6">[3]Assumptions!#REF!</definedName>
    <definedName name="DeliverBag" localSheetId="5">[3]Assumptions!#REF!</definedName>
    <definedName name="DeliverBag" localSheetId="28">[3]Assumptions!#REF!</definedName>
    <definedName name="DeliverBag" localSheetId="20">[3]Assumptions!#REF!</definedName>
    <definedName name="DeliverBag" localSheetId="31">[3]Assumptions!#REF!</definedName>
    <definedName name="DeliverBag" localSheetId="23">[3]Assumptions!#REF!</definedName>
    <definedName name="DeliverBag" localSheetId="8">[3]Assumptions!#REF!</definedName>
    <definedName name="DeliverBag" localSheetId="16">[3]Assumptions!#REF!</definedName>
    <definedName name="DeliverBag" localSheetId="15">[3]Assumptions!#REF!</definedName>
    <definedName name="DeliverBag" localSheetId="7">[3]Assumptions!#REF!</definedName>
    <definedName name="DeliverBag" localSheetId="10">[3]Assumptions!#REF!</definedName>
    <definedName name="DeliverBag" localSheetId="18">[3]Assumptions!#REF!</definedName>
    <definedName name="DeliverBag" localSheetId="9">[3]Assumptions!#REF!</definedName>
    <definedName name="DeliverBag" localSheetId="17">[3]Assumptions!#REF!</definedName>
    <definedName name="DeliverBag" localSheetId="33">[3]Assumptions!#REF!</definedName>
    <definedName name="DeliverBag" localSheetId="34">[3]Assumptions!#REF!</definedName>
    <definedName name="DeliverBag" localSheetId="32">[3]Assumptions!#REF!</definedName>
    <definedName name="DeliverBag" localSheetId="24">[3]Assumptions!#REF!</definedName>
    <definedName name="DeliverBag" localSheetId="25">[3]Assumptions!#REF!</definedName>
    <definedName name="DeliverBag" localSheetId="26">[3]Assumptions!#REF!</definedName>
    <definedName name="DeliverBag" localSheetId="12">[3]Assumptions!#REF!</definedName>
    <definedName name="DeliverBag" localSheetId="11">[3]Assumptions!#REF!</definedName>
    <definedName name="DeliverBag" localSheetId="14">[3]Assumptions!#REF!</definedName>
    <definedName name="DeliverBag" localSheetId="13">[3]Assumptions!#REF!</definedName>
    <definedName name="DeliverBag">[3]Assumptions!#REF!</definedName>
    <definedName name="DevCost">[2]Assumptions!$F$68</definedName>
    <definedName name="diana" localSheetId="27">#REF!</definedName>
    <definedName name="diana" localSheetId="19">#REF!</definedName>
    <definedName name="diana" localSheetId="4">#REF!</definedName>
    <definedName name="diana" localSheetId="3">#REF!</definedName>
    <definedName name="diana" localSheetId="6">#REF!</definedName>
    <definedName name="diana" localSheetId="5">#REF!</definedName>
    <definedName name="diana" localSheetId="28">#REF!</definedName>
    <definedName name="diana" localSheetId="20">#REF!</definedName>
    <definedName name="diana" localSheetId="31">#REF!</definedName>
    <definedName name="diana" localSheetId="23">#REF!</definedName>
    <definedName name="diana" localSheetId="8">#REF!</definedName>
    <definedName name="diana" localSheetId="16">#REF!</definedName>
    <definedName name="diana" localSheetId="15">#REF!</definedName>
    <definedName name="diana" localSheetId="7">#REF!</definedName>
    <definedName name="diana" localSheetId="10">#REF!</definedName>
    <definedName name="diana" localSheetId="18">#REF!</definedName>
    <definedName name="diana" localSheetId="9">#REF!</definedName>
    <definedName name="diana" localSheetId="17">#REF!</definedName>
    <definedName name="diana" localSheetId="33">#REF!</definedName>
    <definedName name="diana" localSheetId="34">#REF!</definedName>
    <definedName name="diana" localSheetId="32">#REF!</definedName>
    <definedName name="diana" localSheetId="24">#REF!</definedName>
    <definedName name="diana" localSheetId="25">#REF!</definedName>
    <definedName name="diana" localSheetId="26">#REF!</definedName>
    <definedName name="diana" localSheetId="12">#REF!</definedName>
    <definedName name="diana" localSheetId="11">#REF!</definedName>
    <definedName name="diana" localSheetId="14">#REF!</definedName>
    <definedName name="diana" localSheetId="13">#REF!</definedName>
    <definedName name="diana">#REF!</definedName>
    <definedName name="dianaLicop0" localSheetId="27">#REF!</definedName>
    <definedName name="dianaLicop0" localSheetId="19">#REF!</definedName>
    <definedName name="dianaLicop0" localSheetId="4">#REF!</definedName>
    <definedName name="dianaLicop0" localSheetId="3">#REF!</definedName>
    <definedName name="dianaLicop0" localSheetId="6">#REF!</definedName>
    <definedName name="dianaLicop0" localSheetId="5">#REF!</definedName>
    <definedName name="dianaLicop0" localSheetId="28">#REF!</definedName>
    <definedName name="dianaLicop0" localSheetId="20">#REF!</definedName>
    <definedName name="dianaLicop0" localSheetId="31">#REF!</definedName>
    <definedName name="dianaLicop0" localSheetId="23">#REF!</definedName>
    <definedName name="dianaLicop0" localSheetId="8">#REF!</definedName>
    <definedName name="dianaLicop0" localSheetId="16">#REF!</definedName>
    <definedName name="dianaLicop0" localSheetId="15">#REF!</definedName>
    <definedName name="dianaLicop0" localSheetId="7">#REF!</definedName>
    <definedName name="dianaLicop0" localSheetId="10">#REF!</definedName>
    <definedName name="dianaLicop0" localSheetId="18">#REF!</definedName>
    <definedName name="dianaLicop0" localSheetId="9">#REF!</definedName>
    <definedName name="dianaLicop0" localSheetId="17">#REF!</definedName>
    <definedName name="dianaLicop0" localSheetId="33">#REF!</definedName>
    <definedName name="dianaLicop0" localSheetId="34">#REF!</definedName>
    <definedName name="dianaLicop0" localSheetId="32">#REF!</definedName>
    <definedName name="dianaLicop0" localSheetId="24">#REF!</definedName>
    <definedName name="dianaLicop0" localSheetId="25">#REF!</definedName>
    <definedName name="dianaLicop0" localSheetId="26">#REF!</definedName>
    <definedName name="dianaLicop0" localSheetId="12">#REF!</definedName>
    <definedName name="dianaLicop0" localSheetId="11">#REF!</definedName>
    <definedName name="dianaLicop0" localSheetId="14">#REF!</definedName>
    <definedName name="dianaLicop0" localSheetId="13">#REF!</definedName>
    <definedName name="dianaLicop0">#REF!</definedName>
    <definedName name="Dolores" localSheetId="27">#REF!</definedName>
    <definedName name="Dolores" localSheetId="19">#REF!</definedName>
    <definedName name="Dolores" localSheetId="4">#REF!</definedName>
    <definedName name="Dolores" localSheetId="3">#REF!</definedName>
    <definedName name="Dolores" localSheetId="6">#REF!</definedName>
    <definedName name="Dolores" localSheetId="5">#REF!</definedName>
    <definedName name="Dolores" localSheetId="28">#REF!</definedName>
    <definedName name="Dolores" localSheetId="20">#REF!</definedName>
    <definedName name="Dolores" localSheetId="31">#REF!</definedName>
    <definedName name="Dolores" localSheetId="23">#REF!</definedName>
    <definedName name="Dolores" localSheetId="8">#REF!</definedName>
    <definedName name="Dolores" localSheetId="16">#REF!</definedName>
    <definedName name="Dolores" localSheetId="15">#REF!</definedName>
    <definedName name="Dolores" localSheetId="7">#REF!</definedName>
    <definedName name="Dolores" localSheetId="10">#REF!</definedName>
    <definedName name="Dolores" localSheetId="18">#REF!</definedName>
    <definedName name="Dolores" localSheetId="9">#REF!</definedName>
    <definedName name="Dolores" localSheetId="17">#REF!</definedName>
    <definedName name="Dolores" localSheetId="33">#REF!</definedName>
    <definedName name="Dolores" localSheetId="34">#REF!</definedName>
    <definedName name="Dolores" localSheetId="32">#REF!</definedName>
    <definedName name="Dolores" localSheetId="24">#REF!</definedName>
    <definedName name="Dolores" localSheetId="25">#REF!</definedName>
    <definedName name="Dolores" localSheetId="26">#REF!</definedName>
    <definedName name="Dolores" localSheetId="12">#REF!</definedName>
    <definedName name="Dolores" localSheetId="11">#REF!</definedName>
    <definedName name="Dolores" localSheetId="14">#REF!</definedName>
    <definedName name="Dolores" localSheetId="13">#REF!</definedName>
    <definedName name="Dolores">#REF!</definedName>
    <definedName name="FAR" localSheetId="27">[3]Assumptions!#REF!</definedName>
    <definedName name="FAR" localSheetId="19">[3]Assumptions!#REF!</definedName>
    <definedName name="FAR" localSheetId="4">[3]Assumptions!#REF!</definedName>
    <definedName name="FAR" localSheetId="3">[3]Assumptions!#REF!</definedName>
    <definedName name="FAR" localSheetId="6">[3]Assumptions!#REF!</definedName>
    <definedName name="FAR" localSheetId="5">[3]Assumptions!#REF!</definedName>
    <definedName name="FAR" localSheetId="28">[3]Assumptions!#REF!</definedName>
    <definedName name="FAR" localSheetId="20">[3]Assumptions!#REF!</definedName>
    <definedName name="FAR" localSheetId="31">[3]Assumptions!#REF!</definedName>
    <definedName name="FAR" localSheetId="23">[3]Assumptions!#REF!</definedName>
    <definedName name="FAR" localSheetId="8">[3]Assumptions!#REF!</definedName>
    <definedName name="FAR" localSheetId="16">[3]Assumptions!#REF!</definedName>
    <definedName name="FAR" localSheetId="15">[3]Assumptions!#REF!</definedName>
    <definedName name="FAR" localSheetId="7">[3]Assumptions!#REF!</definedName>
    <definedName name="FAR" localSheetId="10">[3]Assumptions!#REF!</definedName>
    <definedName name="FAR" localSheetId="18">[3]Assumptions!#REF!</definedName>
    <definedName name="FAR" localSheetId="9">[3]Assumptions!#REF!</definedName>
    <definedName name="FAR" localSheetId="17">[3]Assumptions!#REF!</definedName>
    <definedName name="FAR" localSheetId="33">[3]Assumptions!#REF!</definedName>
    <definedName name="FAR" localSheetId="34">[3]Assumptions!#REF!</definedName>
    <definedName name="FAR" localSheetId="32">[3]Assumptions!#REF!</definedName>
    <definedName name="FAR" localSheetId="24">[3]Assumptions!#REF!</definedName>
    <definedName name="FAR" localSheetId="25">[3]Assumptions!#REF!</definedName>
    <definedName name="FAR" localSheetId="26">[3]Assumptions!#REF!</definedName>
    <definedName name="FAR" localSheetId="12">[3]Assumptions!#REF!</definedName>
    <definedName name="FAR" localSheetId="11">[3]Assumptions!#REF!</definedName>
    <definedName name="FAR" localSheetId="14">[3]Assumptions!#REF!</definedName>
    <definedName name="FAR" localSheetId="13">[3]Assumptions!#REF!</definedName>
    <definedName name="FAR">[3]Assumptions!#REF!</definedName>
    <definedName name="FAR_4" localSheetId="27">[1]Assumptions!#REF!</definedName>
    <definedName name="FAR_4" localSheetId="19">[1]Assumptions!#REF!</definedName>
    <definedName name="FAR_4" localSheetId="4">[1]Assumptions!#REF!</definedName>
    <definedName name="FAR_4" localSheetId="3">[1]Assumptions!#REF!</definedName>
    <definedName name="FAR_4" localSheetId="6">[1]Assumptions!#REF!</definedName>
    <definedName name="FAR_4" localSheetId="5">[1]Assumptions!#REF!</definedName>
    <definedName name="FAR_4" localSheetId="28">[1]Assumptions!#REF!</definedName>
    <definedName name="FAR_4" localSheetId="20">[1]Assumptions!#REF!</definedName>
    <definedName name="FAR_4" localSheetId="31">[1]Assumptions!#REF!</definedName>
    <definedName name="FAR_4" localSheetId="23">[1]Assumptions!#REF!</definedName>
    <definedName name="FAR_4" localSheetId="8">[1]Assumptions!#REF!</definedName>
    <definedName name="FAR_4" localSheetId="16">[1]Assumptions!#REF!</definedName>
    <definedName name="FAR_4" localSheetId="15">[1]Assumptions!#REF!</definedName>
    <definedName name="FAR_4" localSheetId="7">[1]Assumptions!#REF!</definedName>
    <definedName name="FAR_4" localSheetId="10">[1]Assumptions!#REF!</definedName>
    <definedName name="FAR_4" localSheetId="18">[1]Assumptions!#REF!</definedName>
    <definedName name="FAR_4" localSheetId="9">[1]Assumptions!#REF!</definedName>
    <definedName name="FAR_4" localSheetId="17">[1]Assumptions!#REF!</definedName>
    <definedName name="FAR_4" localSheetId="33">[1]Assumptions!#REF!</definedName>
    <definedName name="FAR_4" localSheetId="34">[1]Assumptions!#REF!</definedName>
    <definedName name="FAR_4" localSheetId="32">[1]Assumptions!#REF!</definedName>
    <definedName name="FAR_4" localSheetId="24">[1]Assumptions!#REF!</definedName>
    <definedName name="FAR_4" localSheetId="25">[1]Assumptions!#REF!</definedName>
    <definedName name="FAR_4" localSheetId="26">[1]Assumptions!#REF!</definedName>
    <definedName name="FAR_4" localSheetId="12">[1]Assumptions!#REF!</definedName>
    <definedName name="FAR_4" localSheetId="11">[1]Assumptions!#REF!</definedName>
    <definedName name="FAR_4" localSheetId="14">[1]Assumptions!#REF!</definedName>
    <definedName name="FAR_4" localSheetId="13">[1]Assumptions!#REF!</definedName>
    <definedName name="FAR_4">[1]Assumptions!#REF!</definedName>
    <definedName name="ferla2" localSheetId="27">#REF!</definedName>
    <definedName name="ferla2" localSheetId="19">#REF!</definedName>
    <definedName name="ferla2" localSheetId="4">#REF!</definedName>
    <definedName name="ferla2" localSheetId="3">#REF!</definedName>
    <definedName name="ferla2" localSheetId="6">#REF!</definedName>
    <definedName name="ferla2" localSheetId="5">#REF!</definedName>
    <definedName name="ferla2" localSheetId="28">#REF!</definedName>
    <definedName name="ferla2" localSheetId="20">#REF!</definedName>
    <definedName name="ferla2" localSheetId="31">#REF!</definedName>
    <definedName name="ferla2" localSheetId="23">#REF!</definedName>
    <definedName name="ferla2" localSheetId="8">#REF!</definedName>
    <definedName name="ferla2" localSheetId="16">#REF!</definedName>
    <definedName name="ferla2" localSheetId="15">#REF!</definedName>
    <definedName name="ferla2" localSheetId="7">#REF!</definedName>
    <definedName name="ferla2" localSheetId="10">#REF!</definedName>
    <definedName name="ferla2" localSheetId="18">#REF!</definedName>
    <definedName name="ferla2" localSheetId="9">#REF!</definedName>
    <definedName name="ferla2" localSheetId="17">#REF!</definedName>
    <definedName name="ferla2" localSheetId="33">#REF!</definedName>
    <definedName name="ferla2" localSheetId="34">#REF!</definedName>
    <definedName name="ferla2" localSheetId="32">#REF!</definedName>
    <definedName name="ferla2" localSheetId="24">#REF!</definedName>
    <definedName name="ferla2" localSheetId="25">#REF!</definedName>
    <definedName name="ferla2" localSheetId="26">#REF!</definedName>
    <definedName name="ferla2" localSheetId="12">#REF!</definedName>
    <definedName name="ferla2" localSheetId="11">#REF!</definedName>
    <definedName name="ferla2" localSheetId="14">#REF!</definedName>
    <definedName name="ferla2" localSheetId="13">#REF!</definedName>
    <definedName name="ferla2">#REF!</definedName>
    <definedName name="figures_max" localSheetId="27">#REF!</definedName>
    <definedName name="figures_max" localSheetId="19">#REF!</definedName>
    <definedName name="figures_max" localSheetId="4">#REF!</definedName>
    <definedName name="figures_max" localSheetId="3">#REF!</definedName>
    <definedName name="figures_max" localSheetId="6">#REF!</definedName>
    <definedName name="figures_max" localSheetId="5">#REF!</definedName>
    <definedName name="figures_max" localSheetId="28">#REF!</definedName>
    <definedName name="figures_max" localSheetId="20">#REF!</definedName>
    <definedName name="figures_max" localSheetId="31">#REF!</definedName>
    <definedName name="figures_max" localSheetId="23">#REF!</definedName>
    <definedName name="figures_max" localSheetId="8">#REF!</definedName>
    <definedName name="figures_max" localSheetId="16">#REF!</definedName>
    <definedName name="figures_max" localSheetId="15">#REF!</definedName>
    <definedName name="figures_max" localSheetId="7">#REF!</definedName>
    <definedName name="figures_max" localSheetId="10">#REF!</definedName>
    <definedName name="figures_max" localSheetId="18">#REF!</definedName>
    <definedName name="figures_max" localSheetId="9">#REF!</definedName>
    <definedName name="figures_max" localSheetId="17">#REF!</definedName>
    <definedName name="figures_max" localSheetId="33">#REF!</definedName>
    <definedName name="figures_max" localSheetId="34">#REF!</definedName>
    <definedName name="figures_max" localSheetId="32">#REF!</definedName>
    <definedName name="figures_max" localSheetId="24">#REF!</definedName>
    <definedName name="figures_max" localSheetId="25">#REF!</definedName>
    <definedName name="figures_max" localSheetId="26">#REF!</definedName>
    <definedName name="figures_max" localSheetId="12">#REF!</definedName>
    <definedName name="figures_max" localSheetId="11">#REF!</definedName>
    <definedName name="figures_max" localSheetId="14">#REF!</definedName>
    <definedName name="figures_max" localSheetId="13">#REF!</definedName>
    <definedName name="figures_max">#REF!</definedName>
    <definedName name="figures_max_1" localSheetId="27">#REF!</definedName>
    <definedName name="figures_max_1" localSheetId="19">#REF!</definedName>
    <definedName name="figures_max_1" localSheetId="4">#REF!</definedName>
    <definedName name="figures_max_1" localSheetId="3">#REF!</definedName>
    <definedName name="figures_max_1" localSheetId="6">#REF!</definedName>
    <definedName name="figures_max_1" localSheetId="5">#REF!</definedName>
    <definedName name="figures_max_1" localSheetId="28">#REF!</definedName>
    <definedName name="figures_max_1" localSheetId="20">#REF!</definedName>
    <definedName name="figures_max_1" localSheetId="31">#REF!</definedName>
    <definedName name="figures_max_1" localSheetId="23">#REF!</definedName>
    <definedName name="figures_max_1" localSheetId="8">#REF!</definedName>
    <definedName name="figures_max_1" localSheetId="16">#REF!</definedName>
    <definedName name="figures_max_1" localSheetId="15">#REF!</definedName>
    <definedName name="figures_max_1" localSheetId="7">#REF!</definedName>
    <definedName name="figures_max_1" localSheetId="10">#REF!</definedName>
    <definedName name="figures_max_1" localSheetId="18">#REF!</definedName>
    <definedName name="figures_max_1" localSheetId="9">#REF!</definedName>
    <definedName name="figures_max_1" localSheetId="17">#REF!</definedName>
    <definedName name="figures_max_1" localSheetId="33">#REF!</definedName>
    <definedName name="figures_max_1" localSheetId="34">#REF!</definedName>
    <definedName name="figures_max_1" localSheetId="32">#REF!</definedName>
    <definedName name="figures_max_1" localSheetId="24">#REF!</definedName>
    <definedName name="figures_max_1" localSheetId="25">#REF!</definedName>
    <definedName name="figures_max_1" localSheetId="26">#REF!</definedName>
    <definedName name="figures_max_1" localSheetId="12">#REF!</definedName>
    <definedName name="figures_max_1" localSheetId="11">#REF!</definedName>
    <definedName name="figures_max_1" localSheetId="14">#REF!</definedName>
    <definedName name="figures_max_1" localSheetId="13">#REF!</definedName>
    <definedName name="figures_max_1">#REF!</definedName>
    <definedName name="figures_min" localSheetId="27">#REF!</definedName>
    <definedName name="figures_min" localSheetId="19">#REF!</definedName>
    <definedName name="figures_min" localSheetId="4">#REF!</definedName>
    <definedName name="figures_min" localSheetId="3">#REF!</definedName>
    <definedName name="figures_min" localSheetId="6">#REF!</definedName>
    <definedName name="figures_min" localSheetId="5">#REF!</definedName>
    <definedName name="figures_min" localSheetId="28">#REF!</definedName>
    <definedName name="figures_min" localSheetId="20">#REF!</definedName>
    <definedName name="figures_min" localSheetId="31">#REF!</definedName>
    <definedName name="figures_min" localSheetId="23">#REF!</definedName>
    <definedName name="figures_min" localSheetId="8">#REF!</definedName>
    <definedName name="figures_min" localSheetId="16">#REF!</definedName>
    <definedName name="figures_min" localSheetId="15">#REF!</definedName>
    <definedName name="figures_min" localSheetId="7">#REF!</definedName>
    <definedName name="figures_min" localSheetId="10">#REF!</definedName>
    <definedName name="figures_min" localSheetId="18">#REF!</definedName>
    <definedName name="figures_min" localSheetId="9">#REF!</definedName>
    <definedName name="figures_min" localSheetId="17">#REF!</definedName>
    <definedName name="figures_min" localSheetId="33">#REF!</definedName>
    <definedName name="figures_min" localSheetId="34">#REF!</definedName>
    <definedName name="figures_min" localSheetId="32">#REF!</definedName>
    <definedName name="figures_min" localSheetId="24">#REF!</definedName>
    <definedName name="figures_min" localSheetId="25">#REF!</definedName>
    <definedName name="figures_min" localSheetId="26">#REF!</definedName>
    <definedName name="figures_min" localSheetId="12">#REF!</definedName>
    <definedName name="figures_min" localSheetId="11">#REF!</definedName>
    <definedName name="figures_min" localSheetId="14">#REF!</definedName>
    <definedName name="figures_min" localSheetId="13">#REF!</definedName>
    <definedName name="figures_min">#REF!</definedName>
    <definedName name="figures_min_1" localSheetId="27">#REF!</definedName>
    <definedName name="figures_min_1" localSheetId="19">#REF!</definedName>
    <definedName name="figures_min_1" localSheetId="4">#REF!</definedName>
    <definedName name="figures_min_1" localSheetId="3">#REF!</definedName>
    <definedName name="figures_min_1" localSheetId="6">#REF!</definedName>
    <definedName name="figures_min_1" localSheetId="5">#REF!</definedName>
    <definedName name="figures_min_1" localSheetId="28">#REF!</definedName>
    <definedName name="figures_min_1" localSheetId="20">#REF!</definedName>
    <definedName name="figures_min_1" localSheetId="31">#REF!</definedName>
    <definedName name="figures_min_1" localSheetId="23">#REF!</definedName>
    <definedName name="figures_min_1" localSheetId="8">#REF!</definedName>
    <definedName name="figures_min_1" localSheetId="16">#REF!</definedName>
    <definedName name="figures_min_1" localSheetId="15">#REF!</definedName>
    <definedName name="figures_min_1" localSheetId="7">#REF!</definedName>
    <definedName name="figures_min_1" localSheetId="10">#REF!</definedName>
    <definedName name="figures_min_1" localSheetId="18">#REF!</definedName>
    <definedName name="figures_min_1" localSheetId="9">#REF!</definedName>
    <definedName name="figures_min_1" localSheetId="17">#REF!</definedName>
    <definedName name="figures_min_1" localSheetId="33">#REF!</definedName>
    <definedName name="figures_min_1" localSheetId="34">#REF!</definedName>
    <definedName name="figures_min_1" localSheetId="32">#REF!</definedName>
    <definedName name="figures_min_1" localSheetId="24">#REF!</definedName>
    <definedName name="figures_min_1" localSheetId="25">#REF!</definedName>
    <definedName name="figures_min_1" localSheetId="26">#REF!</definedName>
    <definedName name="figures_min_1" localSheetId="12">#REF!</definedName>
    <definedName name="figures_min_1" localSheetId="11">#REF!</definedName>
    <definedName name="figures_min_1" localSheetId="14">#REF!</definedName>
    <definedName name="figures_min_1" localSheetId="13">#REF!</definedName>
    <definedName name="figures_min_1">#REF!</definedName>
    <definedName name="G" localSheetId="27">#REF!</definedName>
    <definedName name="G" localSheetId="19">#REF!</definedName>
    <definedName name="G" localSheetId="4">#REF!</definedName>
    <definedName name="G" localSheetId="3">#REF!</definedName>
    <definedName name="G" localSheetId="6">#REF!</definedName>
    <definedName name="G" localSheetId="5">#REF!</definedName>
    <definedName name="G" localSheetId="28">#REF!</definedName>
    <definedName name="G" localSheetId="20">#REF!</definedName>
    <definedName name="G" localSheetId="31">#REF!</definedName>
    <definedName name="G" localSheetId="23">#REF!</definedName>
    <definedName name="G" localSheetId="8">#REF!</definedName>
    <definedName name="G" localSheetId="16">#REF!</definedName>
    <definedName name="G" localSheetId="15">#REF!</definedName>
    <definedName name="G" localSheetId="7">#REF!</definedName>
    <definedName name="G" localSheetId="10">#REF!</definedName>
    <definedName name="G" localSheetId="18">#REF!</definedName>
    <definedName name="G" localSheetId="9">#REF!</definedName>
    <definedName name="G" localSheetId="17">#REF!</definedName>
    <definedName name="G" localSheetId="33">#REF!</definedName>
    <definedName name="G" localSheetId="34">#REF!</definedName>
    <definedName name="G" localSheetId="32">#REF!</definedName>
    <definedName name="G" localSheetId="24">#REF!</definedName>
    <definedName name="G" localSheetId="25">#REF!</definedName>
    <definedName name="G" localSheetId="26">#REF!</definedName>
    <definedName name="G" localSheetId="12">#REF!</definedName>
    <definedName name="G" localSheetId="11">#REF!</definedName>
    <definedName name="G" localSheetId="14">#REF!</definedName>
    <definedName name="G" localSheetId="13">#REF!</definedName>
    <definedName name="G">#REF!</definedName>
    <definedName name="GAE">[2]Assumptions!$E$80</definedName>
    <definedName name="GemmabeL" localSheetId="27">#REF!</definedName>
    <definedName name="GemmabeL" localSheetId="19">#REF!</definedName>
    <definedName name="GemmabeL" localSheetId="4">#REF!</definedName>
    <definedName name="GemmabeL" localSheetId="3">#REF!</definedName>
    <definedName name="GemmabeL" localSheetId="6">#REF!</definedName>
    <definedName name="GemmabeL" localSheetId="5">#REF!</definedName>
    <definedName name="GemmabeL" localSheetId="28">#REF!</definedName>
    <definedName name="GemmabeL" localSheetId="20">#REF!</definedName>
    <definedName name="GemmabeL" localSheetId="31">#REF!</definedName>
    <definedName name="GemmabeL" localSheetId="23">#REF!</definedName>
    <definedName name="GemmabeL" localSheetId="8">#REF!</definedName>
    <definedName name="GemmabeL" localSheetId="16">#REF!</definedName>
    <definedName name="GemmabeL" localSheetId="15">#REF!</definedName>
    <definedName name="GemmabeL" localSheetId="7">#REF!</definedName>
    <definedName name="GemmabeL" localSheetId="10">#REF!</definedName>
    <definedName name="GemmabeL" localSheetId="18">#REF!</definedName>
    <definedName name="GemmabeL" localSheetId="9">#REF!</definedName>
    <definedName name="GemmabeL" localSheetId="17">#REF!</definedName>
    <definedName name="GemmabeL" localSheetId="33">#REF!</definedName>
    <definedName name="GemmabeL" localSheetId="34">#REF!</definedName>
    <definedName name="GemmabeL" localSheetId="32">#REF!</definedName>
    <definedName name="GemmabeL" localSheetId="24">#REF!</definedName>
    <definedName name="GemmabeL" localSheetId="25">#REF!</definedName>
    <definedName name="GemmabeL" localSheetId="26">#REF!</definedName>
    <definedName name="GemmabeL" localSheetId="12">#REF!</definedName>
    <definedName name="GemmabeL" localSheetId="11">#REF!</definedName>
    <definedName name="GemmabeL" localSheetId="14">#REF!</definedName>
    <definedName name="GemmabeL" localSheetId="13">#REF!</definedName>
    <definedName name="GemmabeL">#REF!</definedName>
    <definedName name="H" localSheetId="27">#REF!</definedName>
    <definedName name="H" localSheetId="19">#REF!</definedName>
    <definedName name="H" localSheetId="4">#REF!</definedName>
    <definedName name="H" localSheetId="3">#REF!</definedName>
    <definedName name="H" localSheetId="6">#REF!</definedName>
    <definedName name="H" localSheetId="5">#REF!</definedName>
    <definedName name="H" localSheetId="28">#REF!</definedName>
    <definedName name="H" localSheetId="20">#REF!</definedName>
    <definedName name="H" localSheetId="31">#REF!</definedName>
    <definedName name="H" localSheetId="23">#REF!</definedName>
    <definedName name="H" localSheetId="8">#REF!</definedName>
    <definedName name="H" localSheetId="16">#REF!</definedName>
    <definedName name="H" localSheetId="15">#REF!</definedName>
    <definedName name="H" localSheetId="7">#REF!</definedName>
    <definedName name="H" localSheetId="10">#REF!</definedName>
    <definedName name="H" localSheetId="18">#REF!</definedName>
    <definedName name="H" localSheetId="9">#REF!</definedName>
    <definedName name="H" localSheetId="17">#REF!</definedName>
    <definedName name="H" localSheetId="33">#REF!</definedName>
    <definedName name="H" localSheetId="34">#REF!</definedName>
    <definedName name="H" localSheetId="32">#REF!</definedName>
    <definedName name="H" localSheetId="24">#REF!</definedName>
    <definedName name="H" localSheetId="25">#REF!</definedName>
    <definedName name="H" localSheetId="26">#REF!</definedName>
    <definedName name="H" localSheetId="12">#REF!</definedName>
    <definedName name="H" localSheetId="11">#REF!</definedName>
    <definedName name="H" localSheetId="14">#REF!</definedName>
    <definedName name="H" localSheetId="13">#REF!</definedName>
    <definedName name="H">#REF!</definedName>
    <definedName name="Heraclene888" localSheetId="27">#REF!</definedName>
    <definedName name="Heraclene888" localSheetId="19">#REF!</definedName>
    <definedName name="Heraclene888" localSheetId="4">#REF!</definedName>
    <definedName name="Heraclene888" localSheetId="3">#REF!</definedName>
    <definedName name="Heraclene888" localSheetId="6">#REF!</definedName>
    <definedName name="Heraclene888" localSheetId="5">#REF!</definedName>
    <definedName name="Heraclene888" localSheetId="28">#REF!</definedName>
    <definedName name="Heraclene888" localSheetId="20">#REF!</definedName>
    <definedName name="Heraclene888" localSheetId="31">#REF!</definedName>
    <definedName name="Heraclene888" localSheetId="23">#REF!</definedName>
    <definedName name="Heraclene888" localSheetId="8">#REF!</definedName>
    <definedName name="Heraclene888" localSheetId="16">#REF!</definedName>
    <definedName name="Heraclene888" localSheetId="15">#REF!</definedName>
    <definedName name="Heraclene888" localSheetId="7">#REF!</definedName>
    <definedName name="Heraclene888" localSheetId="10">#REF!</definedName>
    <definedName name="Heraclene888" localSheetId="18">#REF!</definedName>
    <definedName name="Heraclene888" localSheetId="9">#REF!</definedName>
    <definedName name="Heraclene888" localSheetId="17">#REF!</definedName>
    <definedName name="Heraclene888" localSheetId="33">#REF!</definedName>
    <definedName name="Heraclene888" localSheetId="34">#REF!</definedName>
    <definedName name="Heraclene888" localSheetId="32">#REF!</definedName>
    <definedName name="Heraclene888" localSheetId="24">#REF!</definedName>
    <definedName name="Heraclene888" localSheetId="25">#REF!</definedName>
    <definedName name="Heraclene888" localSheetId="26">#REF!</definedName>
    <definedName name="Heraclene888" localSheetId="12">#REF!</definedName>
    <definedName name="Heraclene888" localSheetId="11">#REF!</definedName>
    <definedName name="Heraclene888" localSheetId="14">#REF!</definedName>
    <definedName name="Heraclene888" localSheetId="13">#REF!</definedName>
    <definedName name="Heraclene888">#REF!</definedName>
    <definedName name="hILLSIDE" localSheetId="27">#REF!</definedName>
    <definedName name="hILLSIDE" localSheetId="19">#REF!</definedName>
    <definedName name="hILLSIDE" localSheetId="4">#REF!</definedName>
    <definedName name="hILLSIDE" localSheetId="3">#REF!</definedName>
    <definedName name="hILLSIDE" localSheetId="6">#REF!</definedName>
    <definedName name="hILLSIDE" localSheetId="5">#REF!</definedName>
    <definedName name="hILLSIDE" localSheetId="28">#REF!</definedName>
    <definedName name="hILLSIDE" localSheetId="20">#REF!</definedName>
    <definedName name="hILLSIDE" localSheetId="31">#REF!</definedName>
    <definedName name="hILLSIDE" localSheetId="23">#REF!</definedName>
    <definedName name="hILLSIDE" localSheetId="8">#REF!</definedName>
    <definedName name="hILLSIDE" localSheetId="16">#REF!</definedName>
    <definedName name="hILLSIDE" localSheetId="15">#REF!</definedName>
    <definedName name="hILLSIDE" localSheetId="7">#REF!</definedName>
    <definedName name="hILLSIDE" localSheetId="10">#REF!</definedName>
    <definedName name="hILLSIDE" localSheetId="18">#REF!</definedName>
    <definedName name="hILLSIDE" localSheetId="9">#REF!</definedName>
    <definedName name="hILLSIDE" localSheetId="17">#REF!</definedName>
    <definedName name="hILLSIDE" localSheetId="33">#REF!</definedName>
    <definedName name="hILLSIDE" localSheetId="34">#REF!</definedName>
    <definedName name="hILLSIDE" localSheetId="32">#REF!</definedName>
    <definedName name="hILLSIDE" localSheetId="24">#REF!</definedName>
    <definedName name="hILLSIDE" localSheetId="25">#REF!</definedName>
    <definedName name="hILLSIDE" localSheetId="26">#REF!</definedName>
    <definedName name="hILLSIDE" localSheetId="12">#REF!</definedName>
    <definedName name="hILLSIDE" localSheetId="11">#REF!</definedName>
    <definedName name="hILLSIDE" localSheetId="14">#REF!</definedName>
    <definedName name="hILLSIDE" localSheetId="13">#REF!</definedName>
    <definedName name="hILLSIDE">#REF!</definedName>
    <definedName name="hsproject143" localSheetId="27">#REF!</definedName>
    <definedName name="hsproject143" localSheetId="19">#REF!</definedName>
    <definedName name="hsproject143" localSheetId="4">#REF!</definedName>
    <definedName name="hsproject143" localSheetId="3">#REF!</definedName>
    <definedName name="hsproject143" localSheetId="6">#REF!</definedName>
    <definedName name="hsproject143" localSheetId="5">#REF!</definedName>
    <definedName name="hsproject143" localSheetId="28">#REF!</definedName>
    <definedName name="hsproject143" localSheetId="20">#REF!</definedName>
    <definedName name="hsproject143" localSheetId="31">#REF!</definedName>
    <definedName name="hsproject143" localSheetId="23">#REF!</definedName>
    <definedName name="hsproject143" localSheetId="8">#REF!</definedName>
    <definedName name="hsproject143" localSheetId="16">#REF!</definedName>
    <definedName name="hsproject143" localSheetId="15">#REF!</definedName>
    <definedName name="hsproject143" localSheetId="7">#REF!</definedName>
    <definedName name="hsproject143" localSheetId="10">#REF!</definedName>
    <definedName name="hsproject143" localSheetId="18">#REF!</definedName>
    <definedName name="hsproject143" localSheetId="9">#REF!</definedName>
    <definedName name="hsproject143" localSheetId="17">#REF!</definedName>
    <definedName name="hsproject143" localSheetId="33">#REF!</definedName>
    <definedName name="hsproject143" localSheetId="34">#REF!</definedName>
    <definedName name="hsproject143" localSheetId="32">#REF!</definedName>
    <definedName name="hsproject143" localSheetId="24">#REF!</definedName>
    <definedName name="hsproject143" localSheetId="25">#REF!</definedName>
    <definedName name="hsproject143" localSheetId="26">#REF!</definedName>
    <definedName name="hsproject143" localSheetId="12">#REF!</definedName>
    <definedName name="hsproject143" localSheetId="11">#REF!</definedName>
    <definedName name="hsproject143" localSheetId="14">#REF!</definedName>
    <definedName name="hsproject143" localSheetId="13">#REF!</definedName>
    <definedName name="hsproject143">#REF!</definedName>
    <definedName name="I" localSheetId="27">#REF!</definedName>
    <definedName name="I" localSheetId="19">#REF!</definedName>
    <definedName name="I" localSheetId="4">#REF!</definedName>
    <definedName name="I" localSheetId="3">#REF!</definedName>
    <definedName name="I" localSheetId="6">#REF!</definedName>
    <definedName name="I" localSheetId="5">#REF!</definedName>
    <definedName name="I" localSheetId="28">#REF!</definedName>
    <definedName name="I" localSheetId="20">#REF!</definedName>
    <definedName name="I" localSheetId="31">#REF!</definedName>
    <definedName name="I" localSheetId="23">#REF!</definedName>
    <definedName name="I" localSheetId="8">#REF!</definedName>
    <definedName name="I" localSheetId="16">#REF!</definedName>
    <definedName name="I" localSheetId="15">#REF!</definedName>
    <definedName name="I" localSheetId="7">#REF!</definedName>
    <definedName name="I" localSheetId="10">#REF!</definedName>
    <definedName name="I" localSheetId="18">#REF!</definedName>
    <definedName name="I" localSheetId="9">#REF!</definedName>
    <definedName name="I" localSheetId="17">#REF!</definedName>
    <definedName name="I" localSheetId="33">#REF!</definedName>
    <definedName name="I" localSheetId="34">#REF!</definedName>
    <definedName name="I" localSheetId="32">#REF!</definedName>
    <definedName name="I" localSheetId="24">#REF!</definedName>
    <definedName name="I" localSheetId="25">#REF!</definedName>
    <definedName name="I" localSheetId="26">#REF!</definedName>
    <definedName name="I" localSheetId="12">#REF!</definedName>
    <definedName name="I" localSheetId="11">#REF!</definedName>
    <definedName name="I" localSheetId="14">#REF!</definedName>
    <definedName name="I" localSheetId="13">#REF!</definedName>
    <definedName name="I">#REF!</definedName>
    <definedName name="Ikay" localSheetId="27">#REF!</definedName>
    <definedName name="Ikay" localSheetId="19">#REF!</definedName>
    <definedName name="Ikay" localSheetId="4">#REF!</definedName>
    <definedName name="Ikay" localSheetId="3">#REF!</definedName>
    <definedName name="Ikay" localSheetId="6">#REF!</definedName>
    <definedName name="Ikay" localSheetId="5">#REF!</definedName>
    <definedName name="Ikay" localSheetId="28">#REF!</definedName>
    <definedName name="Ikay" localSheetId="20">#REF!</definedName>
    <definedName name="Ikay" localSheetId="31">#REF!</definedName>
    <definedName name="Ikay" localSheetId="23">#REF!</definedName>
    <definedName name="Ikay" localSheetId="8">#REF!</definedName>
    <definedName name="Ikay" localSheetId="16">#REF!</definedName>
    <definedName name="Ikay" localSheetId="15">#REF!</definedName>
    <definedName name="Ikay" localSheetId="7">#REF!</definedName>
    <definedName name="Ikay" localSheetId="10">#REF!</definedName>
    <definedName name="Ikay" localSheetId="18">#REF!</definedName>
    <definedName name="Ikay" localSheetId="9">#REF!</definedName>
    <definedName name="Ikay" localSheetId="17">#REF!</definedName>
    <definedName name="Ikay" localSheetId="33">#REF!</definedName>
    <definedName name="Ikay" localSheetId="34">#REF!</definedName>
    <definedName name="Ikay" localSheetId="32">#REF!</definedName>
    <definedName name="Ikay" localSheetId="24">#REF!</definedName>
    <definedName name="Ikay" localSheetId="25">#REF!</definedName>
    <definedName name="Ikay" localSheetId="26">#REF!</definedName>
    <definedName name="Ikay" localSheetId="12">#REF!</definedName>
    <definedName name="Ikay" localSheetId="11">#REF!</definedName>
    <definedName name="Ikay" localSheetId="14">#REF!</definedName>
    <definedName name="Ikay" localSheetId="13">#REF!</definedName>
    <definedName name="Ikay">#REF!</definedName>
    <definedName name="IL" localSheetId="27">#REF!</definedName>
    <definedName name="IL" localSheetId="19">#REF!</definedName>
    <definedName name="IL" localSheetId="4">#REF!</definedName>
    <definedName name="IL" localSheetId="3">#REF!</definedName>
    <definedName name="IL" localSheetId="6">#REF!</definedName>
    <definedName name="IL" localSheetId="5">#REF!</definedName>
    <definedName name="IL" localSheetId="28">#REF!</definedName>
    <definedName name="IL" localSheetId="20">#REF!</definedName>
    <definedName name="IL" localSheetId="31">#REF!</definedName>
    <definedName name="IL" localSheetId="23">#REF!</definedName>
    <definedName name="IL" localSheetId="8">#REF!</definedName>
    <definedName name="IL" localSheetId="16">#REF!</definedName>
    <definedName name="IL" localSheetId="15">#REF!</definedName>
    <definedName name="IL" localSheetId="7">#REF!</definedName>
    <definedName name="IL" localSheetId="10">#REF!</definedName>
    <definedName name="IL" localSheetId="18">#REF!</definedName>
    <definedName name="IL" localSheetId="9">#REF!</definedName>
    <definedName name="IL" localSheetId="17">#REF!</definedName>
    <definedName name="IL" localSheetId="33">#REF!</definedName>
    <definedName name="IL" localSheetId="34">#REF!</definedName>
    <definedName name="IL" localSheetId="32">#REF!</definedName>
    <definedName name="IL" localSheetId="24">#REF!</definedName>
    <definedName name="IL" localSheetId="25">#REF!</definedName>
    <definedName name="IL" localSheetId="26">#REF!</definedName>
    <definedName name="IL" localSheetId="12">#REF!</definedName>
    <definedName name="IL" localSheetId="11">#REF!</definedName>
    <definedName name="IL" localSheetId="14">#REF!</definedName>
    <definedName name="IL" localSheetId="13">#REF!</definedName>
    <definedName name="IL">#REF!</definedName>
    <definedName name="ILInoise_4" localSheetId="27">#REF!</definedName>
    <definedName name="ILInoise_4" localSheetId="19">#REF!</definedName>
    <definedName name="ILInoise_4" localSheetId="4">#REF!</definedName>
    <definedName name="ILInoise_4" localSheetId="3">#REF!</definedName>
    <definedName name="ILInoise_4" localSheetId="6">#REF!</definedName>
    <definedName name="ILInoise_4" localSheetId="5">#REF!</definedName>
    <definedName name="ILInoise_4" localSheetId="28">#REF!</definedName>
    <definedName name="ILInoise_4" localSheetId="20">#REF!</definedName>
    <definedName name="ILInoise_4" localSheetId="31">#REF!</definedName>
    <definedName name="ILInoise_4" localSheetId="23">#REF!</definedName>
    <definedName name="ILInoise_4" localSheetId="8">#REF!</definedName>
    <definedName name="ILInoise_4" localSheetId="16">#REF!</definedName>
    <definedName name="ILInoise_4" localSheetId="15">#REF!</definedName>
    <definedName name="ILInoise_4" localSheetId="7">#REF!</definedName>
    <definedName name="ILInoise_4" localSheetId="10">#REF!</definedName>
    <definedName name="ILInoise_4" localSheetId="18">#REF!</definedName>
    <definedName name="ILInoise_4" localSheetId="9">#REF!</definedName>
    <definedName name="ILInoise_4" localSheetId="17">#REF!</definedName>
    <definedName name="ILInoise_4" localSheetId="33">#REF!</definedName>
    <definedName name="ILInoise_4" localSheetId="34">#REF!</definedName>
    <definedName name="ILInoise_4" localSheetId="32">#REF!</definedName>
    <definedName name="ILInoise_4" localSheetId="24">#REF!</definedName>
    <definedName name="ILInoise_4" localSheetId="25">#REF!</definedName>
    <definedName name="ILInoise_4" localSheetId="26">#REF!</definedName>
    <definedName name="ILInoise_4" localSheetId="12">#REF!</definedName>
    <definedName name="ILInoise_4" localSheetId="11">#REF!</definedName>
    <definedName name="ILInoise_4" localSheetId="14">#REF!</definedName>
    <definedName name="ILInoise_4" localSheetId="13">#REF!</definedName>
    <definedName name="ILInoise_4">#REF!</definedName>
    <definedName name="ILOVEYOU" localSheetId="27">#REF!</definedName>
    <definedName name="ILOVEYOU" localSheetId="19">#REF!</definedName>
    <definedName name="ILOVEYOU" localSheetId="4">#REF!</definedName>
    <definedName name="ILOVEYOU" localSheetId="3">#REF!</definedName>
    <definedName name="ILOVEYOU" localSheetId="6">#REF!</definedName>
    <definedName name="ILOVEYOU" localSheetId="5">#REF!</definedName>
    <definedName name="ILOVEYOU" localSheetId="28">#REF!</definedName>
    <definedName name="ILOVEYOU" localSheetId="20">#REF!</definedName>
    <definedName name="ILOVEYOU" localSheetId="31">#REF!</definedName>
    <definedName name="ILOVEYOU" localSheetId="23">#REF!</definedName>
    <definedName name="ILOVEYOU" localSheetId="8">#REF!</definedName>
    <definedName name="ILOVEYOU" localSheetId="16">#REF!</definedName>
    <definedName name="ILOVEYOU" localSheetId="15">#REF!</definedName>
    <definedName name="ILOVEYOU" localSheetId="7">#REF!</definedName>
    <definedName name="ILOVEYOU" localSheetId="10">#REF!</definedName>
    <definedName name="ILOVEYOU" localSheetId="18">#REF!</definedName>
    <definedName name="ILOVEYOU" localSheetId="9">#REF!</definedName>
    <definedName name="ILOVEYOU" localSheetId="17">#REF!</definedName>
    <definedName name="ILOVEYOU" localSheetId="33">#REF!</definedName>
    <definedName name="ILOVEYOU" localSheetId="34">#REF!</definedName>
    <definedName name="ILOVEYOU" localSheetId="32">#REF!</definedName>
    <definedName name="ILOVEYOU" localSheetId="24">#REF!</definedName>
    <definedName name="ILOVEYOU" localSheetId="25">#REF!</definedName>
    <definedName name="ILOVEYOU" localSheetId="26">#REF!</definedName>
    <definedName name="ILOVEYOU" localSheetId="12">#REF!</definedName>
    <definedName name="ILOVEYOU" localSheetId="11">#REF!</definedName>
    <definedName name="ILOVEYOU" localSheetId="14">#REF!</definedName>
    <definedName name="ILOVEYOU" localSheetId="13">#REF!</definedName>
    <definedName name="ILOVEYOU">#REF!</definedName>
    <definedName name="Jan_I11" localSheetId="27">#REF!</definedName>
    <definedName name="Jan_I11" localSheetId="19">#REF!</definedName>
    <definedName name="Jan_I11" localSheetId="4">#REF!</definedName>
    <definedName name="Jan_I11" localSheetId="3">#REF!</definedName>
    <definedName name="Jan_I11" localSheetId="6">#REF!</definedName>
    <definedName name="Jan_I11" localSheetId="5">#REF!</definedName>
    <definedName name="Jan_I11" localSheetId="28">#REF!</definedName>
    <definedName name="Jan_I11" localSheetId="20">#REF!</definedName>
    <definedName name="Jan_I11" localSheetId="31">#REF!</definedName>
    <definedName name="Jan_I11" localSheetId="23">#REF!</definedName>
    <definedName name="Jan_I11" localSheetId="8">#REF!</definedName>
    <definedName name="Jan_I11" localSheetId="16">#REF!</definedName>
    <definedName name="Jan_I11" localSheetId="15">#REF!</definedName>
    <definedName name="Jan_I11" localSheetId="7">#REF!</definedName>
    <definedName name="Jan_I11" localSheetId="10">#REF!</definedName>
    <definedName name="Jan_I11" localSheetId="18">#REF!</definedName>
    <definedName name="Jan_I11" localSheetId="9">#REF!</definedName>
    <definedName name="Jan_I11" localSheetId="17">#REF!</definedName>
    <definedName name="Jan_I11" localSheetId="33">#REF!</definedName>
    <definedName name="Jan_I11" localSheetId="34">#REF!</definedName>
    <definedName name="Jan_I11" localSheetId="32">#REF!</definedName>
    <definedName name="Jan_I11" localSheetId="24">#REF!</definedName>
    <definedName name="Jan_I11" localSheetId="25">#REF!</definedName>
    <definedName name="Jan_I11" localSheetId="26">#REF!</definedName>
    <definedName name="Jan_I11" localSheetId="12">#REF!</definedName>
    <definedName name="Jan_I11" localSheetId="11">#REF!</definedName>
    <definedName name="Jan_I11" localSheetId="14">#REF!</definedName>
    <definedName name="Jan_I11" localSheetId="13">#REF!</definedName>
    <definedName name="Jan_I11">#REF!</definedName>
    <definedName name="Javasz" localSheetId="27">#REF!</definedName>
    <definedName name="Javasz" localSheetId="19">#REF!</definedName>
    <definedName name="Javasz" localSheetId="4">#REF!</definedName>
    <definedName name="Javasz" localSheetId="3">#REF!</definedName>
    <definedName name="Javasz" localSheetId="6">#REF!</definedName>
    <definedName name="Javasz" localSheetId="5">#REF!</definedName>
    <definedName name="Javasz" localSheetId="28">#REF!</definedName>
    <definedName name="Javasz" localSheetId="20">#REF!</definedName>
    <definedName name="Javasz" localSheetId="31">#REF!</definedName>
    <definedName name="Javasz" localSheetId="23">#REF!</definedName>
    <definedName name="Javasz" localSheetId="8">#REF!</definedName>
    <definedName name="Javasz" localSheetId="16">#REF!</definedName>
    <definedName name="Javasz" localSheetId="15">#REF!</definedName>
    <definedName name="Javasz" localSheetId="7">#REF!</definedName>
    <definedName name="Javasz" localSheetId="10">#REF!</definedName>
    <definedName name="Javasz" localSheetId="18">#REF!</definedName>
    <definedName name="Javasz" localSheetId="9">#REF!</definedName>
    <definedName name="Javasz" localSheetId="17">#REF!</definedName>
    <definedName name="Javasz" localSheetId="33">#REF!</definedName>
    <definedName name="Javasz" localSheetId="34">#REF!</definedName>
    <definedName name="Javasz" localSheetId="32">#REF!</definedName>
    <definedName name="Javasz" localSheetId="24">#REF!</definedName>
    <definedName name="Javasz" localSheetId="25">#REF!</definedName>
    <definedName name="Javasz" localSheetId="26">#REF!</definedName>
    <definedName name="Javasz" localSheetId="12">#REF!</definedName>
    <definedName name="Javasz" localSheetId="11">#REF!</definedName>
    <definedName name="Javasz" localSheetId="14">#REF!</definedName>
    <definedName name="Javasz" localSheetId="13">#REF!</definedName>
    <definedName name="Javasz">#REF!</definedName>
    <definedName name="Javz" localSheetId="27">#REF!</definedName>
    <definedName name="Javz" localSheetId="19">#REF!</definedName>
    <definedName name="Javz" localSheetId="4">#REF!</definedName>
    <definedName name="Javz" localSheetId="3">#REF!</definedName>
    <definedName name="Javz" localSheetId="6">#REF!</definedName>
    <definedName name="Javz" localSheetId="5">#REF!</definedName>
    <definedName name="Javz" localSheetId="28">#REF!</definedName>
    <definedName name="Javz" localSheetId="20">#REF!</definedName>
    <definedName name="Javz" localSheetId="31">#REF!</definedName>
    <definedName name="Javz" localSheetId="23">#REF!</definedName>
    <definedName name="Javz" localSheetId="8">#REF!</definedName>
    <definedName name="Javz" localSheetId="16">#REF!</definedName>
    <definedName name="Javz" localSheetId="15">#REF!</definedName>
    <definedName name="Javz" localSheetId="7">#REF!</definedName>
    <definedName name="Javz" localSheetId="10">#REF!</definedName>
    <definedName name="Javz" localSheetId="18">#REF!</definedName>
    <definedName name="Javz" localSheetId="9">#REF!</definedName>
    <definedName name="Javz" localSheetId="17">#REF!</definedName>
    <definedName name="Javz" localSheetId="33">#REF!</definedName>
    <definedName name="Javz" localSheetId="34">#REF!</definedName>
    <definedName name="Javz" localSheetId="32">#REF!</definedName>
    <definedName name="Javz" localSheetId="24">#REF!</definedName>
    <definedName name="Javz" localSheetId="25">#REF!</definedName>
    <definedName name="Javz" localSheetId="26">#REF!</definedName>
    <definedName name="Javz" localSheetId="12">#REF!</definedName>
    <definedName name="Javz" localSheetId="11">#REF!</definedName>
    <definedName name="Javz" localSheetId="14">#REF!</definedName>
    <definedName name="Javz" localSheetId="13">#REF!</definedName>
    <definedName name="Javz">#REF!</definedName>
    <definedName name="Jessa" localSheetId="27">#REF!</definedName>
    <definedName name="Jessa" localSheetId="19">#REF!</definedName>
    <definedName name="Jessa" localSheetId="4">#REF!</definedName>
    <definedName name="Jessa" localSheetId="3">#REF!</definedName>
    <definedName name="Jessa" localSheetId="6">#REF!</definedName>
    <definedName name="Jessa" localSheetId="5">#REF!</definedName>
    <definedName name="Jessa" localSheetId="28">#REF!</definedName>
    <definedName name="Jessa" localSheetId="20">#REF!</definedName>
    <definedName name="Jessa" localSheetId="31">#REF!</definedName>
    <definedName name="Jessa" localSheetId="23">#REF!</definedName>
    <definedName name="Jessa" localSheetId="8">#REF!</definedName>
    <definedName name="Jessa" localSheetId="16">#REF!</definedName>
    <definedName name="Jessa" localSheetId="15">#REF!</definedName>
    <definedName name="Jessa" localSheetId="7">#REF!</definedName>
    <definedName name="Jessa" localSheetId="10">#REF!</definedName>
    <definedName name="Jessa" localSheetId="18">#REF!</definedName>
    <definedName name="Jessa" localSheetId="9">#REF!</definedName>
    <definedName name="Jessa" localSheetId="17">#REF!</definedName>
    <definedName name="Jessa" localSheetId="33">#REF!</definedName>
    <definedName name="Jessa" localSheetId="34">#REF!</definedName>
    <definedName name="Jessa" localSheetId="32">#REF!</definedName>
    <definedName name="Jessa" localSheetId="24">#REF!</definedName>
    <definedName name="Jessa" localSheetId="25">#REF!</definedName>
    <definedName name="Jessa" localSheetId="26">#REF!</definedName>
    <definedName name="Jessa" localSheetId="12">#REF!</definedName>
    <definedName name="Jessa" localSheetId="11">#REF!</definedName>
    <definedName name="Jessa" localSheetId="14">#REF!</definedName>
    <definedName name="Jessa" localSheetId="13">#REF!</definedName>
    <definedName name="Jessa">#REF!</definedName>
    <definedName name="jfjk4r" localSheetId="27">#REF!</definedName>
    <definedName name="jfjk4r" localSheetId="19">#REF!</definedName>
    <definedName name="jfjk4r" localSheetId="4">#REF!</definedName>
    <definedName name="jfjk4r" localSheetId="3">#REF!</definedName>
    <definedName name="jfjk4r" localSheetId="6">#REF!</definedName>
    <definedName name="jfjk4r" localSheetId="5">#REF!</definedName>
    <definedName name="jfjk4r" localSheetId="28">#REF!</definedName>
    <definedName name="jfjk4r" localSheetId="20">#REF!</definedName>
    <definedName name="jfjk4r" localSheetId="31">#REF!</definedName>
    <definedName name="jfjk4r" localSheetId="23">#REF!</definedName>
    <definedName name="jfjk4r" localSheetId="8">#REF!</definedName>
    <definedName name="jfjk4r" localSheetId="16">#REF!</definedName>
    <definedName name="jfjk4r" localSheetId="15">#REF!</definedName>
    <definedName name="jfjk4r" localSheetId="7">#REF!</definedName>
    <definedName name="jfjk4r" localSheetId="10">#REF!</definedName>
    <definedName name="jfjk4r" localSheetId="18">#REF!</definedName>
    <definedName name="jfjk4r" localSheetId="9">#REF!</definedName>
    <definedName name="jfjk4r" localSheetId="17">#REF!</definedName>
    <definedName name="jfjk4r" localSheetId="33">#REF!</definedName>
    <definedName name="jfjk4r" localSheetId="34">#REF!</definedName>
    <definedName name="jfjk4r" localSheetId="32">#REF!</definedName>
    <definedName name="jfjk4r" localSheetId="24">#REF!</definedName>
    <definedName name="jfjk4r" localSheetId="25">#REF!</definedName>
    <definedName name="jfjk4r" localSheetId="26">#REF!</definedName>
    <definedName name="jfjk4r" localSheetId="12">#REF!</definedName>
    <definedName name="jfjk4r" localSheetId="11">#REF!</definedName>
    <definedName name="jfjk4r" localSheetId="14">#REF!</definedName>
    <definedName name="jfjk4r" localSheetId="13">#REF!</definedName>
    <definedName name="jfjk4r">#REF!</definedName>
    <definedName name="jicueiufe3" localSheetId="27">#REF!</definedName>
    <definedName name="jicueiufe3" localSheetId="19">#REF!</definedName>
    <definedName name="jicueiufe3" localSheetId="4">#REF!</definedName>
    <definedName name="jicueiufe3" localSheetId="3">#REF!</definedName>
    <definedName name="jicueiufe3" localSheetId="6">#REF!</definedName>
    <definedName name="jicueiufe3" localSheetId="5">#REF!</definedName>
    <definedName name="jicueiufe3" localSheetId="28">#REF!</definedName>
    <definedName name="jicueiufe3" localSheetId="20">#REF!</definedName>
    <definedName name="jicueiufe3" localSheetId="31">#REF!</definedName>
    <definedName name="jicueiufe3" localSheetId="23">#REF!</definedName>
    <definedName name="jicueiufe3" localSheetId="8">#REF!</definedName>
    <definedName name="jicueiufe3" localSheetId="16">#REF!</definedName>
    <definedName name="jicueiufe3" localSheetId="15">#REF!</definedName>
    <definedName name="jicueiufe3" localSheetId="7">#REF!</definedName>
    <definedName name="jicueiufe3" localSheetId="10">#REF!</definedName>
    <definedName name="jicueiufe3" localSheetId="18">#REF!</definedName>
    <definedName name="jicueiufe3" localSheetId="9">#REF!</definedName>
    <definedName name="jicueiufe3" localSheetId="17">#REF!</definedName>
    <definedName name="jicueiufe3" localSheetId="33">#REF!</definedName>
    <definedName name="jicueiufe3" localSheetId="34">#REF!</definedName>
    <definedName name="jicueiufe3" localSheetId="32">#REF!</definedName>
    <definedName name="jicueiufe3" localSheetId="24">#REF!</definedName>
    <definedName name="jicueiufe3" localSheetId="25">#REF!</definedName>
    <definedName name="jicueiufe3" localSheetId="26">#REF!</definedName>
    <definedName name="jicueiufe3" localSheetId="12">#REF!</definedName>
    <definedName name="jicueiufe3" localSheetId="11">#REF!</definedName>
    <definedName name="jicueiufe3" localSheetId="14">#REF!</definedName>
    <definedName name="jicueiufe3" localSheetId="13">#REF!</definedName>
    <definedName name="jicueiufe3">#REF!</definedName>
    <definedName name="JKJEWJE9" localSheetId="27">#REF!</definedName>
    <definedName name="JKJEWJE9" localSheetId="19">#REF!</definedName>
    <definedName name="JKJEWJE9" localSheetId="4">#REF!</definedName>
    <definedName name="JKJEWJE9" localSheetId="3">#REF!</definedName>
    <definedName name="JKJEWJE9" localSheetId="6">#REF!</definedName>
    <definedName name="JKJEWJE9" localSheetId="5">#REF!</definedName>
    <definedName name="JKJEWJE9" localSheetId="28">#REF!</definedName>
    <definedName name="JKJEWJE9" localSheetId="20">#REF!</definedName>
    <definedName name="JKJEWJE9" localSheetId="31">#REF!</definedName>
    <definedName name="JKJEWJE9" localSheetId="23">#REF!</definedName>
    <definedName name="JKJEWJE9" localSheetId="8">#REF!</definedName>
    <definedName name="JKJEWJE9" localSheetId="16">#REF!</definedName>
    <definedName name="JKJEWJE9" localSheetId="15">#REF!</definedName>
    <definedName name="JKJEWJE9" localSheetId="7">#REF!</definedName>
    <definedName name="JKJEWJE9" localSheetId="10">#REF!</definedName>
    <definedName name="JKJEWJE9" localSheetId="18">#REF!</definedName>
    <definedName name="JKJEWJE9" localSheetId="9">#REF!</definedName>
    <definedName name="JKJEWJE9" localSheetId="17">#REF!</definedName>
    <definedName name="JKJEWJE9" localSheetId="33">#REF!</definedName>
    <definedName name="JKJEWJE9" localSheetId="34">#REF!</definedName>
    <definedName name="JKJEWJE9" localSheetId="32">#REF!</definedName>
    <definedName name="JKJEWJE9" localSheetId="24">#REF!</definedName>
    <definedName name="JKJEWJE9" localSheetId="25">#REF!</definedName>
    <definedName name="JKJEWJE9" localSheetId="26">#REF!</definedName>
    <definedName name="JKJEWJE9" localSheetId="12">#REF!</definedName>
    <definedName name="JKJEWJE9" localSheetId="11">#REF!</definedName>
    <definedName name="JKJEWJE9" localSheetId="14">#REF!</definedName>
    <definedName name="JKJEWJE9" localSheetId="13">#REF!</definedName>
    <definedName name="JKJEWJE9">#REF!</definedName>
    <definedName name="Joice" localSheetId="27">#REF!</definedName>
    <definedName name="Joice" localSheetId="19">#REF!</definedName>
    <definedName name="Joice" localSheetId="4">#REF!</definedName>
    <definedName name="Joice" localSheetId="3">#REF!</definedName>
    <definedName name="Joice" localSheetId="6">#REF!</definedName>
    <definedName name="Joice" localSheetId="5">#REF!</definedName>
    <definedName name="Joice" localSheetId="28">#REF!</definedName>
    <definedName name="Joice" localSheetId="20">#REF!</definedName>
    <definedName name="Joice" localSheetId="31">#REF!</definedName>
    <definedName name="Joice" localSheetId="23">#REF!</definedName>
    <definedName name="Joice" localSheetId="8">#REF!</definedName>
    <definedName name="Joice" localSheetId="16">#REF!</definedName>
    <definedName name="Joice" localSheetId="15">#REF!</definedName>
    <definedName name="Joice" localSheetId="7">#REF!</definedName>
    <definedName name="Joice" localSheetId="10">#REF!</definedName>
    <definedName name="Joice" localSheetId="18">#REF!</definedName>
    <definedName name="Joice" localSheetId="9">#REF!</definedName>
    <definedName name="Joice" localSheetId="17">#REF!</definedName>
    <definedName name="Joice" localSheetId="33">#REF!</definedName>
    <definedName name="Joice" localSheetId="34">#REF!</definedName>
    <definedName name="Joice" localSheetId="32">#REF!</definedName>
    <definedName name="Joice" localSheetId="24">#REF!</definedName>
    <definedName name="Joice" localSheetId="25">#REF!</definedName>
    <definedName name="Joice" localSheetId="26">#REF!</definedName>
    <definedName name="Joice" localSheetId="12">#REF!</definedName>
    <definedName name="Joice" localSheetId="11">#REF!</definedName>
    <definedName name="Joice" localSheetId="14">#REF!</definedName>
    <definedName name="Joice" localSheetId="13">#REF!</definedName>
    <definedName name="Joice">#REF!</definedName>
    <definedName name="Joice101" localSheetId="27">#REF!</definedName>
    <definedName name="Joice101" localSheetId="19">#REF!</definedName>
    <definedName name="Joice101" localSheetId="4">#REF!</definedName>
    <definedName name="Joice101" localSheetId="3">#REF!</definedName>
    <definedName name="Joice101" localSheetId="6">#REF!</definedName>
    <definedName name="Joice101" localSheetId="5">#REF!</definedName>
    <definedName name="Joice101" localSheetId="28">#REF!</definedName>
    <definedName name="Joice101" localSheetId="20">#REF!</definedName>
    <definedName name="Joice101" localSheetId="31">#REF!</definedName>
    <definedName name="Joice101" localSheetId="23">#REF!</definedName>
    <definedName name="Joice101" localSheetId="8">#REF!</definedName>
    <definedName name="Joice101" localSheetId="16">#REF!</definedName>
    <definedName name="Joice101" localSheetId="15">#REF!</definedName>
    <definedName name="Joice101" localSheetId="7">#REF!</definedName>
    <definedName name="Joice101" localSheetId="10">#REF!</definedName>
    <definedName name="Joice101" localSheetId="18">#REF!</definedName>
    <definedName name="Joice101" localSheetId="9">#REF!</definedName>
    <definedName name="Joice101" localSheetId="17">#REF!</definedName>
    <definedName name="Joice101" localSheetId="33">#REF!</definedName>
    <definedName name="Joice101" localSheetId="34">#REF!</definedName>
    <definedName name="Joice101" localSheetId="32">#REF!</definedName>
    <definedName name="Joice101" localSheetId="24">#REF!</definedName>
    <definedName name="Joice101" localSheetId="25">#REF!</definedName>
    <definedName name="Joice101" localSheetId="26">#REF!</definedName>
    <definedName name="Joice101" localSheetId="12">#REF!</definedName>
    <definedName name="Joice101" localSheetId="11">#REF!</definedName>
    <definedName name="Joice101" localSheetId="14">#REF!</definedName>
    <definedName name="Joice101" localSheetId="13">#REF!</definedName>
    <definedName name="Joice101">#REF!</definedName>
    <definedName name="Joice123" localSheetId="27">#REF!</definedName>
    <definedName name="Joice123" localSheetId="19">#REF!</definedName>
    <definedName name="Joice123" localSheetId="4">#REF!</definedName>
    <definedName name="Joice123" localSheetId="3">#REF!</definedName>
    <definedName name="Joice123" localSheetId="6">#REF!</definedName>
    <definedName name="Joice123" localSheetId="5">#REF!</definedName>
    <definedName name="Joice123" localSheetId="28">#REF!</definedName>
    <definedName name="Joice123" localSheetId="20">#REF!</definedName>
    <definedName name="Joice123" localSheetId="31">#REF!</definedName>
    <definedName name="Joice123" localSheetId="23">#REF!</definedName>
    <definedName name="Joice123" localSheetId="8">#REF!</definedName>
    <definedName name="Joice123" localSheetId="16">#REF!</definedName>
    <definedName name="Joice123" localSheetId="15">#REF!</definedName>
    <definedName name="Joice123" localSheetId="7">#REF!</definedName>
    <definedName name="Joice123" localSheetId="10">#REF!</definedName>
    <definedName name="Joice123" localSheetId="18">#REF!</definedName>
    <definedName name="Joice123" localSheetId="9">#REF!</definedName>
    <definedName name="Joice123" localSheetId="17">#REF!</definedName>
    <definedName name="Joice123" localSheetId="33">#REF!</definedName>
    <definedName name="Joice123" localSheetId="34">#REF!</definedName>
    <definedName name="Joice123" localSheetId="32">#REF!</definedName>
    <definedName name="Joice123" localSheetId="24">#REF!</definedName>
    <definedName name="Joice123" localSheetId="25">#REF!</definedName>
    <definedName name="Joice123" localSheetId="26">#REF!</definedName>
    <definedName name="Joice123" localSheetId="12">#REF!</definedName>
    <definedName name="Joice123" localSheetId="11">#REF!</definedName>
    <definedName name="Joice123" localSheetId="14">#REF!</definedName>
    <definedName name="Joice123" localSheetId="13">#REF!</definedName>
    <definedName name="Joice123">#REF!</definedName>
    <definedName name="K" localSheetId="27">#REF!</definedName>
    <definedName name="K" localSheetId="19">#REF!</definedName>
    <definedName name="K" localSheetId="4">#REF!</definedName>
    <definedName name="K" localSheetId="3">#REF!</definedName>
    <definedName name="K" localSheetId="6">#REF!</definedName>
    <definedName name="K" localSheetId="5">#REF!</definedName>
    <definedName name="K" localSheetId="28">#REF!</definedName>
    <definedName name="K" localSheetId="20">#REF!</definedName>
    <definedName name="K" localSheetId="31">#REF!</definedName>
    <definedName name="K" localSheetId="23">#REF!</definedName>
    <definedName name="K" localSheetId="8">#REF!</definedName>
    <definedName name="K" localSheetId="16">#REF!</definedName>
    <definedName name="K" localSheetId="15">#REF!</definedName>
    <definedName name="K" localSheetId="7">#REF!</definedName>
    <definedName name="K" localSheetId="10">#REF!</definedName>
    <definedName name="K" localSheetId="18">#REF!</definedName>
    <definedName name="K" localSheetId="9">#REF!</definedName>
    <definedName name="K" localSheetId="17">#REF!</definedName>
    <definedName name="K" localSheetId="33">#REF!</definedName>
    <definedName name="K" localSheetId="34">#REF!</definedName>
    <definedName name="K" localSheetId="32">#REF!</definedName>
    <definedName name="K" localSheetId="24">#REF!</definedName>
    <definedName name="K" localSheetId="25">#REF!</definedName>
    <definedName name="K" localSheetId="26">#REF!</definedName>
    <definedName name="K" localSheetId="12">#REF!</definedName>
    <definedName name="K" localSheetId="11">#REF!</definedName>
    <definedName name="K" localSheetId="14">#REF!</definedName>
    <definedName name="K" localSheetId="13">#REF!</definedName>
    <definedName name="K">#REF!</definedName>
    <definedName name="kARE" localSheetId="27">#REF!</definedName>
    <definedName name="kARE" localSheetId="19">#REF!</definedName>
    <definedName name="kARE" localSheetId="4">#REF!</definedName>
    <definedName name="kARE" localSheetId="3">#REF!</definedName>
    <definedName name="kARE" localSheetId="6">#REF!</definedName>
    <definedName name="kARE" localSheetId="5">#REF!</definedName>
    <definedName name="kARE" localSheetId="28">#REF!</definedName>
    <definedName name="kARE" localSheetId="20">#REF!</definedName>
    <definedName name="kARE" localSheetId="31">#REF!</definedName>
    <definedName name="kARE" localSheetId="23">#REF!</definedName>
    <definedName name="kARE" localSheetId="8">#REF!</definedName>
    <definedName name="kARE" localSheetId="16">#REF!</definedName>
    <definedName name="kARE" localSheetId="15">#REF!</definedName>
    <definedName name="kARE" localSheetId="7">#REF!</definedName>
    <definedName name="kARE" localSheetId="10">#REF!</definedName>
    <definedName name="kARE" localSheetId="18">#REF!</definedName>
    <definedName name="kARE" localSheetId="9">#REF!</definedName>
    <definedName name="kARE" localSheetId="17">#REF!</definedName>
    <definedName name="kARE" localSheetId="33">#REF!</definedName>
    <definedName name="kARE" localSheetId="34">#REF!</definedName>
    <definedName name="kARE" localSheetId="32">#REF!</definedName>
    <definedName name="kARE" localSheetId="24">#REF!</definedName>
    <definedName name="kARE" localSheetId="25">#REF!</definedName>
    <definedName name="kARE" localSheetId="26">#REF!</definedName>
    <definedName name="kARE" localSheetId="12">#REF!</definedName>
    <definedName name="kARE" localSheetId="11">#REF!</definedName>
    <definedName name="kARE" localSheetId="14">#REF!</definedName>
    <definedName name="kARE" localSheetId="13">#REF!</definedName>
    <definedName name="kARE">#REF!</definedName>
    <definedName name="kclkd2" localSheetId="27">#REF!</definedName>
    <definedName name="kclkd2" localSheetId="19">#REF!</definedName>
    <definedName name="kclkd2" localSheetId="4">#REF!</definedName>
    <definedName name="kclkd2" localSheetId="3">#REF!</definedName>
    <definedName name="kclkd2" localSheetId="6">#REF!</definedName>
    <definedName name="kclkd2" localSheetId="5">#REF!</definedName>
    <definedName name="kclkd2" localSheetId="28">#REF!</definedName>
    <definedName name="kclkd2" localSheetId="20">#REF!</definedName>
    <definedName name="kclkd2" localSheetId="31">#REF!</definedName>
    <definedName name="kclkd2" localSheetId="23">#REF!</definedName>
    <definedName name="kclkd2" localSheetId="8">#REF!</definedName>
    <definedName name="kclkd2" localSheetId="16">#REF!</definedName>
    <definedName name="kclkd2" localSheetId="15">#REF!</definedName>
    <definedName name="kclkd2" localSheetId="7">#REF!</definedName>
    <definedName name="kclkd2" localSheetId="10">#REF!</definedName>
    <definedName name="kclkd2" localSheetId="18">#REF!</definedName>
    <definedName name="kclkd2" localSheetId="9">#REF!</definedName>
    <definedName name="kclkd2" localSheetId="17">#REF!</definedName>
    <definedName name="kclkd2" localSheetId="33">#REF!</definedName>
    <definedName name="kclkd2" localSheetId="34">#REF!</definedName>
    <definedName name="kclkd2" localSheetId="32">#REF!</definedName>
    <definedName name="kclkd2" localSheetId="24">#REF!</definedName>
    <definedName name="kclkd2" localSheetId="25">#REF!</definedName>
    <definedName name="kclkd2" localSheetId="26">#REF!</definedName>
    <definedName name="kclkd2" localSheetId="12">#REF!</definedName>
    <definedName name="kclkd2" localSheetId="11">#REF!</definedName>
    <definedName name="kclkd2" localSheetId="14">#REF!</definedName>
    <definedName name="kclkd2" localSheetId="13">#REF!</definedName>
    <definedName name="kclkd2">#REF!</definedName>
    <definedName name="L" localSheetId="27">#REF!</definedName>
    <definedName name="L" localSheetId="19">#REF!</definedName>
    <definedName name="L" localSheetId="4">#REF!</definedName>
    <definedName name="L" localSheetId="3">#REF!</definedName>
    <definedName name="L" localSheetId="6">#REF!</definedName>
    <definedName name="L" localSheetId="5">#REF!</definedName>
    <definedName name="L" localSheetId="28">#REF!</definedName>
    <definedName name="L" localSheetId="20">#REF!</definedName>
    <definedName name="L" localSheetId="31">#REF!</definedName>
    <definedName name="L" localSheetId="23">#REF!</definedName>
    <definedName name="L" localSheetId="8">#REF!</definedName>
    <definedName name="L" localSheetId="16">#REF!</definedName>
    <definedName name="L" localSheetId="15">#REF!</definedName>
    <definedName name="L" localSheetId="7">#REF!</definedName>
    <definedName name="L" localSheetId="10">#REF!</definedName>
    <definedName name="L" localSheetId="18">#REF!</definedName>
    <definedName name="L" localSheetId="9">#REF!</definedName>
    <definedName name="L" localSheetId="17">#REF!</definedName>
    <definedName name="L" localSheetId="33">#REF!</definedName>
    <definedName name="L" localSheetId="34">#REF!</definedName>
    <definedName name="L" localSheetId="32">#REF!</definedName>
    <definedName name="L" localSheetId="24">#REF!</definedName>
    <definedName name="L" localSheetId="25">#REF!</definedName>
    <definedName name="L" localSheetId="26">#REF!</definedName>
    <definedName name="L" localSheetId="12">#REF!</definedName>
    <definedName name="L" localSheetId="11">#REF!</definedName>
    <definedName name="L" localSheetId="14">#REF!</definedName>
    <definedName name="L" localSheetId="13">#REF!</definedName>
    <definedName name="L">#REF!</definedName>
    <definedName name="LandownerShare">[3]Assumptions!$E$132</definedName>
    <definedName name="Lots" localSheetId="27">[2]Assumptions!#REF!</definedName>
    <definedName name="Lots" localSheetId="19">[2]Assumptions!#REF!</definedName>
    <definedName name="Lots" localSheetId="4">[2]Assumptions!#REF!</definedName>
    <definedName name="Lots" localSheetId="3">[2]Assumptions!#REF!</definedName>
    <definedName name="Lots" localSheetId="6">[2]Assumptions!#REF!</definedName>
    <definedName name="Lots" localSheetId="5">[2]Assumptions!#REF!</definedName>
    <definedName name="Lots" localSheetId="28">[2]Assumptions!#REF!</definedName>
    <definedName name="Lots" localSheetId="20">[2]Assumptions!#REF!</definedName>
    <definedName name="Lots" localSheetId="31">[2]Assumptions!#REF!</definedName>
    <definedName name="Lots" localSheetId="23">[2]Assumptions!#REF!</definedName>
    <definedName name="Lots" localSheetId="8">[2]Assumptions!#REF!</definedName>
    <definedName name="Lots" localSheetId="16">[2]Assumptions!#REF!</definedName>
    <definedName name="Lots" localSheetId="15">[2]Assumptions!#REF!</definedName>
    <definedName name="Lots" localSheetId="7">[2]Assumptions!#REF!</definedName>
    <definedName name="Lots" localSheetId="10">[2]Assumptions!#REF!</definedName>
    <definedName name="Lots" localSheetId="18">[2]Assumptions!#REF!</definedName>
    <definedName name="Lots" localSheetId="9">[2]Assumptions!#REF!</definedName>
    <definedName name="Lots" localSheetId="17">[2]Assumptions!#REF!</definedName>
    <definedName name="Lots" localSheetId="33">[2]Assumptions!#REF!</definedName>
    <definedName name="Lots" localSheetId="34">[2]Assumptions!#REF!</definedName>
    <definedName name="Lots" localSheetId="32">[2]Assumptions!#REF!</definedName>
    <definedName name="Lots" localSheetId="24">[2]Assumptions!#REF!</definedName>
    <definedName name="Lots" localSheetId="25">[2]Assumptions!#REF!</definedName>
    <definedName name="Lots" localSheetId="26">[2]Assumptions!#REF!</definedName>
    <definedName name="Lots" localSheetId="12">[2]Assumptions!#REF!</definedName>
    <definedName name="Lots" localSheetId="11">[2]Assumptions!#REF!</definedName>
    <definedName name="Lots" localSheetId="14">[2]Assumptions!#REF!</definedName>
    <definedName name="Lots" localSheetId="13">[2]Assumptions!#REF!</definedName>
    <definedName name="Lots">[2]Assumptions!#REF!</definedName>
    <definedName name="Manolo_fern" localSheetId="27">#REF!</definedName>
    <definedName name="Manolo_fern" localSheetId="19">#REF!</definedName>
    <definedName name="Manolo_fern" localSheetId="4">#REF!</definedName>
    <definedName name="Manolo_fern" localSheetId="3">#REF!</definedName>
    <definedName name="Manolo_fern" localSheetId="6">#REF!</definedName>
    <definedName name="Manolo_fern" localSheetId="5">#REF!</definedName>
    <definedName name="Manolo_fern" localSheetId="28">#REF!</definedName>
    <definedName name="Manolo_fern" localSheetId="20">#REF!</definedName>
    <definedName name="Manolo_fern" localSheetId="31">#REF!</definedName>
    <definedName name="Manolo_fern" localSheetId="23">#REF!</definedName>
    <definedName name="Manolo_fern" localSheetId="8">#REF!</definedName>
    <definedName name="Manolo_fern" localSheetId="16">#REF!</definedName>
    <definedName name="Manolo_fern" localSheetId="15">#REF!</definedName>
    <definedName name="Manolo_fern" localSheetId="7">#REF!</definedName>
    <definedName name="Manolo_fern" localSheetId="10">#REF!</definedName>
    <definedName name="Manolo_fern" localSheetId="18">#REF!</definedName>
    <definedName name="Manolo_fern" localSheetId="9">#REF!</definedName>
    <definedName name="Manolo_fern" localSheetId="17">#REF!</definedName>
    <definedName name="Manolo_fern" localSheetId="33">#REF!</definedName>
    <definedName name="Manolo_fern" localSheetId="34">#REF!</definedName>
    <definedName name="Manolo_fern" localSheetId="32">#REF!</definedName>
    <definedName name="Manolo_fern" localSheetId="24">#REF!</definedName>
    <definedName name="Manolo_fern" localSheetId="25">#REF!</definedName>
    <definedName name="Manolo_fern" localSheetId="26">#REF!</definedName>
    <definedName name="Manolo_fern" localSheetId="12">#REF!</definedName>
    <definedName name="Manolo_fern" localSheetId="11">#REF!</definedName>
    <definedName name="Manolo_fern" localSheetId="14">#REF!</definedName>
    <definedName name="Manolo_fern" localSheetId="13">#REF!</definedName>
    <definedName name="Manolo_fern">#REF!</definedName>
    <definedName name="Manolo777" localSheetId="27">#REF!</definedName>
    <definedName name="Manolo777" localSheetId="19">#REF!</definedName>
    <definedName name="Manolo777" localSheetId="4">#REF!</definedName>
    <definedName name="Manolo777" localSheetId="3">#REF!</definedName>
    <definedName name="Manolo777" localSheetId="6">#REF!</definedName>
    <definedName name="Manolo777" localSheetId="5">#REF!</definedName>
    <definedName name="Manolo777" localSheetId="28">#REF!</definedName>
    <definedName name="Manolo777" localSheetId="20">#REF!</definedName>
    <definedName name="Manolo777" localSheetId="31">#REF!</definedName>
    <definedName name="Manolo777" localSheetId="23">#REF!</definedName>
    <definedName name="Manolo777" localSheetId="8">#REF!</definedName>
    <definedName name="Manolo777" localSheetId="16">#REF!</definedName>
    <definedName name="Manolo777" localSheetId="15">#REF!</definedName>
    <definedName name="Manolo777" localSheetId="7">#REF!</definedName>
    <definedName name="Manolo777" localSheetId="10">#REF!</definedName>
    <definedName name="Manolo777" localSheetId="18">#REF!</definedName>
    <definedName name="Manolo777" localSheetId="9">#REF!</definedName>
    <definedName name="Manolo777" localSheetId="17">#REF!</definedName>
    <definedName name="Manolo777" localSheetId="33">#REF!</definedName>
    <definedName name="Manolo777" localSheetId="34">#REF!</definedName>
    <definedName name="Manolo777" localSheetId="32">#REF!</definedName>
    <definedName name="Manolo777" localSheetId="24">#REF!</definedName>
    <definedName name="Manolo777" localSheetId="25">#REF!</definedName>
    <definedName name="Manolo777" localSheetId="26">#REF!</definedName>
    <definedName name="Manolo777" localSheetId="12">#REF!</definedName>
    <definedName name="Manolo777" localSheetId="11">#REF!</definedName>
    <definedName name="Manolo777" localSheetId="14">#REF!</definedName>
    <definedName name="Manolo777" localSheetId="13">#REF!</definedName>
    <definedName name="Manolo777">#REF!</definedName>
    <definedName name="MAnolo999" localSheetId="27">#REF!</definedName>
    <definedName name="MAnolo999" localSheetId="19">#REF!</definedName>
    <definedName name="MAnolo999" localSheetId="4">#REF!</definedName>
    <definedName name="MAnolo999" localSheetId="3">#REF!</definedName>
    <definedName name="MAnolo999" localSheetId="6">#REF!</definedName>
    <definedName name="MAnolo999" localSheetId="5">#REF!</definedName>
    <definedName name="MAnolo999" localSheetId="28">#REF!</definedName>
    <definedName name="MAnolo999" localSheetId="20">#REF!</definedName>
    <definedName name="MAnolo999" localSheetId="31">#REF!</definedName>
    <definedName name="MAnolo999" localSheetId="23">#REF!</definedName>
    <definedName name="MAnolo999" localSheetId="8">#REF!</definedName>
    <definedName name="MAnolo999" localSheetId="16">#REF!</definedName>
    <definedName name="MAnolo999" localSheetId="15">#REF!</definedName>
    <definedName name="MAnolo999" localSheetId="7">#REF!</definedName>
    <definedName name="MAnolo999" localSheetId="10">#REF!</definedName>
    <definedName name="MAnolo999" localSheetId="18">#REF!</definedName>
    <definedName name="MAnolo999" localSheetId="9">#REF!</definedName>
    <definedName name="MAnolo999" localSheetId="17">#REF!</definedName>
    <definedName name="MAnolo999" localSheetId="33">#REF!</definedName>
    <definedName name="MAnolo999" localSheetId="34">#REF!</definedName>
    <definedName name="MAnolo999" localSheetId="32">#REF!</definedName>
    <definedName name="MAnolo999" localSheetId="24">#REF!</definedName>
    <definedName name="MAnolo999" localSheetId="25">#REF!</definedName>
    <definedName name="MAnolo999" localSheetId="26">#REF!</definedName>
    <definedName name="MAnolo999" localSheetId="12">#REF!</definedName>
    <definedName name="MAnolo999" localSheetId="11">#REF!</definedName>
    <definedName name="MAnolo999" localSheetId="14">#REF!</definedName>
    <definedName name="MAnolo999" localSheetId="13">#REF!</definedName>
    <definedName name="MAnolo999">#REF!</definedName>
    <definedName name="Miscellaneous">[2]Assumptions!$E$74</definedName>
    <definedName name="N" localSheetId="27">#REF!</definedName>
    <definedName name="N" localSheetId="19">#REF!</definedName>
    <definedName name="N" localSheetId="4">#REF!</definedName>
    <definedName name="N" localSheetId="3">#REF!</definedName>
    <definedName name="N" localSheetId="6">#REF!</definedName>
    <definedName name="N" localSheetId="28">#REF!</definedName>
    <definedName name="N" localSheetId="20">#REF!</definedName>
    <definedName name="N" localSheetId="31">#REF!</definedName>
    <definedName name="N" localSheetId="23">#REF!</definedName>
    <definedName name="N" localSheetId="8">#REF!</definedName>
    <definedName name="N" localSheetId="16">#REF!</definedName>
    <definedName name="N" localSheetId="15">#REF!</definedName>
    <definedName name="N" localSheetId="7">#REF!</definedName>
    <definedName name="N" localSheetId="10">#REF!</definedName>
    <definedName name="N" localSheetId="18">#REF!</definedName>
    <definedName name="N" localSheetId="9">#REF!</definedName>
    <definedName name="N" localSheetId="17">#REF!</definedName>
    <definedName name="N" localSheetId="33">#REF!</definedName>
    <definedName name="N" localSheetId="34">#REF!</definedName>
    <definedName name="N" localSheetId="32">#REF!</definedName>
    <definedName name="N" localSheetId="24">#REF!</definedName>
    <definedName name="N" localSheetId="25">#REF!</definedName>
    <definedName name="N" localSheetId="26">#REF!</definedName>
    <definedName name="N" localSheetId="12">#REF!</definedName>
    <definedName name="N" localSheetId="11">#REF!</definedName>
    <definedName name="N" localSheetId="14">#REF!</definedName>
    <definedName name="N" localSheetId="13">#REF!</definedName>
    <definedName name="N">#REF!</definedName>
    <definedName name="O" localSheetId="27">#REF!</definedName>
    <definedName name="O" localSheetId="19">#REF!</definedName>
    <definedName name="O" localSheetId="4">#REF!</definedName>
    <definedName name="O" localSheetId="3">#REF!</definedName>
    <definedName name="O" localSheetId="6">#REF!</definedName>
    <definedName name="O" localSheetId="5">#REF!</definedName>
    <definedName name="O" localSheetId="28">#REF!</definedName>
    <definedName name="O" localSheetId="20">#REF!</definedName>
    <definedName name="O" localSheetId="31">#REF!</definedName>
    <definedName name="O" localSheetId="23">#REF!</definedName>
    <definedName name="O" localSheetId="8">#REF!</definedName>
    <definedName name="O" localSheetId="16">#REF!</definedName>
    <definedName name="O" localSheetId="15">#REF!</definedName>
    <definedName name="O" localSheetId="7">#REF!</definedName>
    <definedName name="O" localSheetId="10">#REF!</definedName>
    <definedName name="O" localSheetId="18">#REF!</definedName>
    <definedName name="O" localSheetId="9">#REF!</definedName>
    <definedName name="O" localSheetId="17">#REF!</definedName>
    <definedName name="O" localSheetId="33">#REF!</definedName>
    <definedName name="O" localSheetId="34">#REF!</definedName>
    <definedName name="O" localSheetId="32">#REF!</definedName>
    <definedName name="O" localSheetId="24">#REF!</definedName>
    <definedName name="O" localSheetId="25">#REF!</definedName>
    <definedName name="O" localSheetId="26">#REF!</definedName>
    <definedName name="O" localSheetId="12">#REF!</definedName>
    <definedName name="O" localSheetId="11">#REF!</definedName>
    <definedName name="O" localSheetId="14">#REF!</definedName>
    <definedName name="O" localSheetId="13">#REF!</definedName>
    <definedName name="O">#REF!</definedName>
    <definedName name="Okay" localSheetId="27">#REF!</definedName>
    <definedName name="Okay" localSheetId="19">#REF!</definedName>
    <definedName name="Okay" localSheetId="4">#REF!</definedName>
    <definedName name="Okay" localSheetId="3">#REF!</definedName>
    <definedName name="Okay" localSheetId="6">#REF!</definedName>
    <definedName name="Okay" localSheetId="5">#REF!</definedName>
    <definedName name="Okay" localSheetId="28">#REF!</definedName>
    <definedName name="Okay" localSheetId="20">#REF!</definedName>
    <definedName name="Okay" localSheetId="31">#REF!</definedName>
    <definedName name="Okay" localSheetId="23">#REF!</definedName>
    <definedName name="Okay" localSheetId="8">#REF!</definedName>
    <definedName name="Okay" localSheetId="16">#REF!</definedName>
    <definedName name="Okay" localSheetId="15">#REF!</definedName>
    <definedName name="Okay" localSheetId="7">#REF!</definedName>
    <definedName name="Okay" localSheetId="10">#REF!</definedName>
    <definedName name="Okay" localSheetId="18">#REF!</definedName>
    <definedName name="Okay" localSheetId="9">#REF!</definedName>
    <definedName name="Okay" localSheetId="17">#REF!</definedName>
    <definedName name="Okay" localSheetId="33">#REF!</definedName>
    <definedName name="Okay" localSheetId="34">#REF!</definedName>
    <definedName name="Okay" localSheetId="32">#REF!</definedName>
    <definedName name="Okay" localSheetId="24">#REF!</definedName>
    <definedName name="Okay" localSheetId="25">#REF!</definedName>
    <definedName name="Okay" localSheetId="26">#REF!</definedName>
    <definedName name="Okay" localSheetId="12">#REF!</definedName>
    <definedName name="Okay" localSheetId="11">#REF!</definedName>
    <definedName name="Okay" localSheetId="14">#REF!</definedName>
    <definedName name="Okay" localSheetId="13">#REF!</definedName>
    <definedName name="Okay">#REF!</definedName>
    <definedName name="okay101" localSheetId="27">#REF!</definedName>
    <definedName name="okay101" localSheetId="19">#REF!</definedName>
    <definedName name="okay101" localSheetId="4">#REF!</definedName>
    <definedName name="okay101" localSheetId="3">#REF!</definedName>
    <definedName name="okay101" localSheetId="6">#REF!</definedName>
    <definedName name="okay101" localSheetId="5">#REF!</definedName>
    <definedName name="okay101" localSheetId="28">#REF!</definedName>
    <definedName name="okay101" localSheetId="20">#REF!</definedName>
    <definedName name="okay101" localSheetId="31">#REF!</definedName>
    <definedName name="okay101" localSheetId="23">#REF!</definedName>
    <definedName name="okay101" localSheetId="8">#REF!</definedName>
    <definedName name="okay101" localSheetId="16">#REF!</definedName>
    <definedName name="okay101" localSheetId="15">#REF!</definedName>
    <definedName name="okay101" localSheetId="7">#REF!</definedName>
    <definedName name="okay101" localSheetId="10">#REF!</definedName>
    <definedName name="okay101" localSheetId="18">#REF!</definedName>
    <definedName name="okay101" localSheetId="9">#REF!</definedName>
    <definedName name="okay101" localSheetId="17">#REF!</definedName>
    <definedName name="okay101" localSheetId="33">#REF!</definedName>
    <definedName name="okay101" localSheetId="34">#REF!</definedName>
    <definedName name="okay101" localSheetId="32">#REF!</definedName>
    <definedName name="okay101" localSheetId="24">#REF!</definedName>
    <definedName name="okay101" localSheetId="25">#REF!</definedName>
    <definedName name="okay101" localSheetId="26">#REF!</definedName>
    <definedName name="okay101" localSheetId="12">#REF!</definedName>
    <definedName name="okay101" localSheetId="11">#REF!</definedName>
    <definedName name="okay101" localSheetId="14">#REF!</definedName>
    <definedName name="okay101" localSheetId="13">#REF!</definedName>
    <definedName name="okay101">#REF!</definedName>
    <definedName name="oks_98" localSheetId="27">#REF!</definedName>
    <definedName name="oks_98" localSheetId="19">#REF!</definedName>
    <definedName name="oks_98" localSheetId="4">#REF!</definedName>
    <definedName name="oks_98" localSheetId="3">#REF!</definedName>
    <definedName name="oks_98" localSheetId="6">#REF!</definedName>
    <definedName name="oks_98" localSheetId="5">#REF!</definedName>
    <definedName name="oks_98" localSheetId="28">#REF!</definedName>
    <definedName name="oks_98" localSheetId="20">#REF!</definedName>
    <definedName name="oks_98" localSheetId="31">#REF!</definedName>
    <definedName name="oks_98" localSheetId="23">#REF!</definedName>
    <definedName name="oks_98" localSheetId="8">#REF!</definedName>
    <definedName name="oks_98" localSheetId="16">#REF!</definedName>
    <definedName name="oks_98" localSheetId="15">#REF!</definedName>
    <definedName name="oks_98" localSheetId="7">#REF!</definedName>
    <definedName name="oks_98" localSheetId="10">#REF!</definedName>
    <definedName name="oks_98" localSheetId="18">#REF!</definedName>
    <definedName name="oks_98" localSheetId="9">#REF!</definedName>
    <definedName name="oks_98" localSheetId="17">#REF!</definedName>
    <definedName name="oks_98" localSheetId="33">#REF!</definedName>
    <definedName name="oks_98" localSheetId="34">#REF!</definedName>
    <definedName name="oks_98" localSheetId="32">#REF!</definedName>
    <definedName name="oks_98" localSheetId="24">#REF!</definedName>
    <definedName name="oks_98" localSheetId="25">#REF!</definedName>
    <definedName name="oks_98" localSheetId="26">#REF!</definedName>
    <definedName name="oks_98" localSheetId="12">#REF!</definedName>
    <definedName name="oks_98" localSheetId="11">#REF!</definedName>
    <definedName name="oks_98" localSheetId="14">#REF!</definedName>
    <definedName name="oks_98" localSheetId="13">#REF!</definedName>
    <definedName name="oks_98">#REF!</definedName>
    <definedName name="Ouding" localSheetId="27">#REF!</definedName>
    <definedName name="Ouding" localSheetId="19">#REF!</definedName>
    <definedName name="Ouding" localSheetId="4">#REF!</definedName>
    <definedName name="Ouding" localSheetId="3">#REF!</definedName>
    <definedName name="Ouding" localSheetId="6">#REF!</definedName>
    <definedName name="Ouding" localSheetId="5">#REF!</definedName>
    <definedName name="Ouding" localSheetId="28">#REF!</definedName>
    <definedName name="Ouding" localSheetId="20">#REF!</definedName>
    <definedName name="Ouding" localSheetId="31">#REF!</definedName>
    <definedName name="Ouding" localSheetId="23">#REF!</definedName>
    <definedName name="Ouding" localSheetId="8">#REF!</definedName>
    <definedName name="Ouding" localSheetId="16">#REF!</definedName>
    <definedName name="Ouding" localSheetId="15">#REF!</definedName>
    <definedName name="Ouding" localSheetId="7">#REF!</definedName>
    <definedName name="Ouding" localSheetId="10">#REF!</definedName>
    <definedName name="Ouding" localSheetId="18">#REF!</definedName>
    <definedName name="Ouding" localSheetId="9">#REF!</definedName>
    <definedName name="Ouding" localSheetId="17">#REF!</definedName>
    <definedName name="Ouding" localSheetId="33">#REF!</definedName>
    <definedName name="Ouding" localSheetId="34">#REF!</definedName>
    <definedName name="Ouding" localSheetId="32">#REF!</definedName>
    <definedName name="Ouding" localSheetId="24">#REF!</definedName>
    <definedName name="Ouding" localSheetId="25">#REF!</definedName>
    <definedName name="Ouding" localSheetId="26">#REF!</definedName>
    <definedName name="Ouding" localSheetId="12">#REF!</definedName>
    <definedName name="Ouding" localSheetId="11">#REF!</definedName>
    <definedName name="Ouding" localSheetId="14">#REF!</definedName>
    <definedName name="Ouding" localSheetId="13">#REF!</definedName>
    <definedName name="Ouding">#REF!</definedName>
    <definedName name="P" localSheetId="27">#REF!</definedName>
    <definedName name="P" localSheetId="19">#REF!</definedName>
    <definedName name="P" localSheetId="4">#REF!</definedName>
    <definedName name="P" localSheetId="3">#REF!</definedName>
    <definedName name="P" localSheetId="6">#REF!</definedName>
    <definedName name="P" localSheetId="5">#REF!</definedName>
    <definedName name="P" localSheetId="28">#REF!</definedName>
    <definedName name="P" localSheetId="20">#REF!</definedName>
    <definedName name="P" localSheetId="31">#REF!</definedName>
    <definedName name="P" localSheetId="23">#REF!</definedName>
    <definedName name="P" localSheetId="8">#REF!</definedName>
    <definedName name="P" localSheetId="16">#REF!</definedName>
    <definedName name="P" localSheetId="15">#REF!</definedName>
    <definedName name="P" localSheetId="7">#REF!</definedName>
    <definedName name="P" localSheetId="10">#REF!</definedName>
    <definedName name="P" localSheetId="18">#REF!</definedName>
    <definedName name="P" localSheetId="9">#REF!</definedName>
    <definedName name="P" localSheetId="17">#REF!</definedName>
    <definedName name="P" localSheetId="33">#REF!</definedName>
    <definedName name="P" localSheetId="34">#REF!</definedName>
    <definedName name="P" localSheetId="32">#REF!</definedName>
    <definedName name="P" localSheetId="24">#REF!</definedName>
    <definedName name="P" localSheetId="25">#REF!</definedName>
    <definedName name="P" localSheetId="26">#REF!</definedName>
    <definedName name="P" localSheetId="12">#REF!</definedName>
    <definedName name="P" localSheetId="11">#REF!</definedName>
    <definedName name="P" localSheetId="14">#REF!</definedName>
    <definedName name="P" localSheetId="13">#REF!</definedName>
    <definedName name="P">#REF!</definedName>
    <definedName name="peodp3." localSheetId="27">#REF!</definedName>
    <definedName name="peodp3." localSheetId="19">#REF!</definedName>
    <definedName name="peodp3." localSheetId="4">#REF!</definedName>
    <definedName name="peodp3." localSheetId="3">#REF!</definedName>
    <definedName name="peodp3." localSheetId="6">#REF!</definedName>
    <definedName name="peodp3." localSheetId="5">#REF!</definedName>
    <definedName name="peodp3." localSheetId="28">#REF!</definedName>
    <definedName name="peodp3." localSheetId="20">#REF!</definedName>
    <definedName name="peodp3." localSheetId="31">#REF!</definedName>
    <definedName name="peodp3." localSheetId="23">#REF!</definedName>
    <definedName name="peodp3." localSheetId="8">#REF!</definedName>
    <definedName name="peodp3." localSheetId="16">#REF!</definedName>
    <definedName name="peodp3." localSheetId="15">#REF!</definedName>
    <definedName name="peodp3." localSheetId="7">#REF!</definedName>
    <definedName name="peodp3." localSheetId="10">#REF!</definedName>
    <definedName name="peodp3." localSheetId="18">#REF!</definedName>
    <definedName name="peodp3." localSheetId="9">#REF!</definedName>
    <definedName name="peodp3." localSheetId="17">#REF!</definedName>
    <definedName name="peodp3." localSheetId="33">#REF!</definedName>
    <definedName name="peodp3." localSheetId="34">#REF!</definedName>
    <definedName name="peodp3." localSheetId="32">#REF!</definedName>
    <definedName name="peodp3." localSheetId="24">#REF!</definedName>
    <definedName name="peodp3." localSheetId="25">#REF!</definedName>
    <definedName name="peodp3." localSheetId="26">#REF!</definedName>
    <definedName name="peodp3." localSheetId="12">#REF!</definedName>
    <definedName name="peodp3." localSheetId="11">#REF!</definedName>
    <definedName name="peodp3." localSheetId="14">#REF!</definedName>
    <definedName name="peodp3." localSheetId="13">#REF!</definedName>
    <definedName name="peodp3.">#REF!</definedName>
    <definedName name="pivot" localSheetId="27">#REF!</definedName>
    <definedName name="pivot" localSheetId="19">#REF!</definedName>
    <definedName name="pivot" localSheetId="4">#REF!</definedName>
    <definedName name="pivot" localSheetId="3">#REF!</definedName>
    <definedName name="pivot" localSheetId="6">#REF!</definedName>
    <definedName name="pivot" localSheetId="5">#REF!</definedName>
    <definedName name="pivot" localSheetId="28">#REF!</definedName>
    <definedName name="pivot" localSheetId="20">#REF!</definedName>
    <definedName name="pivot" localSheetId="31">#REF!</definedName>
    <definedName name="pivot" localSheetId="23">#REF!</definedName>
    <definedName name="pivot" localSheetId="8">#REF!</definedName>
    <definedName name="pivot" localSheetId="16">#REF!</definedName>
    <definedName name="pivot" localSheetId="15">#REF!</definedName>
    <definedName name="pivot" localSheetId="7">#REF!</definedName>
    <definedName name="pivot" localSheetId="10">#REF!</definedName>
    <definedName name="pivot" localSheetId="18">#REF!</definedName>
    <definedName name="pivot" localSheetId="9">#REF!</definedName>
    <definedName name="pivot" localSheetId="17">#REF!</definedName>
    <definedName name="pivot" localSheetId="33">#REF!</definedName>
    <definedName name="pivot" localSheetId="34">#REF!</definedName>
    <definedName name="pivot" localSheetId="32">#REF!</definedName>
    <definedName name="pivot" localSheetId="24">#REF!</definedName>
    <definedName name="pivot" localSheetId="25">#REF!</definedName>
    <definedName name="pivot" localSheetId="26">#REF!</definedName>
    <definedName name="pivot" localSheetId="12">#REF!</definedName>
    <definedName name="pivot" localSheetId="11">#REF!</definedName>
    <definedName name="pivot" localSheetId="14">#REF!</definedName>
    <definedName name="pivot" localSheetId="13">#REF!</definedName>
    <definedName name="pivot">#REF!</definedName>
    <definedName name="pivot_1" localSheetId="27">#REF!</definedName>
    <definedName name="pivot_1" localSheetId="19">#REF!</definedName>
    <definedName name="pivot_1" localSheetId="4">#REF!</definedName>
    <definedName name="pivot_1" localSheetId="3">#REF!</definedName>
    <definedName name="pivot_1" localSheetId="6">#REF!</definedName>
    <definedName name="pivot_1" localSheetId="5">#REF!</definedName>
    <definedName name="pivot_1" localSheetId="28">#REF!</definedName>
    <definedName name="pivot_1" localSheetId="20">#REF!</definedName>
    <definedName name="pivot_1" localSheetId="31">#REF!</definedName>
    <definedName name="pivot_1" localSheetId="23">#REF!</definedName>
    <definedName name="pivot_1" localSheetId="8">#REF!</definedName>
    <definedName name="pivot_1" localSheetId="16">#REF!</definedName>
    <definedName name="pivot_1" localSheetId="15">#REF!</definedName>
    <definedName name="pivot_1" localSheetId="7">#REF!</definedName>
    <definedName name="pivot_1" localSheetId="10">#REF!</definedName>
    <definedName name="pivot_1" localSheetId="18">#REF!</definedName>
    <definedName name="pivot_1" localSheetId="9">#REF!</definedName>
    <definedName name="pivot_1" localSheetId="17">#REF!</definedName>
    <definedName name="pivot_1" localSheetId="33">#REF!</definedName>
    <definedName name="pivot_1" localSheetId="34">#REF!</definedName>
    <definedName name="pivot_1" localSheetId="32">#REF!</definedName>
    <definedName name="pivot_1" localSheetId="24">#REF!</definedName>
    <definedName name="pivot_1" localSheetId="25">#REF!</definedName>
    <definedName name="pivot_1" localSheetId="26">#REF!</definedName>
    <definedName name="pivot_1" localSheetId="12">#REF!</definedName>
    <definedName name="pivot_1" localSheetId="11">#REF!</definedName>
    <definedName name="pivot_1" localSheetId="14">#REF!</definedName>
    <definedName name="pivot_1" localSheetId="13">#REF!</definedName>
    <definedName name="pivot_1">#REF!</definedName>
    <definedName name="PP" localSheetId="27">#REF!</definedName>
    <definedName name="PP" localSheetId="19">#REF!</definedName>
    <definedName name="PP" localSheetId="4">#REF!</definedName>
    <definedName name="PP" localSheetId="3">#REF!</definedName>
    <definedName name="PP" localSheetId="6">#REF!</definedName>
    <definedName name="PP" localSheetId="5">#REF!</definedName>
    <definedName name="PP" localSheetId="28">#REF!</definedName>
    <definedName name="PP" localSheetId="20">#REF!</definedName>
    <definedName name="PP" localSheetId="31">#REF!</definedName>
    <definedName name="PP" localSheetId="23">#REF!</definedName>
    <definedName name="PP" localSheetId="8">#REF!</definedName>
    <definedName name="PP" localSheetId="16">#REF!</definedName>
    <definedName name="PP" localSheetId="15">#REF!</definedName>
    <definedName name="PP" localSheetId="7">#REF!</definedName>
    <definedName name="PP" localSheetId="10">#REF!</definedName>
    <definedName name="PP" localSheetId="18">#REF!</definedName>
    <definedName name="PP" localSheetId="9">#REF!</definedName>
    <definedName name="PP" localSheetId="17">#REF!</definedName>
    <definedName name="PP" localSheetId="33">#REF!</definedName>
    <definedName name="PP" localSheetId="34">#REF!</definedName>
    <definedName name="PP" localSheetId="32">#REF!</definedName>
    <definedName name="PP" localSheetId="24">#REF!</definedName>
    <definedName name="PP" localSheetId="25">#REF!</definedName>
    <definedName name="PP" localSheetId="26">#REF!</definedName>
    <definedName name="PP" localSheetId="12">#REF!</definedName>
    <definedName name="PP" localSheetId="11">#REF!</definedName>
    <definedName name="PP" localSheetId="14">#REF!</definedName>
    <definedName name="PP" localSheetId="13">#REF!</definedName>
    <definedName name="PP">#REF!</definedName>
    <definedName name="_xlnm.Print_Area" localSheetId="27">'CASH TERM_Member'!$A$1:$F$34</definedName>
    <definedName name="_xlnm.Print_Area" localSheetId="19">'CASH TERM_Non-Member'!$A$1:$H$35</definedName>
    <definedName name="_xlnm.Print_Area" localSheetId="4">Cash_Mem!$A$1:$E$34</definedName>
    <definedName name="_xlnm.Print_Area" localSheetId="3">'Cash_Non-mem'!$A$1:$E$34</definedName>
    <definedName name="_xlnm.Print_Area" localSheetId="6">'Deferred Cash_Mem'!$A$1:$E$47</definedName>
    <definedName name="_xlnm.Print_Area" localSheetId="5">'Deferred Cash_Non-mem'!$A$1:$E$47</definedName>
    <definedName name="_xlnm.Print_Area" localSheetId="28">'DP Term1_Member'!$A$1:$F$93</definedName>
    <definedName name="_xlnm.Print_Area" localSheetId="20">'DP Term1_Non-member'!$A$1:$H$95</definedName>
    <definedName name="_xlnm.Print_Area" localSheetId="21">'DP Term2_Non-mem'!$A$1:$H$95</definedName>
    <definedName name="_xlnm.Print_Area" localSheetId="8">INST1_Mem!$A$1:$E$59</definedName>
    <definedName name="_xlnm.Print_Area" localSheetId="16">INST1_Member!$A$1:$E$66</definedName>
    <definedName name="_xlnm.Print_Area" localSheetId="15">'INST1_Non mem'!$A$1:$E$65</definedName>
    <definedName name="_xlnm.Print_Area" localSheetId="7">'INST1_Non-mem'!$A$1:$E$59</definedName>
    <definedName name="_xlnm.Print_Area" localSheetId="10">INST2_Mem!$A$1:$E$59</definedName>
    <definedName name="_xlnm.Print_Area" localSheetId="18">INST2_Member!$A$1:$E$98</definedName>
    <definedName name="_xlnm.Print_Area" localSheetId="9">'INST2_Non-mem'!$A$1:$E$59</definedName>
    <definedName name="_xlnm.Print_Area" localSheetId="17">'INST2_Non-member'!$A$1:$E$96</definedName>
    <definedName name="_xlnm.Print_Area" localSheetId="33">'NO DP Term 2_Member'!$A$1:$H$91</definedName>
    <definedName name="_xlnm.Print_Area" localSheetId="34">'NO DP Term 3_Member'!$A$1:$H$70</definedName>
    <definedName name="_xlnm.Print_Area" localSheetId="32">'NO DP Term1_Member'!$A$1:$F$69</definedName>
    <definedName name="_xlnm.Print_Area" localSheetId="24">'NO DP term1_Non-mem'!$A$1:$H$71</definedName>
    <definedName name="_xlnm.Print_Area" localSheetId="25">'NO DP term2_Non-mem'!$A$1:$H$92</definedName>
    <definedName name="_xlnm.Print_Area" localSheetId="26">'NO DP term3_Non-mem'!$A$1:$H$71</definedName>
    <definedName name="_xlnm.Print_Area" localSheetId="12">'Promo Term 1_Mem'!$A$1:$E$56</definedName>
    <definedName name="_xlnm.Print_Area" localSheetId="11">'Promo Term 1_Non-mem'!$A$1:$E$56</definedName>
    <definedName name="_xlnm.Print_Area" localSheetId="14">'Promo Term 2_Mem'!$A$1:$E$87</definedName>
    <definedName name="_xlnm.Print_Area" localSheetId="13">'Promo Term 2_Non-mem'!$A$1:$E$87</definedName>
    <definedName name="_xlnm.Print_Titles" localSheetId="27">'CASH TERM_Member'!$21:$21</definedName>
    <definedName name="_xlnm.Print_Titles" localSheetId="19">'CASH TERM_Non-Member'!$23:$23</definedName>
    <definedName name="_xlnm.Print_Titles" localSheetId="28">'DP Term1_Member'!$21:$21</definedName>
    <definedName name="_xlnm.Print_Titles" localSheetId="20">'DP Term1_Non-member'!$30:$30</definedName>
    <definedName name="_xlnm.Print_Titles" localSheetId="30">'DP Term3_Member'!$1:$6</definedName>
    <definedName name="_xlnm.Print_Titles" localSheetId="31">'DP Term4_Member'!$1:$6</definedName>
    <definedName name="_xlnm.Print_Titles" localSheetId="23">'DP Term4_Non-mem'!$1:$6</definedName>
    <definedName name="_xlnm.Print_Titles" localSheetId="15">'INST1_Non mem'!$1:$6</definedName>
    <definedName name="_xlnm.Print_Titles" localSheetId="33">'NO DP Term 2_Member'!$20:$20</definedName>
    <definedName name="_xlnm.Print_Titles" localSheetId="34">'NO DP Term 3_Member'!$20:$20</definedName>
    <definedName name="_xlnm.Print_Titles" localSheetId="32">'NO DP Term1_Member'!$20:$20</definedName>
    <definedName name="_xlnm.Print_Titles" localSheetId="24">'NO DP term1_Non-mem'!$22:$22</definedName>
    <definedName name="_xlnm.Print_Titles" localSheetId="25">'NO DP term2_Non-mem'!$22:$22</definedName>
    <definedName name="_xlnm.Print_Titles" localSheetId="26">'NO DP term3_Non-mem'!$22:$22</definedName>
    <definedName name="_xlnm.Print_Titles" localSheetId="14">'Promo Term 2_Mem'!$18:$18</definedName>
    <definedName name="_xlnm.Print_Titles" localSheetId="13">'Promo Term 2_Non-mem'!$18:$18</definedName>
    <definedName name="ProfFees">[2]Assumptions!$E$71</definedName>
    <definedName name="Q" localSheetId="27">#REF!</definedName>
    <definedName name="Q" localSheetId="19">#REF!</definedName>
    <definedName name="Q" localSheetId="4">#REF!</definedName>
    <definedName name="Q" localSheetId="3">#REF!</definedName>
    <definedName name="Q" localSheetId="6">#REF!</definedName>
    <definedName name="Q" localSheetId="5">#REF!</definedName>
    <definedName name="Q" localSheetId="28">#REF!</definedName>
    <definedName name="Q" localSheetId="20">#REF!</definedName>
    <definedName name="Q" localSheetId="31">#REF!</definedName>
    <definedName name="Q" localSheetId="23">#REF!</definedName>
    <definedName name="Q" localSheetId="8">#REF!</definedName>
    <definedName name="Q" localSheetId="16">#REF!</definedName>
    <definedName name="Q" localSheetId="15">#REF!</definedName>
    <definedName name="Q" localSheetId="7">#REF!</definedName>
    <definedName name="Q" localSheetId="10">#REF!</definedName>
    <definedName name="Q" localSheetId="18">#REF!</definedName>
    <definedName name="Q" localSheetId="9">#REF!</definedName>
    <definedName name="Q" localSheetId="17">#REF!</definedName>
    <definedName name="Q" localSheetId="33">#REF!</definedName>
    <definedName name="Q" localSheetId="34">#REF!</definedName>
    <definedName name="Q" localSheetId="32">#REF!</definedName>
    <definedName name="Q" localSheetId="24">#REF!</definedName>
    <definedName name="Q" localSheetId="25">#REF!</definedName>
    <definedName name="Q" localSheetId="26">#REF!</definedName>
    <definedName name="Q" localSheetId="12">#REF!</definedName>
    <definedName name="Q" localSheetId="11">#REF!</definedName>
    <definedName name="Q" localSheetId="14">#REF!</definedName>
    <definedName name="Q" localSheetId="13">#REF!</definedName>
    <definedName name="Q">#REF!</definedName>
    <definedName name="qqqqq" localSheetId="27">#REF!</definedName>
    <definedName name="qqqqq" localSheetId="19">#REF!</definedName>
    <definedName name="qqqqq" localSheetId="4">#REF!</definedName>
    <definedName name="qqqqq" localSheetId="3">#REF!</definedName>
    <definedName name="qqqqq" localSheetId="6">#REF!</definedName>
    <definedName name="qqqqq" localSheetId="5">#REF!</definedName>
    <definedName name="qqqqq" localSheetId="28">#REF!</definedName>
    <definedName name="qqqqq" localSheetId="20">#REF!</definedName>
    <definedName name="qqqqq" localSheetId="31">#REF!</definedName>
    <definedName name="qqqqq" localSheetId="23">#REF!</definedName>
    <definedName name="qqqqq" localSheetId="8">#REF!</definedName>
    <definedName name="qqqqq" localSheetId="16">#REF!</definedName>
    <definedName name="qqqqq" localSheetId="15">#REF!</definedName>
    <definedName name="qqqqq" localSheetId="7">#REF!</definedName>
    <definedName name="qqqqq" localSheetId="10">#REF!</definedName>
    <definedName name="qqqqq" localSheetId="18">#REF!</definedName>
    <definedName name="qqqqq" localSheetId="9">#REF!</definedName>
    <definedName name="qqqqq" localSheetId="17">#REF!</definedName>
    <definedName name="qqqqq" localSheetId="33">#REF!</definedName>
    <definedName name="qqqqq" localSheetId="34">#REF!</definedName>
    <definedName name="qqqqq" localSheetId="32">#REF!</definedName>
    <definedName name="qqqqq" localSheetId="24">#REF!</definedName>
    <definedName name="qqqqq" localSheetId="25">#REF!</definedName>
    <definedName name="qqqqq" localSheetId="26">#REF!</definedName>
    <definedName name="qqqqq" localSheetId="12">#REF!</definedName>
    <definedName name="qqqqq" localSheetId="11">#REF!</definedName>
    <definedName name="qqqqq" localSheetId="14">#REF!</definedName>
    <definedName name="qqqqq" localSheetId="13">#REF!</definedName>
    <definedName name="qqqqq">#REF!</definedName>
    <definedName name="quezon203" localSheetId="27">#REF!</definedName>
    <definedName name="quezon203" localSheetId="19">#REF!</definedName>
    <definedName name="quezon203" localSheetId="4">#REF!</definedName>
    <definedName name="quezon203" localSheetId="3">#REF!</definedName>
    <definedName name="quezon203" localSheetId="6">#REF!</definedName>
    <definedName name="quezon203" localSheetId="5">#REF!</definedName>
    <definedName name="quezon203" localSheetId="28">#REF!</definedName>
    <definedName name="quezon203" localSheetId="20">#REF!</definedName>
    <definedName name="quezon203" localSheetId="31">#REF!</definedName>
    <definedName name="quezon203" localSheetId="23">#REF!</definedName>
    <definedName name="quezon203" localSheetId="8">#REF!</definedName>
    <definedName name="quezon203" localSheetId="16">#REF!</definedName>
    <definedName name="quezon203" localSheetId="15">#REF!</definedName>
    <definedName name="quezon203" localSheetId="7">#REF!</definedName>
    <definedName name="quezon203" localSheetId="10">#REF!</definedName>
    <definedName name="quezon203" localSheetId="18">#REF!</definedName>
    <definedName name="quezon203" localSheetId="9">#REF!</definedName>
    <definedName name="quezon203" localSheetId="17">#REF!</definedName>
    <definedName name="quezon203" localSheetId="33">#REF!</definedName>
    <definedName name="quezon203" localSheetId="34">#REF!</definedName>
    <definedName name="quezon203" localSheetId="32">#REF!</definedName>
    <definedName name="quezon203" localSheetId="24">#REF!</definedName>
    <definedName name="quezon203" localSheetId="25">#REF!</definedName>
    <definedName name="quezon203" localSheetId="26">#REF!</definedName>
    <definedName name="quezon203" localSheetId="12">#REF!</definedName>
    <definedName name="quezon203" localSheetId="11">#REF!</definedName>
    <definedName name="quezon203" localSheetId="14">#REF!</definedName>
    <definedName name="quezon203" localSheetId="13">#REF!</definedName>
    <definedName name="quezon203">#REF!</definedName>
    <definedName name="QXJ" localSheetId="27">#REF!</definedName>
    <definedName name="QXJ" localSheetId="19">#REF!</definedName>
    <definedName name="QXJ" localSheetId="4">#REF!</definedName>
    <definedName name="QXJ" localSheetId="3">#REF!</definedName>
    <definedName name="QXJ" localSheetId="6">#REF!</definedName>
    <definedName name="QXJ" localSheetId="5">#REF!</definedName>
    <definedName name="QXJ" localSheetId="28">#REF!</definedName>
    <definedName name="QXJ" localSheetId="20">#REF!</definedName>
    <definedName name="QXJ" localSheetId="31">#REF!</definedName>
    <definedName name="QXJ" localSheetId="23">#REF!</definedName>
    <definedName name="QXJ" localSheetId="8">#REF!</definedName>
    <definedName name="QXJ" localSheetId="16">#REF!</definedName>
    <definedName name="QXJ" localSheetId="15">#REF!</definedName>
    <definedName name="QXJ" localSheetId="7">#REF!</definedName>
    <definedName name="QXJ" localSheetId="10">#REF!</definedName>
    <definedName name="QXJ" localSheetId="18">#REF!</definedName>
    <definedName name="QXJ" localSheetId="9">#REF!</definedName>
    <definedName name="QXJ" localSheetId="17">#REF!</definedName>
    <definedName name="QXJ" localSheetId="33">#REF!</definedName>
    <definedName name="QXJ" localSheetId="34">#REF!</definedName>
    <definedName name="QXJ" localSheetId="32">#REF!</definedName>
    <definedName name="QXJ" localSheetId="24">#REF!</definedName>
    <definedName name="QXJ" localSheetId="25">#REF!</definedName>
    <definedName name="QXJ" localSheetId="26">#REF!</definedName>
    <definedName name="QXJ" localSheetId="12">#REF!</definedName>
    <definedName name="QXJ" localSheetId="11">#REF!</definedName>
    <definedName name="QXJ" localSheetId="14">#REF!</definedName>
    <definedName name="QXJ" localSheetId="13">#REF!</definedName>
    <definedName name="QXJ">#REF!</definedName>
    <definedName name="qzz0" localSheetId="27">#REF!</definedName>
    <definedName name="qzz0" localSheetId="19">#REF!</definedName>
    <definedName name="qzz0" localSheetId="4">#REF!</definedName>
    <definedName name="qzz0" localSheetId="3">#REF!</definedName>
    <definedName name="qzz0" localSheetId="6">#REF!</definedName>
    <definedName name="qzz0" localSheetId="5">#REF!</definedName>
    <definedName name="qzz0" localSheetId="28">#REF!</definedName>
    <definedName name="qzz0" localSheetId="20">#REF!</definedName>
    <definedName name="qzz0" localSheetId="31">#REF!</definedName>
    <definedName name="qzz0" localSheetId="23">#REF!</definedName>
    <definedName name="qzz0" localSheetId="8">#REF!</definedName>
    <definedName name="qzz0" localSheetId="16">#REF!</definedName>
    <definedName name="qzz0" localSheetId="15">#REF!</definedName>
    <definedName name="qzz0" localSheetId="7">#REF!</definedName>
    <definedName name="qzz0" localSheetId="10">#REF!</definedName>
    <definedName name="qzz0" localSheetId="18">#REF!</definedName>
    <definedName name="qzz0" localSheetId="9">#REF!</definedName>
    <definedName name="qzz0" localSheetId="17">#REF!</definedName>
    <definedName name="qzz0" localSheetId="33">#REF!</definedName>
    <definedName name="qzz0" localSheetId="34">#REF!</definedName>
    <definedName name="qzz0" localSheetId="32">#REF!</definedName>
    <definedName name="qzz0" localSheetId="24">#REF!</definedName>
    <definedName name="qzz0" localSheetId="25">#REF!</definedName>
    <definedName name="qzz0" localSheetId="26">#REF!</definedName>
    <definedName name="qzz0" localSheetId="12">#REF!</definedName>
    <definedName name="qzz0" localSheetId="11">#REF!</definedName>
    <definedName name="qzz0" localSheetId="14">#REF!</definedName>
    <definedName name="qzz0" localSheetId="13">#REF!</definedName>
    <definedName name="qzz0">#REF!</definedName>
    <definedName name="RPT">[2]Assumptions!$E$76</definedName>
    <definedName name="RRR" localSheetId="27">#REF!</definedName>
    <definedName name="RRR" localSheetId="19">#REF!</definedName>
    <definedName name="RRR" localSheetId="4">#REF!</definedName>
    <definedName name="RRR" localSheetId="3">#REF!</definedName>
    <definedName name="RRR" localSheetId="6">#REF!</definedName>
    <definedName name="RRR" localSheetId="5">#REF!</definedName>
    <definedName name="RRR" localSheetId="28">#REF!</definedName>
    <definedName name="RRR" localSheetId="20">#REF!</definedName>
    <definedName name="RRR" localSheetId="31">#REF!</definedName>
    <definedName name="RRR" localSheetId="23">#REF!</definedName>
    <definedName name="RRR" localSheetId="8">#REF!</definedName>
    <definedName name="RRR" localSheetId="16">#REF!</definedName>
    <definedName name="RRR" localSheetId="15">#REF!</definedName>
    <definedName name="RRR" localSheetId="7">#REF!</definedName>
    <definedName name="RRR" localSheetId="10">#REF!</definedName>
    <definedName name="RRR" localSheetId="18">#REF!</definedName>
    <definedName name="RRR" localSheetId="9">#REF!</definedName>
    <definedName name="RRR" localSheetId="17">#REF!</definedName>
    <definedName name="RRR" localSheetId="33">#REF!</definedName>
    <definedName name="RRR" localSheetId="34">#REF!</definedName>
    <definedName name="RRR" localSheetId="32">#REF!</definedName>
    <definedName name="RRR" localSheetId="24">#REF!</definedName>
    <definedName name="RRR" localSheetId="25">#REF!</definedName>
    <definedName name="RRR" localSheetId="26">#REF!</definedName>
    <definedName name="RRR" localSheetId="12">#REF!</definedName>
    <definedName name="RRR" localSheetId="11">#REF!</definedName>
    <definedName name="RRR" localSheetId="14">#REF!</definedName>
    <definedName name="RRR" localSheetId="13">#REF!</definedName>
    <definedName name="RRR">#REF!</definedName>
    <definedName name="S" localSheetId="27">#REF!</definedName>
    <definedName name="S" localSheetId="19">#REF!</definedName>
    <definedName name="S" localSheetId="4">#REF!</definedName>
    <definedName name="S" localSheetId="3">#REF!</definedName>
    <definedName name="S" localSheetId="6">#REF!</definedName>
    <definedName name="S" localSheetId="5">#REF!</definedName>
    <definedName name="S" localSheetId="28">#REF!</definedName>
    <definedName name="S" localSheetId="20">#REF!</definedName>
    <definedName name="S" localSheetId="31">#REF!</definedName>
    <definedName name="S" localSheetId="23">#REF!</definedName>
    <definedName name="S" localSheetId="8">#REF!</definedName>
    <definedName name="S" localSheetId="16">#REF!</definedName>
    <definedName name="S" localSheetId="15">#REF!</definedName>
    <definedName name="S" localSheetId="7">#REF!</definedName>
    <definedName name="S" localSheetId="10">#REF!</definedName>
    <definedName name="S" localSheetId="18">#REF!</definedName>
    <definedName name="S" localSheetId="9">#REF!</definedName>
    <definedName name="S" localSheetId="17">#REF!</definedName>
    <definedName name="S" localSheetId="33">#REF!</definedName>
    <definedName name="S" localSheetId="34">#REF!</definedName>
    <definedName name="S" localSheetId="32">#REF!</definedName>
    <definedName name="S" localSheetId="24">#REF!</definedName>
    <definedName name="S" localSheetId="25">#REF!</definedName>
    <definedName name="S" localSheetId="26">#REF!</definedName>
    <definedName name="S" localSheetId="12">#REF!</definedName>
    <definedName name="S" localSheetId="11">#REF!</definedName>
    <definedName name="S" localSheetId="14">#REF!</definedName>
    <definedName name="S" localSheetId="13">#REF!</definedName>
    <definedName name="S">#REF!</definedName>
    <definedName name="SeanARrrom" localSheetId="27">#REF!</definedName>
    <definedName name="SeanARrrom" localSheetId="19">#REF!</definedName>
    <definedName name="SeanARrrom" localSheetId="4">#REF!</definedName>
    <definedName name="SeanARrrom" localSheetId="3">#REF!</definedName>
    <definedName name="SeanARrrom" localSheetId="6">#REF!</definedName>
    <definedName name="SeanARrrom" localSheetId="5">#REF!</definedName>
    <definedName name="SeanARrrom" localSheetId="28">#REF!</definedName>
    <definedName name="SeanARrrom" localSheetId="20">#REF!</definedName>
    <definedName name="SeanARrrom" localSheetId="31">#REF!</definedName>
    <definedName name="SeanARrrom" localSheetId="23">#REF!</definedName>
    <definedName name="SeanARrrom" localSheetId="8">#REF!</definedName>
    <definedName name="SeanARrrom" localSheetId="16">#REF!</definedName>
    <definedName name="SeanARrrom" localSheetId="15">#REF!</definedName>
    <definedName name="SeanARrrom" localSheetId="7">#REF!</definedName>
    <definedName name="SeanARrrom" localSheetId="10">#REF!</definedName>
    <definedName name="SeanARrrom" localSheetId="18">#REF!</definedName>
    <definedName name="SeanARrrom" localSheetId="9">#REF!</definedName>
    <definedName name="SeanARrrom" localSheetId="17">#REF!</definedName>
    <definedName name="SeanARrrom" localSheetId="33">#REF!</definedName>
    <definedName name="SeanARrrom" localSheetId="34">#REF!</definedName>
    <definedName name="SeanARrrom" localSheetId="32">#REF!</definedName>
    <definedName name="SeanARrrom" localSheetId="24">#REF!</definedName>
    <definedName name="SeanARrrom" localSheetId="25">#REF!</definedName>
    <definedName name="SeanARrrom" localSheetId="26">#REF!</definedName>
    <definedName name="SeanARrrom" localSheetId="12">#REF!</definedName>
    <definedName name="SeanARrrom" localSheetId="11">#REF!</definedName>
    <definedName name="SeanARrrom" localSheetId="14">#REF!</definedName>
    <definedName name="SeanARrrom" localSheetId="13">#REF!</definedName>
    <definedName name="SeanARrrom">#REF!</definedName>
    <definedName name="sidehil" localSheetId="27">#REF!</definedName>
    <definedName name="sidehil" localSheetId="19">#REF!</definedName>
    <definedName name="sidehil" localSheetId="4">#REF!</definedName>
    <definedName name="sidehil" localSheetId="3">#REF!</definedName>
    <definedName name="sidehil" localSheetId="6">#REF!</definedName>
    <definedName name="sidehil" localSheetId="5">#REF!</definedName>
    <definedName name="sidehil" localSheetId="28">#REF!</definedName>
    <definedName name="sidehil" localSheetId="20">#REF!</definedName>
    <definedName name="sidehil" localSheetId="31">#REF!</definedName>
    <definedName name="sidehil" localSheetId="23">#REF!</definedName>
    <definedName name="sidehil" localSheetId="8">#REF!</definedName>
    <definedName name="sidehil" localSheetId="16">#REF!</definedName>
    <definedName name="sidehil" localSheetId="15">#REF!</definedName>
    <definedName name="sidehil" localSheetId="7">#REF!</definedName>
    <definedName name="sidehil" localSheetId="10">#REF!</definedName>
    <definedName name="sidehil" localSheetId="18">#REF!</definedName>
    <definedName name="sidehil" localSheetId="9">#REF!</definedName>
    <definedName name="sidehil" localSheetId="17">#REF!</definedName>
    <definedName name="sidehil" localSheetId="33">#REF!</definedName>
    <definedName name="sidehil" localSheetId="34">#REF!</definedName>
    <definedName name="sidehil" localSheetId="32">#REF!</definedName>
    <definedName name="sidehil" localSheetId="24">#REF!</definedName>
    <definedName name="sidehil" localSheetId="25">#REF!</definedName>
    <definedName name="sidehil" localSheetId="26">#REF!</definedName>
    <definedName name="sidehil" localSheetId="12">#REF!</definedName>
    <definedName name="sidehil" localSheetId="11">#REF!</definedName>
    <definedName name="sidehil" localSheetId="14">#REF!</definedName>
    <definedName name="sidehil" localSheetId="13">#REF!</definedName>
    <definedName name="sidehil">#REF!</definedName>
    <definedName name="T" localSheetId="27">#REF!</definedName>
    <definedName name="T" localSheetId="19">#REF!</definedName>
    <definedName name="T" localSheetId="4">#REF!</definedName>
    <definedName name="T" localSheetId="3">#REF!</definedName>
    <definedName name="T" localSheetId="6">#REF!</definedName>
    <definedName name="T" localSheetId="5">#REF!</definedName>
    <definedName name="T" localSheetId="28">#REF!</definedName>
    <definedName name="T" localSheetId="20">#REF!</definedName>
    <definedName name="T" localSheetId="31">#REF!</definedName>
    <definedName name="T" localSheetId="23">#REF!</definedName>
    <definedName name="T" localSheetId="8">#REF!</definedName>
    <definedName name="T" localSheetId="16">#REF!</definedName>
    <definedName name="T" localSheetId="15">#REF!</definedName>
    <definedName name="T" localSheetId="7">#REF!</definedName>
    <definedName name="T" localSheetId="10">#REF!</definedName>
    <definedName name="T" localSheetId="18">#REF!</definedName>
    <definedName name="T" localSheetId="9">#REF!</definedName>
    <definedName name="T" localSheetId="17">#REF!</definedName>
    <definedName name="T" localSheetId="33">#REF!</definedName>
    <definedName name="T" localSheetId="34">#REF!</definedName>
    <definedName name="T" localSheetId="32">#REF!</definedName>
    <definedName name="T" localSheetId="24">#REF!</definedName>
    <definedName name="T" localSheetId="25">#REF!</definedName>
    <definedName name="T" localSheetId="26">#REF!</definedName>
    <definedName name="T" localSheetId="12">#REF!</definedName>
    <definedName name="T" localSheetId="11">#REF!</definedName>
    <definedName name="T" localSheetId="14">#REF!</definedName>
    <definedName name="T" localSheetId="13">#REF!</definedName>
    <definedName name="T">#REF!</definedName>
    <definedName name="t0ll" localSheetId="27">#REF!</definedName>
    <definedName name="t0ll" localSheetId="19">#REF!</definedName>
    <definedName name="t0ll" localSheetId="4">#REF!</definedName>
    <definedName name="t0ll" localSheetId="3">#REF!</definedName>
    <definedName name="t0ll" localSheetId="6">#REF!</definedName>
    <definedName name="t0ll" localSheetId="5">#REF!</definedName>
    <definedName name="t0ll" localSheetId="28">#REF!</definedName>
    <definedName name="t0ll" localSheetId="20">#REF!</definedName>
    <definedName name="t0ll" localSheetId="31">#REF!</definedName>
    <definedName name="t0ll" localSheetId="23">#REF!</definedName>
    <definedName name="t0ll" localSheetId="8">#REF!</definedName>
    <definedName name="t0ll" localSheetId="16">#REF!</definedName>
    <definedName name="t0ll" localSheetId="15">#REF!</definedName>
    <definedName name="t0ll" localSheetId="7">#REF!</definedName>
    <definedName name="t0ll" localSheetId="10">#REF!</definedName>
    <definedName name="t0ll" localSheetId="18">#REF!</definedName>
    <definedName name="t0ll" localSheetId="9">#REF!</definedName>
    <definedName name="t0ll" localSheetId="17">#REF!</definedName>
    <definedName name="t0ll" localSheetId="33">#REF!</definedName>
    <definedName name="t0ll" localSheetId="34">#REF!</definedName>
    <definedName name="t0ll" localSheetId="32">#REF!</definedName>
    <definedName name="t0ll" localSheetId="24">#REF!</definedName>
    <definedName name="t0ll" localSheetId="25">#REF!</definedName>
    <definedName name="t0ll" localSheetId="26">#REF!</definedName>
    <definedName name="t0ll" localSheetId="12">#REF!</definedName>
    <definedName name="t0ll" localSheetId="11">#REF!</definedName>
    <definedName name="t0ll" localSheetId="14">#REF!</definedName>
    <definedName name="t0ll" localSheetId="13">#REF!</definedName>
    <definedName name="t0ll">#REF!</definedName>
    <definedName name="talaganamana_999" localSheetId="27">#REF!</definedName>
    <definedName name="talaganamana_999" localSheetId="19">#REF!</definedName>
    <definedName name="talaganamana_999" localSheetId="4">#REF!</definedName>
    <definedName name="talaganamana_999" localSheetId="3">#REF!</definedName>
    <definedName name="talaganamana_999" localSheetId="6">#REF!</definedName>
    <definedName name="talaganamana_999" localSheetId="5">#REF!</definedName>
    <definedName name="talaganamana_999" localSheetId="28">#REF!</definedName>
    <definedName name="talaganamana_999" localSheetId="20">#REF!</definedName>
    <definedName name="talaganamana_999" localSheetId="31">#REF!</definedName>
    <definedName name="talaganamana_999" localSheetId="23">#REF!</definedName>
    <definedName name="talaganamana_999" localSheetId="8">#REF!</definedName>
    <definedName name="talaganamana_999" localSheetId="16">#REF!</definedName>
    <definedName name="talaganamana_999" localSheetId="15">#REF!</definedName>
    <definedName name="talaganamana_999" localSheetId="7">#REF!</definedName>
    <definedName name="talaganamana_999" localSheetId="10">#REF!</definedName>
    <definedName name="talaganamana_999" localSheetId="18">#REF!</definedName>
    <definedName name="talaganamana_999" localSheetId="9">#REF!</definedName>
    <definedName name="talaganamana_999" localSheetId="17">#REF!</definedName>
    <definedName name="talaganamana_999" localSheetId="33">#REF!</definedName>
    <definedName name="talaganamana_999" localSheetId="34">#REF!</definedName>
    <definedName name="talaganamana_999" localSheetId="32">#REF!</definedName>
    <definedName name="talaganamana_999" localSheetId="24">#REF!</definedName>
    <definedName name="talaganamana_999" localSheetId="25">#REF!</definedName>
    <definedName name="talaganamana_999" localSheetId="26">#REF!</definedName>
    <definedName name="talaganamana_999" localSheetId="12">#REF!</definedName>
    <definedName name="talaganamana_999" localSheetId="11">#REF!</definedName>
    <definedName name="talaganamana_999" localSheetId="14">#REF!</definedName>
    <definedName name="talaganamana_999" localSheetId="13">#REF!</definedName>
    <definedName name="talaganamana_999">#REF!</definedName>
    <definedName name="TinaBacud" localSheetId="27">#REF!</definedName>
    <definedName name="TinaBacud" localSheetId="19">#REF!</definedName>
    <definedName name="TinaBacud" localSheetId="4">#REF!</definedName>
    <definedName name="TinaBacud" localSheetId="3">#REF!</definedName>
    <definedName name="TinaBacud" localSheetId="6">#REF!</definedName>
    <definedName name="TinaBacud" localSheetId="5">#REF!</definedName>
    <definedName name="TinaBacud" localSheetId="28">#REF!</definedName>
    <definedName name="TinaBacud" localSheetId="20">#REF!</definedName>
    <definedName name="TinaBacud" localSheetId="31">#REF!</definedName>
    <definedName name="TinaBacud" localSheetId="23">#REF!</definedName>
    <definedName name="TinaBacud" localSheetId="8">#REF!</definedName>
    <definedName name="TinaBacud" localSheetId="16">#REF!</definedName>
    <definedName name="TinaBacud" localSheetId="15">#REF!</definedName>
    <definedName name="TinaBacud" localSheetId="7">#REF!</definedName>
    <definedName name="TinaBacud" localSheetId="10">#REF!</definedName>
    <definedName name="TinaBacud" localSheetId="18">#REF!</definedName>
    <definedName name="TinaBacud" localSheetId="9">#REF!</definedName>
    <definedName name="TinaBacud" localSheetId="17">#REF!</definedName>
    <definedName name="TinaBacud" localSheetId="33">#REF!</definedName>
    <definedName name="TinaBacud" localSheetId="34">#REF!</definedName>
    <definedName name="TinaBacud" localSheetId="32">#REF!</definedName>
    <definedName name="TinaBacud" localSheetId="24">#REF!</definedName>
    <definedName name="TinaBacud" localSheetId="25">#REF!</definedName>
    <definedName name="TinaBacud" localSheetId="26">#REF!</definedName>
    <definedName name="TinaBacud" localSheetId="12">#REF!</definedName>
    <definedName name="TinaBacud" localSheetId="11">#REF!</definedName>
    <definedName name="TinaBacud" localSheetId="14">#REF!</definedName>
    <definedName name="TinaBacud" localSheetId="13">#REF!</definedName>
    <definedName name="TinaBacud">#REF!</definedName>
    <definedName name="U" localSheetId="27">#REF!</definedName>
    <definedName name="U" localSheetId="19">#REF!</definedName>
    <definedName name="U" localSheetId="4">#REF!</definedName>
    <definedName name="U" localSheetId="3">#REF!</definedName>
    <definedName name="U" localSheetId="6">#REF!</definedName>
    <definedName name="U" localSheetId="5">#REF!</definedName>
    <definedName name="U" localSheetId="28">#REF!</definedName>
    <definedName name="U" localSheetId="20">#REF!</definedName>
    <definedName name="U" localSheetId="31">#REF!</definedName>
    <definedName name="U" localSheetId="23">#REF!</definedName>
    <definedName name="U" localSheetId="8">#REF!</definedName>
    <definedName name="U" localSheetId="16">#REF!</definedName>
    <definedName name="U" localSheetId="15">#REF!</definedName>
    <definedName name="U" localSheetId="7">#REF!</definedName>
    <definedName name="U" localSheetId="10">#REF!</definedName>
    <definedName name="U" localSheetId="18">#REF!</definedName>
    <definedName name="U" localSheetId="9">#REF!</definedName>
    <definedName name="U" localSheetId="17">#REF!</definedName>
    <definedName name="U" localSheetId="33">#REF!</definedName>
    <definedName name="U" localSheetId="34">#REF!</definedName>
    <definedName name="U" localSheetId="32">#REF!</definedName>
    <definedName name="U" localSheetId="24">#REF!</definedName>
    <definedName name="U" localSheetId="25">#REF!</definedName>
    <definedName name="U" localSheetId="26">#REF!</definedName>
    <definedName name="U" localSheetId="12">#REF!</definedName>
    <definedName name="U" localSheetId="11">#REF!</definedName>
    <definedName name="U" localSheetId="14">#REF!</definedName>
    <definedName name="U" localSheetId="13">#REF!</definedName>
    <definedName name="U">#REF!</definedName>
    <definedName name="upm">'[5]Take-Up'!$B$5</definedName>
    <definedName name="upm_1">'[5]Take-Up'!$B$5</definedName>
    <definedName name="V" localSheetId="27">#REF!</definedName>
    <definedName name="V" localSheetId="19">#REF!</definedName>
    <definedName name="V" localSheetId="4">#REF!</definedName>
    <definedName name="V" localSheetId="3">#REF!</definedName>
    <definedName name="V" localSheetId="6">#REF!</definedName>
    <definedName name="V" localSheetId="5">#REF!</definedName>
    <definedName name="V" localSheetId="28">#REF!</definedName>
    <definedName name="V" localSheetId="20">#REF!</definedName>
    <definedName name="V" localSheetId="31">#REF!</definedName>
    <definedName name="V" localSheetId="23">#REF!</definedName>
    <definedName name="V" localSheetId="8">#REF!</definedName>
    <definedName name="V" localSheetId="16">#REF!</definedName>
    <definedName name="V" localSheetId="15">#REF!</definedName>
    <definedName name="V" localSheetId="7">#REF!</definedName>
    <definedName name="V" localSheetId="10">#REF!</definedName>
    <definedName name="V" localSheetId="18">#REF!</definedName>
    <definedName name="V" localSheetId="9">#REF!</definedName>
    <definedName name="V" localSheetId="17">#REF!</definedName>
    <definedName name="V" localSheetId="33">#REF!</definedName>
    <definedName name="V" localSheetId="34">#REF!</definedName>
    <definedName name="V" localSheetId="32">#REF!</definedName>
    <definedName name="V" localSheetId="24">#REF!</definedName>
    <definedName name="V" localSheetId="25">#REF!</definedName>
    <definedName name="V" localSheetId="26">#REF!</definedName>
    <definedName name="V" localSheetId="12">#REF!</definedName>
    <definedName name="V" localSheetId="11">#REF!</definedName>
    <definedName name="V" localSheetId="14">#REF!</definedName>
    <definedName name="V" localSheetId="13">#REF!</definedName>
    <definedName name="V">#REF!</definedName>
    <definedName name="vrhfruhfrui_111" localSheetId="27">#REF!</definedName>
    <definedName name="vrhfruhfrui_111" localSheetId="19">#REF!</definedName>
    <definedName name="vrhfruhfrui_111" localSheetId="4">#REF!</definedName>
    <definedName name="vrhfruhfrui_111" localSheetId="3">#REF!</definedName>
    <definedName name="vrhfruhfrui_111" localSheetId="6">#REF!</definedName>
    <definedName name="vrhfruhfrui_111" localSheetId="5">#REF!</definedName>
    <definedName name="vrhfruhfrui_111" localSheetId="28">#REF!</definedName>
    <definedName name="vrhfruhfrui_111" localSheetId="20">#REF!</definedName>
    <definedName name="vrhfruhfrui_111" localSheetId="31">#REF!</definedName>
    <definedName name="vrhfruhfrui_111" localSheetId="23">#REF!</definedName>
    <definedName name="vrhfruhfrui_111" localSheetId="8">#REF!</definedName>
    <definedName name="vrhfruhfrui_111" localSheetId="16">#REF!</definedName>
    <definedName name="vrhfruhfrui_111" localSheetId="15">#REF!</definedName>
    <definedName name="vrhfruhfrui_111" localSheetId="7">#REF!</definedName>
    <definedName name="vrhfruhfrui_111" localSheetId="10">#REF!</definedName>
    <definedName name="vrhfruhfrui_111" localSheetId="18">#REF!</definedName>
    <definedName name="vrhfruhfrui_111" localSheetId="9">#REF!</definedName>
    <definedName name="vrhfruhfrui_111" localSheetId="17">#REF!</definedName>
    <definedName name="vrhfruhfrui_111" localSheetId="33">#REF!</definedName>
    <definedName name="vrhfruhfrui_111" localSheetId="34">#REF!</definedName>
    <definedName name="vrhfruhfrui_111" localSheetId="32">#REF!</definedName>
    <definedName name="vrhfruhfrui_111" localSheetId="24">#REF!</definedName>
    <definedName name="vrhfruhfrui_111" localSheetId="25">#REF!</definedName>
    <definedName name="vrhfruhfrui_111" localSheetId="26">#REF!</definedName>
    <definedName name="vrhfruhfrui_111" localSheetId="12">#REF!</definedName>
    <definedName name="vrhfruhfrui_111" localSheetId="11">#REF!</definedName>
    <definedName name="vrhfruhfrui_111" localSheetId="14">#REF!</definedName>
    <definedName name="vrhfruhfrui_111" localSheetId="13">#REF!</definedName>
    <definedName name="vrhfruhfrui_111">#REF!</definedName>
    <definedName name="W" localSheetId="27">#REF!</definedName>
    <definedName name="W" localSheetId="19">#REF!</definedName>
    <definedName name="W" localSheetId="4">#REF!</definedName>
    <definedName name="W" localSheetId="3">#REF!</definedName>
    <definedName name="W" localSheetId="6">#REF!</definedName>
    <definedName name="W" localSheetId="5">#REF!</definedName>
    <definedName name="W" localSheetId="28">#REF!</definedName>
    <definedName name="W" localSheetId="20">#REF!</definedName>
    <definedName name="W" localSheetId="31">#REF!</definedName>
    <definedName name="W" localSheetId="23">#REF!</definedName>
    <definedName name="W" localSheetId="8">#REF!</definedName>
    <definedName name="W" localSheetId="16">#REF!</definedName>
    <definedName name="W" localSheetId="15">#REF!</definedName>
    <definedName name="W" localSheetId="7">#REF!</definedName>
    <definedName name="W" localSheetId="10">#REF!</definedName>
    <definedName name="W" localSheetId="18">#REF!</definedName>
    <definedName name="W" localSheetId="9">#REF!</definedName>
    <definedName name="W" localSheetId="17">#REF!</definedName>
    <definedName name="W" localSheetId="33">#REF!</definedName>
    <definedName name="W" localSheetId="34">#REF!</definedName>
    <definedName name="W" localSheetId="32">#REF!</definedName>
    <definedName name="W" localSheetId="24">#REF!</definedName>
    <definedName name="W" localSheetId="25">#REF!</definedName>
    <definedName name="W" localSheetId="26">#REF!</definedName>
    <definedName name="W" localSheetId="12">#REF!</definedName>
    <definedName name="W" localSheetId="11">#REF!</definedName>
    <definedName name="W" localSheetId="14">#REF!</definedName>
    <definedName name="W" localSheetId="13">#REF!</definedName>
    <definedName name="W">#REF!</definedName>
    <definedName name="w23w2" localSheetId="27">#REF!</definedName>
    <definedName name="w23w2" localSheetId="19">#REF!</definedName>
    <definedName name="w23w2" localSheetId="4">#REF!</definedName>
    <definedName name="w23w2" localSheetId="3">#REF!</definedName>
    <definedName name="w23w2" localSheetId="6">#REF!</definedName>
    <definedName name="w23w2" localSheetId="5">#REF!</definedName>
    <definedName name="w23w2" localSheetId="28">#REF!</definedName>
    <definedName name="w23w2" localSheetId="20">#REF!</definedName>
    <definedName name="w23w2" localSheetId="31">#REF!</definedName>
    <definedName name="w23w2" localSheetId="23">#REF!</definedName>
    <definedName name="w23w2" localSheetId="8">#REF!</definedName>
    <definedName name="w23w2" localSheetId="16">#REF!</definedName>
    <definedName name="w23w2" localSheetId="15">#REF!</definedName>
    <definedName name="w23w2" localSheetId="7">#REF!</definedName>
    <definedName name="w23w2" localSheetId="10">#REF!</definedName>
    <definedName name="w23w2" localSheetId="18">#REF!</definedName>
    <definedName name="w23w2" localSheetId="9">#REF!</definedName>
    <definedName name="w23w2" localSheetId="17">#REF!</definedName>
    <definedName name="w23w2" localSheetId="33">#REF!</definedName>
    <definedName name="w23w2" localSheetId="34">#REF!</definedName>
    <definedName name="w23w2" localSheetId="32">#REF!</definedName>
    <definedName name="w23w2" localSheetId="24">#REF!</definedName>
    <definedName name="w23w2" localSheetId="25">#REF!</definedName>
    <definedName name="w23w2" localSheetId="26">#REF!</definedName>
    <definedName name="w23w2" localSheetId="12">#REF!</definedName>
    <definedName name="w23w2" localSheetId="11">#REF!</definedName>
    <definedName name="w23w2" localSheetId="14">#REF!</definedName>
    <definedName name="w23w2" localSheetId="13">#REF!</definedName>
    <definedName name="w23w2">#REF!</definedName>
    <definedName name="WLP" localSheetId="27">#REF!</definedName>
    <definedName name="WLP" localSheetId="19">#REF!</definedName>
    <definedName name="WLP" localSheetId="4">#REF!</definedName>
    <definedName name="WLP" localSheetId="3">#REF!</definedName>
    <definedName name="WLP" localSheetId="6">#REF!</definedName>
    <definedName name="WLP" localSheetId="5">#REF!</definedName>
    <definedName name="WLP" localSheetId="28">#REF!</definedName>
    <definedName name="WLP" localSheetId="20">#REF!</definedName>
    <definedName name="WLP" localSheetId="31">#REF!</definedName>
    <definedName name="WLP" localSheetId="23">#REF!</definedName>
    <definedName name="WLP" localSheetId="8">#REF!</definedName>
    <definedName name="WLP" localSheetId="16">#REF!</definedName>
    <definedName name="WLP" localSheetId="15">#REF!</definedName>
    <definedName name="WLP" localSheetId="7">#REF!</definedName>
    <definedName name="WLP" localSheetId="10">#REF!</definedName>
    <definedName name="WLP" localSheetId="18">#REF!</definedName>
    <definedName name="WLP" localSheetId="9">#REF!</definedName>
    <definedName name="WLP" localSheetId="17">#REF!</definedName>
    <definedName name="WLP" localSheetId="33">#REF!</definedName>
    <definedName name="WLP" localSheetId="34">#REF!</definedName>
    <definedName name="WLP" localSheetId="32">#REF!</definedName>
    <definedName name="WLP" localSheetId="24">#REF!</definedName>
    <definedName name="WLP" localSheetId="25">#REF!</definedName>
    <definedName name="WLP" localSheetId="26">#REF!</definedName>
    <definedName name="WLP" localSheetId="12">#REF!</definedName>
    <definedName name="WLP" localSheetId="11">#REF!</definedName>
    <definedName name="WLP" localSheetId="14">#REF!</definedName>
    <definedName name="WLP" localSheetId="13">#REF!</definedName>
    <definedName name="WLP">#REF!</definedName>
    <definedName name="X" localSheetId="27">#REF!</definedName>
    <definedName name="X" localSheetId="19">#REF!</definedName>
    <definedName name="X" localSheetId="4">#REF!</definedName>
    <definedName name="X" localSheetId="3">#REF!</definedName>
    <definedName name="X" localSheetId="6">#REF!</definedName>
    <definedName name="X" localSheetId="5">#REF!</definedName>
    <definedName name="X" localSheetId="28">#REF!</definedName>
    <definedName name="X" localSheetId="20">#REF!</definedName>
    <definedName name="X" localSheetId="31">#REF!</definedName>
    <definedName name="X" localSheetId="23">#REF!</definedName>
    <definedName name="X" localSheetId="8">#REF!</definedName>
    <definedName name="X" localSheetId="16">#REF!</definedName>
    <definedName name="X" localSheetId="15">#REF!</definedName>
    <definedName name="X" localSheetId="7">#REF!</definedName>
    <definedName name="X" localSheetId="10">#REF!</definedName>
    <definedName name="X" localSheetId="18">#REF!</definedName>
    <definedName name="X" localSheetId="9">#REF!</definedName>
    <definedName name="X" localSheetId="17">#REF!</definedName>
    <definedName name="X" localSheetId="33">#REF!</definedName>
    <definedName name="X" localSheetId="34">#REF!</definedName>
    <definedName name="X" localSheetId="32">#REF!</definedName>
    <definedName name="X" localSheetId="24">#REF!</definedName>
    <definedName name="X" localSheetId="25">#REF!</definedName>
    <definedName name="X" localSheetId="26">#REF!</definedName>
    <definedName name="X" localSheetId="12">#REF!</definedName>
    <definedName name="X" localSheetId="11">#REF!</definedName>
    <definedName name="X" localSheetId="14">#REF!</definedName>
    <definedName name="X" localSheetId="13">#REF!</definedName>
    <definedName name="X">#REF!</definedName>
    <definedName name="xavier" localSheetId="27">#REF!</definedName>
    <definedName name="xavier" localSheetId="19">#REF!</definedName>
    <definedName name="xavier" localSheetId="4">#REF!</definedName>
    <definedName name="xavier" localSheetId="3">#REF!</definedName>
    <definedName name="xavier" localSheetId="6">#REF!</definedName>
    <definedName name="xavier" localSheetId="5">#REF!</definedName>
    <definedName name="xavier" localSheetId="28">#REF!</definedName>
    <definedName name="xavier" localSheetId="20">#REF!</definedName>
    <definedName name="xavier" localSheetId="31">#REF!</definedName>
    <definedName name="xavier" localSheetId="23">#REF!</definedName>
    <definedName name="xavier" localSheetId="8">#REF!</definedName>
    <definedName name="xavier" localSheetId="16">#REF!</definedName>
    <definedName name="xavier" localSheetId="15">#REF!</definedName>
    <definedName name="xavier" localSheetId="7">#REF!</definedName>
    <definedName name="xavier" localSheetId="10">#REF!</definedName>
    <definedName name="xavier" localSheetId="18">#REF!</definedName>
    <definedName name="xavier" localSheetId="9">#REF!</definedName>
    <definedName name="xavier" localSheetId="17">#REF!</definedName>
    <definedName name="xavier" localSheetId="33">#REF!</definedName>
    <definedName name="xavier" localSheetId="34">#REF!</definedName>
    <definedName name="xavier" localSheetId="32">#REF!</definedName>
    <definedName name="xavier" localSheetId="24">#REF!</definedName>
    <definedName name="xavier" localSheetId="25">#REF!</definedName>
    <definedName name="xavier" localSheetId="26">#REF!</definedName>
    <definedName name="xavier" localSheetId="12">#REF!</definedName>
    <definedName name="xavier" localSheetId="11">#REF!</definedName>
    <definedName name="xavier" localSheetId="14">#REF!</definedName>
    <definedName name="xavier" localSheetId="13">#REF!</definedName>
    <definedName name="xavier">#REF!</definedName>
    <definedName name="XRs" localSheetId="27">#REF!</definedName>
    <definedName name="XRs" localSheetId="19">#REF!</definedName>
    <definedName name="XRs" localSheetId="4">#REF!</definedName>
    <definedName name="XRs" localSheetId="3">#REF!</definedName>
    <definedName name="XRs" localSheetId="6">#REF!</definedName>
    <definedName name="XRs" localSheetId="5">#REF!</definedName>
    <definedName name="XRs" localSheetId="28">#REF!</definedName>
    <definedName name="XRs" localSheetId="20">#REF!</definedName>
    <definedName name="XRs" localSheetId="31">#REF!</definedName>
    <definedName name="XRs" localSheetId="23">#REF!</definedName>
    <definedName name="XRs" localSheetId="8">#REF!</definedName>
    <definedName name="XRs" localSheetId="16">#REF!</definedName>
    <definedName name="XRs" localSheetId="15">#REF!</definedName>
    <definedName name="XRs" localSheetId="7">#REF!</definedName>
    <definedName name="XRs" localSheetId="10">#REF!</definedName>
    <definedName name="XRs" localSheetId="18">#REF!</definedName>
    <definedName name="XRs" localSheetId="9">#REF!</definedName>
    <definedName name="XRs" localSheetId="17">#REF!</definedName>
    <definedName name="XRs" localSheetId="33">#REF!</definedName>
    <definedName name="XRs" localSheetId="34">#REF!</definedName>
    <definedName name="XRs" localSheetId="32">#REF!</definedName>
    <definedName name="XRs" localSheetId="24">#REF!</definedName>
    <definedName name="XRs" localSheetId="25">#REF!</definedName>
    <definedName name="XRs" localSheetId="26">#REF!</definedName>
    <definedName name="XRs" localSheetId="12">#REF!</definedName>
    <definedName name="XRs" localSheetId="11">#REF!</definedName>
    <definedName name="XRs" localSheetId="14">#REF!</definedName>
    <definedName name="XRs" localSheetId="13">#REF!</definedName>
    <definedName name="XRs">#REF!</definedName>
    <definedName name="xzzzz." localSheetId="27">#REF!</definedName>
    <definedName name="xzzzz." localSheetId="19">#REF!</definedName>
    <definedName name="xzzzz." localSheetId="4">#REF!</definedName>
    <definedName name="xzzzz." localSheetId="3">#REF!</definedName>
    <definedName name="xzzzz." localSheetId="6">#REF!</definedName>
    <definedName name="xzzzz." localSheetId="5">#REF!</definedName>
    <definedName name="xzzzz." localSheetId="28">#REF!</definedName>
    <definedName name="xzzzz." localSheetId="20">#REF!</definedName>
    <definedName name="xzzzz." localSheetId="31">#REF!</definedName>
    <definedName name="xzzzz." localSheetId="23">#REF!</definedName>
    <definedName name="xzzzz." localSheetId="8">#REF!</definedName>
    <definedName name="xzzzz." localSheetId="16">#REF!</definedName>
    <definedName name="xzzzz." localSheetId="15">#REF!</definedName>
    <definedName name="xzzzz." localSheetId="7">#REF!</definedName>
    <definedName name="xzzzz." localSheetId="10">#REF!</definedName>
    <definedName name="xzzzz." localSheetId="18">#REF!</definedName>
    <definedName name="xzzzz." localSheetId="9">#REF!</definedName>
    <definedName name="xzzzz." localSheetId="17">#REF!</definedName>
    <definedName name="xzzzz." localSheetId="33">#REF!</definedName>
    <definedName name="xzzzz." localSheetId="34">#REF!</definedName>
    <definedName name="xzzzz." localSheetId="32">#REF!</definedName>
    <definedName name="xzzzz." localSheetId="24">#REF!</definedName>
    <definedName name="xzzzz." localSheetId="25">#REF!</definedName>
    <definedName name="xzzzz." localSheetId="26">#REF!</definedName>
    <definedName name="xzzzz." localSheetId="12">#REF!</definedName>
    <definedName name="xzzzz." localSheetId="11">#REF!</definedName>
    <definedName name="xzzzz." localSheetId="14">#REF!</definedName>
    <definedName name="xzzzz." localSheetId="13">#REF!</definedName>
    <definedName name="xzzzz.">#REF!</definedName>
    <definedName name="Y" localSheetId="27">#REF!</definedName>
    <definedName name="Y" localSheetId="19">#REF!</definedName>
    <definedName name="Y" localSheetId="4">#REF!</definedName>
    <definedName name="Y" localSheetId="3">#REF!</definedName>
    <definedName name="Y" localSheetId="6">#REF!</definedName>
    <definedName name="Y" localSheetId="5">#REF!</definedName>
    <definedName name="Y" localSheetId="28">#REF!</definedName>
    <definedName name="Y" localSheetId="20">#REF!</definedName>
    <definedName name="Y" localSheetId="31">#REF!</definedName>
    <definedName name="Y" localSheetId="23">#REF!</definedName>
    <definedName name="Y" localSheetId="8">#REF!</definedName>
    <definedName name="Y" localSheetId="16">#REF!</definedName>
    <definedName name="Y" localSheetId="15">#REF!</definedName>
    <definedName name="Y" localSheetId="7">#REF!</definedName>
    <definedName name="Y" localSheetId="10">#REF!</definedName>
    <definedName name="Y" localSheetId="18">#REF!</definedName>
    <definedName name="Y" localSheetId="9">#REF!</definedName>
    <definedName name="Y" localSheetId="17">#REF!</definedName>
    <definedName name="Y" localSheetId="33">#REF!</definedName>
    <definedName name="Y" localSheetId="34">#REF!</definedName>
    <definedName name="Y" localSheetId="32">#REF!</definedName>
    <definedName name="Y" localSheetId="24">#REF!</definedName>
    <definedName name="Y" localSheetId="25">#REF!</definedName>
    <definedName name="Y" localSheetId="26">#REF!</definedName>
    <definedName name="Y" localSheetId="12">#REF!</definedName>
    <definedName name="Y" localSheetId="11">#REF!</definedName>
    <definedName name="Y" localSheetId="14">#REF!</definedName>
    <definedName name="Y" localSheetId="13">#REF!</definedName>
    <definedName name="Y">#REF!</definedName>
    <definedName name="z" localSheetId="27">#REF!</definedName>
    <definedName name="z" localSheetId="19">#REF!</definedName>
    <definedName name="z" localSheetId="4">#REF!</definedName>
    <definedName name="z" localSheetId="3">#REF!</definedName>
    <definedName name="z" localSheetId="6">#REF!</definedName>
    <definedName name="z" localSheetId="5">#REF!</definedName>
    <definedName name="z" localSheetId="28">#REF!</definedName>
    <definedName name="z" localSheetId="20">#REF!</definedName>
    <definedName name="z" localSheetId="31">#REF!</definedName>
    <definedName name="z" localSheetId="23">#REF!</definedName>
    <definedName name="z" localSheetId="8">#REF!</definedName>
    <definedName name="z" localSheetId="16">#REF!</definedName>
    <definedName name="z" localSheetId="15">#REF!</definedName>
    <definedName name="z" localSheetId="7">#REF!</definedName>
    <definedName name="z" localSheetId="10">#REF!</definedName>
    <definedName name="z" localSheetId="18">#REF!</definedName>
    <definedName name="z" localSheetId="9">#REF!</definedName>
    <definedName name="z" localSheetId="17">#REF!</definedName>
    <definedName name="z" localSheetId="33">#REF!</definedName>
    <definedName name="z" localSheetId="34">#REF!</definedName>
    <definedName name="z" localSheetId="32">#REF!</definedName>
    <definedName name="z" localSheetId="24">#REF!</definedName>
    <definedName name="z" localSheetId="25">#REF!</definedName>
    <definedName name="z" localSheetId="26">#REF!</definedName>
    <definedName name="z" localSheetId="12">#REF!</definedName>
    <definedName name="z" localSheetId="11">#REF!</definedName>
    <definedName name="z" localSheetId="14">#REF!</definedName>
    <definedName name="z" localSheetId="13">#REF!</definedName>
    <definedName name="z">#REF!</definedName>
  </definedNames>
  <calcPr calcId="181029"/>
</workbook>
</file>

<file path=xl/calcChain.xml><?xml version="1.0" encoding="utf-8"?>
<calcChain xmlns="http://schemas.openxmlformats.org/spreadsheetml/2006/main">
  <c r="C8" i="4" l="1"/>
  <c r="C10" i="250" l="1"/>
  <c r="A25" i="250"/>
  <c r="A26" i="250" s="1"/>
  <c r="A27" i="250" s="1"/>
  <c r="A28" i="250" s="1"/>
  <c r="A29" i="250" s="1"/>
  <c r="A30" i="250" s="1"/>
  <c r="A31" i="250" s="1"/>
  <c r="A32" i="250" s="1"/>
  <c r="A33" i="250" s="1"/>
  <c r="A34" i="250" s="1"/>
  <c r="A35" i="250" s="1"/>
  <c r="A37" i="250" s="1"/>
  <c r="A38" i="250" s="1"/>
  <c r="A39" i="250" s="1"/>
  <c r="A40" i="250" s="1"/>
  <c r="A41" i="250" s="1"/>
  <c r="A42" i="250" s="1"/>
  <c r="A43" i="250" s="1"/>
  <c r="A44" i="250" s="1"/>
  <c r="A45" i="250" s="1"/>
  <c r="A46" i="250" s="1"/>
  <c r="A47" i="250" s="1"/>
  <c r="A48" i="250" s="1"/>
  <c r="A50" i="250" s="1"/>
  <c r="A51" i="250" s="1"/>
  <c r="A52" i="250" s="1"/>
  <c r="A53" i="250" s="1"/>
  <c r="A54" i="250" s="1"/>
  <c r="A55" i="250" s="1"/>
  <c r="A56" i="250" s="1"/>
  <c r="A57" i="250" s="1"/>
  <c r="A58" i="250" s="1"/>
  <c r="A59" i="250" s="1"/>
  <c r="A60" i="250" s="1"/>
  <c r="A61" i="250" s="1"/>
  <c r="A62" i="250" s="1"/>
  <c r="C22" i="250"/>
  <c r="C24" i="250" s="1"/>
  <c r="C25" i="250" s="1"/>
  <c r="C26" i="250" s="1"/>
  <c r="C27" i="250" s="1"/>
  <c r="C28" i="250" s="1"/>
  <c r="C29" i="250" s="1"/>
  <c r="C30" i="250" s="1"/>
  <c r="C31" i="250" s="1"/>
  <c r="C32" i="250" s="1"/>
  <c r="C33" i="250" s="1"/>
  <c r="C34" i="250" s="1"/>
  <c r="C35" i="250" s="1"/>
  <c r="C37" i="250" s="1"/>
  <c r="C38" i="250" s="1"/>
  <c r="C39" i="250" s="1"/>
  <c r="C40" i="250" s="1"/>
  <c r="C41" i="250" s="1"/>
  <c r="C42" i="250" s="1"/>
  <c r="C43" i="250" s="1"/>
  <c r="C44" i="250" s="1"/>
  <c r="C45" i="250" s="1"/>
  <c r="C46" i="250" s="1"/>
  <c r="C47" i="250" s="1"/>
  <c r="C48" i="250" s="1"/>
  <c r="C50" i="250" s="1"/>
  <c r="C51" i="250" s="1"/>
  <c r="C52" i="250" s="1"/>
  <c r="C53" i="250" s="1"/>
  <c r="C54" i="250" s="1"/>
  <c r="C55" i="250" s="1"/>
  <c r="C56" i="250" s="1"/>
  <c r="C57" i="250" s="1"/>
  <c r="C58" i="250" s="1"/>
  <c r="C59" i="250" s="1"/>
  <c r="C60" i="250" s="1"/>
  <c r="C61" i="250" s="1"/>
  <c r="C62" i="250" s="1"/>
  <c r="C8" i="250"/>
  <c r="E22" i="250" s="1"/>
  <c r="C6" i="250"/>
  <c r="C5" i="250"/>
  <c r="C10" i="249"/>
  <c r="A25" i="249"/>
  <c r="A26" i="249" s="1"/>
  <c r="A27" i="249" s="1"/>
  <c r="A28" i="249" s="1"/>
  <c r="A29" i="249" s="1"/>
  <c r="A30" i="249" s="1"/>
  <c r="A31" i="249" s="1"/>
  <c r="A32" i="249" s="1"/>
  <c r="A33" i="249" s="1"/>
  <c r="A34" i="249" s="1"/>
  <c r="A35" i="249" s="1"/>
  <c r="A36" i="249" s="1"/>
  <c r="A38" i="249" s="1"/>
  <c r="A39" i="249" s="1"/>
  <c r="A40" i="249" s="1"/>
  <c r="A41" i="249" s="1"/>
  <c r="A42" i="249" s="1"/>
  <c r="A43" i="249" s="1"/>
  <c r="A44" i="249" s="1"/>
  <c r="A45" i="249" s="1"/>
  <c r="A46" i="249" s="1"/>
  <c r="A47" i="249" s="1"/>
  <c r="A48" i="249" s="1"/>
  <c r="A49" i="249" s="1"/>
  <c r="A51" i="249" s="1"/>
  <c r="A52" i="249" s="1"/>
  <c r="A53" i="249" s="1"/>
  <c r="A54" i="249" s="1"/>
  <c r="A55" i="249" s="1"/>
  <c r="A56" i="249" s="1"/>
  <c r="A57" i="249" s="1"/>
  <c r="A58" i="249" s="1"/>
  <c r="A59" i="249" s="1"/>
  <c r="A60" i="249" s="1"/>
  <c r="A61" i="249" s="1"/>
  <c r="A62" i="249" s="1"/>
  <c r="A63" i="249" s="1"/>
  <c r="D23" i="249"/>
  <c r="D25" i="249" s="1"/>
  <c r="D26" i="249" s="1"/>
  <c r="D27" i="249" s="1"/>
  <c r="D28" i="249" s="1"/>
  <c r="D29" i="249" s="1"/>
  <c r="D30" i="249" s="1"/>
  <c r="D31" i="249" s="1"/>
  <c r="D32" i="249" s="1"/>
  <c r="D33" i="249" s="1"/>
  <c r="D34" i="249" s="1"/>
  <c r="D35" i="249" s="1"/>
  <c r="D36" i="249" s="1"/>
  <c r="D38" i="249" s="1"/>
  <c r="D39" i="249" s="1"/>
  <c r="D40" i="249" s="1"/>
  <c r="D41" i="249" s="1"/>
  <c r="D42" i="249" s="1"/>
  <c r="D43" i="249" s="1"/>
  <c r="D44" i="249" s="1"/>
  <c r="D45" i="249" s="1"/>
  <c r="D46" i="249" s="1"/>
  <c r="D47" i="249" s="1"/>
  <c r="D48" i="249" s="1"/>
  <c r="D49" i="249" s="1"/>
  <c r="D51" i="249" s="1"/>
  <c r="D52" i="249" s="1"/>
  <c r="D53" i="249" s="1"/>
  <c r="D54" i="249" s="1"/>
  <c r="D55" i="249" s="1"/>
  <c r="D56" i="249" s="1"/>
  <c r="D57" i="249" s="1"/>
  <c r="D58" i="249" s="1"/>
  <c r="D59" i="249" s="1"/>
  <c r="D60" i="249" s="1"/>
  <c r="D61" i="249" s="1"/>
  <c r="D62" i="249" s="1"/>
  <c r="D63" i="249" s="1"/>
  <c r="C8" i="249"/>
  <c r="E13" i="249" s="1"/>
  <c r="E23" i="249" s="1"/>
  <c r="C6" i="249"/>
  <c r="C5" i="249"/>
  <c r="G40" i="233"/>
  <c r="G37" i="233"/>
  <c r="G34" i="233"/>
  <c r="G23" i="233"/>
  <c r="G17" i="233"/>
  <c r="G16" i="233"/>
  <c r="G15" i="233"/>
  <c r="G10" i="233"/>
  <c r="D15" i="245" s="1"/>
  <c r="G9" i="233"/>
  <c r="G8" i="233"/>
  <c r="G7" i="233"/>
  <c r="G6" i="233"/>
  <c r="F40" i="233"/>
  <c r="F37" i="233"/>
  <c r="F34" i="233"/>
  <c r="F23" i="233"/>
  <c r="F16" i="233"/>
  <c r="F17" i="233"/>
  <c r="F15" i="233"/>
  <c r="F13" i="233"/>
  <c r="F7" i="233"/>
  <c r="F8" i="233"/>
  <c r="F9" i="233"/>
  <c r="F10" i="233"/>
  <c r="C9" i="250" s="1"/>
  <c r="D13" i="250" s="1"/>
  <c r="F6" i="233"/>
  <c r="D15" i="225" l="1"/>
  <c r="D15" i="246"/>
  <c r="D16" i="237"/>
  <c r="D15" i="250"/>
  <c r="D16" i="236"/>
  <c r="D16" i="239"/>
  <c r="D16" i="242"/>
  <c r="D15" i="249"/>
  <c r="D16" i="243"/>
  <c r="D16" i="247"/>
  <c r="E14" i="250"/>
  <c r="D16" i="244"/>
  <c r="D16" i="248"/>
  <c r="E14" i="249"/>
  <c r="D16" i="229"/>
  <c r="D15" i="150"/>
  <c r="D16" i="240"/>
  <c r="C9" i="249"/>
  <c r="D13" i="249" s="1"/>
  <c r="D14" i="249" s="1"/>
  <c r="G22" i="250"/>
  <c r="D14" i="250"/>
  <c r="D16" i="250" s="1"/>
  <c r="G23" i="249"/>
  <c r="D16" i="249" l="1"/>
  <c r="D18" i="249" s="1"/>
  <c r="E50" i="250"/>
  <c r="E56" i="250"/>
  <c r="E58" i="250"/>
  <c r="E51" i="250"/>
  <c r="E53" i="250"/>
  <c r="E55" i="250"/>
  <c r="E57" i="250"/>
  <c r="E59" i="250"/>
  <c r="E61" i="250"/>
  <c r="E54" i="250"/>
  <c r="E52" i="250"/>
  <c r="E60" i="250"/>
  <c r="E38" i="250"/>
  <c r="E40" i="250"/>
  <c r="E42" i="250"/>
  <c r="E44" i="250"/>
  <c r="E46" i="250"/>
  <c r="E48" i="250"/>
  <c r="E41" i="250"/>
  <c r="E45" i="250"/>
  <c r="E37" i="250"/>
  <c r="E39" i="250"/>
  <c r="E43" i="250"/>
  <c r="E47" i="250"/>
  <c r="E25" i="250"/>
  <c r="E27" i="250"/>
  <c r="E29" i="250"/>
  <c r="E31" i="250"/>
  <c r="E33" i="250"/>
  <c r="E35" i="250"/>
  <c r="E26" i="250"/>
  <c r="E28" i="250"/>
  <c r="E30" i="250"/>
  <c r="E32" i="250"/>
  <c r="E34" i="250"/>
  <c r="E24" i="250"/>
  <c r="D17" i="250"/>
  <c r="D18" i="250" s="1"/>
  <c r="D19" i="249"/>
  <c r="C10" i="245"/>
  <c r="A25" i="246"/>
  <c r="A26" i="246" s="1"/>
  <c r="A27" i="246" s="1"/>
  <c r="A28" i="246" s="1"/>
  <c r="A29" i="246" s="1"/>
  <c r="A30" i="246" s="1"/>
  <c r="A31" i="246" s="1"/>
  <c r="A32" i="246" s="1"/>
  <c r="A33" i="246" s="1"/>
  <c r="A34" i="246" s="1"/>
  <c r="A35" i="246" s="1"/>
  <c r="A36" i="246" s="1"/>
  <c r="A37" i="246" s="1"/>
  <c r="A38" i="246" s="1"/>
  <c r="A39" i="246" s="1"/>
  <c r="A40" i="246" s="1"/>
  <c r="A41" i="246" s="1"/>
  <c r="A42" i="246" s="1"/>
  <c r="A43" i="246" s="1"/>
  <c r="A44" i="246" s="1"/>
  <c r="A45" i="246" s="1"/>
  <c r="A46" i="246" s="1"/>
  <c r="A47" i="246" s="1"/>
  <c r="A48" i="246" s="1"/>
  <c r="A49" i="246" s="1"/>
  <c r="A50" i="246" s="1"/>
  <c r="A51" i="246" s="1"/>
  <c r="A52" i="246" s="1"/>
  <c r="A53" i="246" s="1"/>
  <c r="A54" i="246" s="1"/>
  <c r="A55" i="246" s="1"/>
  <c r="A56" i="246" s="1"/>
  <c r="A57" i="246" s="1"/>
  <c r="A58" i="246" s="1"/>
  <c r="A59" i="246" s="1"/>
  <c r="A60" i="246" s="1"/>
  <c r="A61" i="246" s="1"/>
  <c r="A62" i="246" s="1"/>
  <c r="A63" i="246" s="1"/>
  <c r="A64" i="246" s="1"/>
  <c r="A65" i="246" s="1"/>
  <c r="A66" i="246" s="1"/>
  <c r="A67" i="246" s="1"/>
  <c r="A68" i="246" s="1"/>
  <c r="A69" i="246" s="1"/>
  <c r="A70" i="246" s="1"/>
  <c r="A71" i="246" s="1"/>
  <c r="A72" i="246" s="1"/>
  <c r="A73" i="246" s="1"/>
  <c r="A74" i="246" s="1"/>
  <c r="A75" i="246" s="1"/>
  <c r="A76" i="246" s="1"/>
  <c r="A77" i="246" s="1"/>
  <c r="A78" i="246" s="1"/>
  <c r="A79" i="246" s="1"/>
  <c r="A80" i="246" s="1"/>
  <c r="A81" i="246" s="1"/>
  <c r="A82" i="246" s="1"/>
  <c r="A83" i="246" s="1"/>
  <c r="A84" i="246" s="1"/>
  <c r="A26" i="225"/>
  <c r="A27" i="225" s="1"/>
  <c r="A28" i="225" s="1"/>
  <c r="A29" i="225" s="1"/>
  <c r="A30" i="225" s="1"/>
  <c r="A31" i="225" s="1"/>
  <c r="A33" i="225" s="1"/>
  <c r="A34" i="225" s="1"/>
  <c r="A35" i="225" s="1"/>
  <c r="A36" i="225" s="1"/>
  <c r="A37" i="225" s="1"/>
  <c r="A38" i="225" s="1"/>
  <c r="A39" i="225" s="1"/>
  <c r="A40" i="225" s="1"/>
  <c r="A41" i="225" s="1"/>
  <c r="A42" i="225" s="1"/>
  <c r="A43" i="225" s="1"/>
  <c r="A44" i="225" s="1"/>
  <c r="A45" i="225" s="1"/>
  <c r="A46" i="225" s="1"/>
  <c r="A47" i="225" s="1"/>
  <c r="A48" i="225" s="1"/>
  <c r="A49" i="225" s="1"/>
  <c r="A50" i="225" s="1"/>
  <c r="A51" i="225" s="1"/>
  <c r="A52" i="225" s="1"/>
  <c r="A53" i="225" s="1"/>
  <c r="A54" i="225" s="1"/>
  <c r="A55" i="225" s="1"/>
  <c r="A56" i="225" s="1"/>
  <c r="A57" i="225" s="1"/>
  <c r="A58" i="225" s="1"/>
  <c r="A59" i="225" s="1"/>
  <c r="A60" i="225" s="1"/>
  <c r="A61" i="225" s="1"/>
  <c r="A62" i="225" s="1"/>
  <c r="A63" i="225" s="1"/>
  <c r="D24" i="225"/>
  <c r="E62" i="250" l="1"/>
  <c r="E63" i="250" s="1"/>
  <c r="F52" i="250"/>
  <c r="G52" i="250" s="1"/>
  <c r="F54" i="250"/>
  <c r="G54" i="250" s="1"/>
  <c r="F56" i="250"/>
  <c r="G56" i="250" s="1"/>
  <c r="F58" i="250"/>
  <c r="G58" i="250" s="1"/>
  <c r="F60" i="250"/>
  <c r="G60" i="250" s="1"/>
  <c r="F50" i="250"/>
  <c r="G50" i="250" s="1"/>
  <c r="F51" i="250"/>
  <c r="G51" i="250" s="1"/>
  <c r="F53" i="250"/>
  <c r="G53" i="250" s="1"/>
  <c r="F55" i="250"/>
  <c r="G55" i="250" s="1"/>
  <c r="F57" i="250"/>
  <c r="G57" i="250" s="1"/>
  <c r="F59" i="250"/>
  <c r="G59" i="250" s="1"/>
  <c r="F61" i="250"/>
  <c r="G61" i="250" s="1"/>
  <c r="F37" i="250"/>
  <c r="G37" i="250" s="1"/>
  <c r="F39" i="250"/>
  <c r="G39" i="250" s="1"/>
  <c r="F41" i="250"/>
  <c r="G41" i="250" s="1"/>
  <c r="F43" i="250"/>
  <c r="G43" i="250" s="1"/>
  <c r="F45" i="250"/>
  <c r="G45" i="250" s="1"/>
  <c r="F47" i="250"/>
  <c r="G47" i="250" s="1"/>
  <c r="F38" i="250"/>
  <c r="G38" i="250" s="1"/>
  <c r="F40" i="250"/>
  <c r="G40" i="250" s="1"/>
  <c r="F42" i="250"/>
  <c r="F44" i="250"/>
  <c r="G44" i="250" s="1"/>
  <c r="F46" i="250"/>
  <c r="G46" i="250" s="1"/>
  <c r="F48" i="250"/>
  <c r="G48" i="250" s="1"/>
  <c r="F24" i="250"/>
  <c r="G24" i="250" s="1"/>
  <c r="F25" i="250"/>
  <c r="G25" i="250" s="1"/>
  <c r="F27" i="250"/>
  <c r="G27" i="250" s="1"/>
  <c r="F29" i="250"/>
  <c r="G29" i="250" s="1"/>
  <c r="F31" i="250"/>
  <c r="G31" i="250" s="1"/>
  <c r="F33" i="250"/>
  <c r="G33" i="250" s="1"/>
  <c r="F35" i="250"/>
  <c r="G35" i="250" s="1"/>
  <c r="F26" i="250"/>
  <c r="G26" i="250" s="1"/>
  <c r="F28" i="250"/>
  <c r="G28" i="250" s="1"/>
  <c r="F30" i="250"/>
  <c r="G30" i="250" s="1"/>
  <c r="F32" i="250"/>
  <c r="G32" i="250" s="1"/>
  <c r="F34" i="250"/>
  <c r="G34" i="250" s="1"/>
  <c r="G42" i="250"/>
  <c r="H22" i="250"/>
  <c r="H21" i="250"/>
  <c r="F55" i="249"/>
  <c r="F57" i="249"/>
  <c r="F61" i="249"/>
  <c r="F52" i="249"/>
  <c r="F54" i="249"/>
  <c r="F56" i="249"/>
  <c r="F58" i="249"/>
  <c r="F60" i="249"/>
  <c r="F62" i="249"/>
  <c r="F53" i="249"/>
  <c r="F59" i="249"/>
  <c r="F51" i="249"/>
  <c r="E52" i="249"/>
  <c r="E54" i="249"/>
  <c r="E56" i="249"/>
  <c r="E58" i="249"/>
  <c r="E60" i="249"/>
  <c r="E62" i="249"/>
  <c r="E51" i="249"/>
  <c r="E53" i="249"/>
  <c r="E55" i="249"/>
  <c r="G55" i="249" s="1"/>
  <c r="E57" i="249"/>
  <c r="E59" i="249"/>
  <c r="E61" i="249"/>
  <c r="F40" i="249"/>
  <c r="F46" i="249"/>
  <c r="F39" i="249"/>
  <c r="F41" i="249"/>
  <c r="F43" i="249"/>
  <c r="F45" i="249"/>
  <c r="F47" i="249"/>
  <c r="F49" i="249"/>
  <c r="F42" i="249"/>
  <c r="F44" i="249"/>
  <c r="F48" i="249"/>
  <c r="F38" i="249"/>
  <c r="E39" i="249"/>
  <c r="E41" i="249"/>
  <c r="E43" i="249"/>
  <c r="E45" i="249"/>
  <c r="E47" i="249"/>
  <c r="E49" i="249"/>
  <c r="E40" i="249"/>
  <c r="E42" i="249"/>
  <c r="E44" i="249"/>
  <c r="E46" i="249"/>
  <c r="G46" i="249" s="1"/>
  <c r="E48" i="249"/>
  <c r="E38" i="249"/>
  <c r="F26" i="249"/>
  <c r="F30" i="249"/>
  <c r="F34" i="249"/>
  <c r="F27" i="249"/>
  <c r="F31" i="249"/>
  <c r="F35" i="249"/>
  <c r="F28" i="249"/>
  <c r="F32" i="249"/>
  <c r="F36" i="249"/>
  <c r="F29" i="249"/>
  <c r="F33" i="249"/>
  <c r="F25" i="249"/>
  <c r="E26" i="249"/>
  <c r="E30" i="249"/>
  <c r="E34" i="249"/>
  <c r="G34" i="249" s="1"/>
  <c r="E27" i="249"/>
  <c r="E31" i="249"/>
  <c r="E35" i="249"/>
  <c r="G35" i="249" s="1"/>
  <c r="E28" i="249"/>
  <c r="G28" i="249" s="1"/>
  <c r="E32" i="249"/>
  <c r="G32" i="249" s="1"/>
  <c r="E36" i="249"/>
  <c r="E29" i="249"/>
  <c r="G29" i="249" s="1"/>
  <c r="E33" i="249"/>
  <c r="G33" i="249" s="1"/>
  <c r="E25" i="249"/>
  <c r="G26" i="249"/>
  <c r="D20" i="249"/>
  <c r="H23" i="249" s="1"/>
  <c r="A28" i="248"/>
  <c r="A29" i="248" s="1"/>
  <c r="A30" i="248" s="1"/>
  <c r="A31" i="248" s="1"/>
  <c r="A32" i="248" s="1"/>
  <c r="A33" i="248" s="1"/>
  <c r="A34" i="248" s="1"/>
  <c r="A35" i="248" s="1"/>
  <c r="A36" i="248" s="1"/>
  <c r="A37" i="248" s="1"/>
  <c r="A38" i="248" s="1"/>
  <c r="A39" i="248" s="1"/>
  <c r="A40" i="248" s="1"/>
  <c r="A41" i="248" s="1"/>
  <c r="A42" i="248" s="1"/>
  <c r="A43" i="248" s="1"/>
  <c r="A44" i="248" s="1"/>
  <c r="A45" i="248" s="1"/>
  <c r="A46" i="248" s="1"/>
  <c r="A47" i="248" s="1"/>
  <c r="A48" i="248" s="1"/>
  <c r="A49" i="248" s="1"/>
  <c r="A50" i="248" s="1"/>
  <c r="A51" i="248" s="1"/>
  <c r="A52" i="248" s="1"/>
  <c r="A53" i="248" s="1"/>
  <c r="A54" i="248" s="1"/>
  <c r="A55" i="248" s="1"/>
  <c r="A56" i="248" s="1"/>
  <c r="A57" i="248" s="1"/>
  <c r="A58" i="248" s="1"/>
  <c r="A59" i="248" s="1"/>
  <c r="A60" i="248" s="1"/>
  <c r="A61" i="248" s="1"/>
  <c r="A62" i="248" s="1"/>
  <c r="A63" i="248" s="1"/>
  <c r="A64" i="248" s="1"/>
  <c r="D25" i="248"/>
  <c r="D26" i="248" s="1"/>
  <c r="D28" i="248" s="1"/>
  <c r="D29" i="248" s="1"/>
  <c r="D30" i="248" s="1"/>
  <c r="D31" i="248" s="1"/>
  <c r="D32" i="248" s="1"/>
  <c r="D33" i="248" s="1"/>
  <c r="D34" i="248" s="1"/>
  <c r="D35" i="248" s="1"/>
  <c r="D36" i="248" s="1"/>
  <c r="D37" i="248" s="1"/>
  <c r="D38" i="248" s="1"/>
  <c r="D39" i="248" s="1"/>
  <c r="D40" i="248" s="1"/>
  <c r="D41" i="248" s="1"/>
  <c r="D42" i="248" s="1"/>
  <c r="D43" i="248" s="1"/>
  <c r="D44" i="248" s="1"/>
  <c r="D45" i="248" s="1"/>
  <c r="D46" i="248" s="1"/>
  <c r="D47" i="248" s="1"/>
  <c r="D48" i="248" s="1"/>
  <c r="D49" i="248" s="1"/>
  <c r="D50" i="248" s="1"/>
  <c r="D51" i="248" s="1"/>
  <c r="D52" i="248" s="1"/>
  <c r="D53" i="248" s="1"/>
  <c r="D54" i="248" s="1"/>
  <c r="D55" i="248" s="1"/>
  <c r="D56" i="248" s="1"/>
  <c r="D57" i="248" s="1"/>
  <c r="D58" i="248" s="1"/>
  <c r="D59" i="248" s="1"/>
  <c r="D60" i="248" s="1"/>
  <c r="D61" i="248" s="1"/>
  <c r="D62" i="248" s="1"/>
  <c r="D63" i="248" s="1"/>
  <c r="D64" i="248" s="1"/>
  <c r="C10" i="248"/>
  <c r="C6" i="248"/>
  <c r="E15" i="248" s="1"/>
  <c r="C5" i="248"/>
  <c r="A27" i="242"/>
  <c r="A28" i="242" s="1"/>
  <c r="A29" i="242" s="1"/>
  <c r="A30" i="242" s="1"/>
  <c r="A31" i="242" s="1"/>
  <c r="A32" i="242" s="1"/>
  <c r="A33" i="242" s="1"/>
  <c r="A34" i="242" s="1"/>
  <c r="A35" i="242" s="1"/>
  <c r="A36" i="242" s="1"/>
  <c r="A37" i="242" s="1"/>
  <c r="A38" i="242" s="1"/>
  <c r="A39" i="242" s="1"/>
  <c r="A40" i="242" s="1"/>
  <c r="A41" i="242" s="1"/>
  <c r="A42" i="242" s="1"/>
  <c r="A43" i="242" s="1"/>
  <c r="A44" i="242" s="1"/>
  <c r="A45" i="242" s="1"/>
  <c r="A46" i="242" s="1"/>
  <c r="A47" i="242" s="1"/>
  <c r="A48" i="242" s="1"/>
  <c r="A49" i="242" s="1"/>
  <c r="A50" i="242" s="1"/>
  <c r="A51" i="242" s="1"/>
  <c r="A52" i="242" s="1"/>
  <c r="A53" i="242" s="1"/>
  <c r="A54" i="242" s="1"/>
  <c r="A55" i="242" s="1"/>
  <c r="A56" i="242" s="1"/>
  <c r="A57" i="242" s="1"/>
  <c r="A58" i="242" s="1"/>
  <c r="A59" i="242" s="1"/>
  <c r="A60" i="242" s="1"/>
  <c r="A61" i="242" s="1"/>
  <c r="A62" i="242" s="1"/>
  <c r="A63" i="242" s="1"/>
  <c r="A29" i="239"/>
  <c r="A30" i="239" s="1"/>
  <c r="A31" i="239" s="1"/>
  <c r="A32" i="239" s="1"/>
  <c r="A33" i="239" s="1"/>
  <c r="A34" i="239" s="1"/>
  <c r="A35" i="239" s="1"/>
  <c r="A36" i="239" s="1"/>
  <c r="A37" i="239" s="1"/>
  <c r="A38" i="239" s="1"/>
  <c r="A39" i="239" s="1"/>
  <c r="A40" i="239" s="1"/>
  <c r="A41" i="239" s="1"/>
  <c r="A42" i="239" s="1"/>
  <c r="A43" i="239" s="1"/>
  <c r="A44" i="239" s="1"/>
  <c r="A45" i="239" s="1"/>
  <c r="A46" i="239" s="1"/>
  <c r="A47" i="239" s="1"/>
  <c r="A48" i="239" s="1"/>
  <c r="A49" i="239" s="1"/>
  <c r="A50" i="239" s="1"/>
  <c r="A51" i="239" s="1"/>
  <c r="A52" i="239" s="1"/>
  <c r="A53" i="239" s="1"/>
  <c r="A54" i="239" s="1"/>
  <c r="A55" i="239" s="1"/>
  <c r="A56" i="239" s="1"/>
  <c r="A57" i="239" s="1"/>
  <c r="A58" i="239" s="1"/>
  <c r="A59" i="239" s="1"/>
  <c r="A60" i="239" s="1"/>
  <c r="A61" i="239" s="1"/>
  <c r="A62" i="239" s="1"/>
  <c r="A63" i="239" s="1"/>
  <c r="A64" i="239" s="1"/>
  <c r="A65" i="239" s="1"/>
  <c r="A66" i="239" s="1"/>
  <c r="A67" i="239" s="1"/>
  <c r="A68" i="239" s="1"/>
  <c r="A69" i="239" s="1"/>
  <c r="A70" i="239" s="1"/>
  <c r="A71" i="239" s="1"/>
  <c r="A72" i="239" s="1"/>
  <c r="A73" i="239" s="1"/>
  <c r="A74" i="239" s="1"/>
  <c r="A75" i="239" s="1"/>
  <c r="A76" i="239" s="1"/>
  <c r="A77" i="239" s="1"/>
  <c r="A78" i="239" s="1"/>
  <c r="A79" i="239" s="1"/>
  <c r="A80" i="239" s="1"/>
  <c r="A81" i="239" s="1"/>
  <c r="A82" i="239" s="1"/>
  <c r="A83" i="239" s="1"/>
  <c r="A84" i="239" s="1"/>
  <c r="A85" i="239" s="1"/>
  <c r="A86" i="239" s="1"/>
  <c r="A87" i="239" s="1"/>
  <c r="G40" i="249" l="1"/>
  <c r="G39" i="249"/>
  <c r="G56" i="249"/>
  <c r="G62" i="249"/>
  <c r="E63" i="249"/>
  <c r="E64" i="249" s="1"/>
  <c r="F63" i="249"/>
  <c r="F64" i="249" s="1"/>
  <c r="G53" i="249"/>
  <c r="F62" i="250"/>
  <c r="G62" i="250" s="1"/>
  <c r="G63" i="250" s="1"/>
  <c r="G52" i="249"/>
  <c r="H24" i="250"/>
  <c r="H25" i="250" s="1"/>
  <c r="H26" i="250" s="1"/>
  <c r="H27" i="250" s="1"/>
  <c r="H28" i="250" s="1"/>
  <c r="H29" i="250" s="1"/>
  <c r="H30" i="250" s="1"/>
  <c r="H31" i="250" s="1"/>
  <c r="H32" i="250" s="1"/>
  <c r="H33" i="250" s="1"/>
  <c r="H34" i="250" s="1"/>
  <c r="H35" i="250" s="1"/>
  <c r="H37" i="250" s="1"/>
  <c r="H38" i="250" s="1"/>
  <c r="H39" i="250" s="1"/>
  <c r="H40" i="250" s="1"/>
  <c r="H41" i="250" s="1"/>
  <c r="H42" i="250" s="1"/>
  <c r="H43" i="250" s="1"/>
  <c r="H44" i="250" s="1"/>
  <c r="H45" i="250" s="1"/>
  <c r="H46" i="250" s="1"/>
  <c r="H47" i="250" s="1"/>
  <c r="H48" i="250" s="1"/>
  <c r="H50" i="250" s="1"/>
  <c r="H51" i="250" s="1"/>
  <c r="H52" i="250" s="1"/>
  <c r="H53" i="250" s="1"/>
  <c r="H54" i="250" s="1"/>
  <c r="H55" i="250" s="1"/>
  <c r="H56" i="250" s="1"/>
  <c r="H57" i="250" s="1"/>
  <c r="H58" i="250" s="1"/>
  <c r="H59" i="250" s="1"/>
  <c r="H60" i="250" s="1"/>
  <c r="H61" i="250" s="1"/>
  <c r="G38" i="249"/>
  <c r="G47" i="249"/>
  <c r="G57" i="249"/>
  <c r="G51" i="249"/>
  <c r="G58" i="249"/>
  <c r="G60" i="249"/>
  <c r="G36" i="249"/>
  <c r="G31" i="249"/>
  <c r="G48" i="249"/>
  <c r="G27" i="249"/>
  <c r="G45" i="249"/>
  <c r="G42" i="249"/>
  <c r="G59" i="249"/>
  <c r="G25" i="249"/>
  <c r="G30" i="249"/>
  <c r="G41" i="249"/>
  <c r="G49" i="249"/>
  <c r="G43" i="249"/>
  <c r="G54" i="249"/>
  <c r="G44" i="249"/>
  <c r="G61" i="249"/>
  <c r="A28" i="236"/>
  <c r="A29" i="236" s="1"/>
  <c r="A30" i="236" s="1"/>
  <c r="A31" i="236" s="1"/>
  <c r="A32" i="236" s="1"/>
  <c r="A33" i="236" s="1"/>
  <c r="A34" i="236" s="1"/>
  <c r="A35" i="236" s="1"/>
  <c r="A36" i="236" s="1"/>
  <c r="A37" i="236" s="1"/>
  <c r="A38" i="236" s="1"/>
  <c r="A39" i="236" s="1"/>
  <c r="A40" i="236" s="1"/>
  <c r="A41" i="236" s="1"/>
  <c r="A42" i="236" s="1"/>
  <c r="A43" i="236" s="1"/>
  <c r="A44" i="236" s="1"/>
  <c r="A45" i="236" s="1"/>
  <c r="A46" i="236" s="1"/>
  <c r="A47" i="236" s="1"/>
  <c r="A48" i="236" s="1"/>
  <c r="A49" i="236" s="1"/>
  <c r="A50" i="236" s="1"/>
  <c r="A51" i="236" s="1"/>
  <c r="A52" i="236" s="1"/>
  <c r="A53" i="236" s="1"/>
  <c r="A54" i="236" s="1"/>
  <c r="A55" i="236" s="1"/>
  <c r="A56" i="236" s="1"/>
  <c r="A57" i="236" s="1"/>
  <c r="A58" i="236" s="1"/>
  <c r="A59" i="236" s="1"/>
  <c r="A60" i="236" s="1"/>
  <c r="A61" i="236" s="1"/>
  <c r="A62" i="236" s="1"/>
  <c r="A63" i="236" s="1"/>
  <c r="A64" i="236" s="1"/>
  <c r="A65" i="236" s="1"/>
  <c r="A66" i="236" s="1"/>
  <c r="A67" i="236" s="1"/>
  <c r="A68" i="236" s="1"/>
  <c r="A69" i="236" s="1"/>
  <c r="A70" i="236" s="1"/>
  <c r="A71" i="236" s="1"/>
  <c r="A72" i="236" s="1"/>
  <c r="A73" i="236" s="1"/>
  <c r="A74" i="236" s="1"/>
  <c r="A75" i="236" s="1"/>
  <c r="A76" i="236" s="1"/>
  <c r="A77" i="236" s="1"/>
  <c r="A78" i="236" s="1"/>
  <c r="A79" i="236" s="1"/>
  <c r="A80" i="236" s="1"/>
  <c r="A81" i="236" s="1"/>
  <c r="A82" i="236" s="1"/>
  <c r="A83" i="236" s="1"/>
  <c r="A84" i="236" s="1"/>
  <c r="A85" i="236" s="1"/>
  <c r="A86" i="236" s="1"/>
  <c r="A87" i="236" s="1"/>
  <c r="C10" i="247"/>
  <c r="A26" i="247"/>
  <c r="A27" i="247" s="1"/>
  <c r="A28" i="247" s="1"/>
  <c r="A29" i="247" s="1"/>
  <c r="A30" i="247" s="1"/>
  <c r="A31" i="247" s="1"/>
  <c r="A32" i="247" s="1"/>
  <c r="A33" i="247" s="1"/>
  <c r="A34" i="247" s="1"/>
  <c r="A35" i="247" s="1"/>
  <c r="A36" i="247" s="1"/>
  <c r="A37" i="247" s="1"/>
  <c r="A38" i="247" s="1"/>
  <c r="A39" i="247" s="1"/>
  <c r="A40" i="247" s="1"/>
  <c r="A41" i="247" s="1"/>
  <c r="A42" i="247" s="1"/>
  <c r="A43" i="247" s="1"/>
  <c r="A44" i="247" s="1"/>
  <c r="A45" i="247" s="1"/>
  <c r="A46" i="247" s="1"/>
  <c r="A47" i="247" s="1"/>
  <c r="A48" i="247" s="1"/>
  <c r="A49" i="247" s="1"/>
  <c r="A50" i="247" s="1"/>
  <c r="A51" i="247" s="1"/>
  <c r="A52" i="247" s="1"/>
  <c r="A53" i="247" s="1"/>
  <c r="A54" i="247" s="1"/>
  <c r="A55" i="247" s="1"/>
  <c r="A56" i="247" s="1"/>
  <c r="A57" i="247" s="1"/>
  <c r="A58" i="247" s="1"/>
  <c r="A59" i="247" s="1"/>
  <c r="A60" i="247" s="1"/>
  <c r="A61" i="247" s="1"/>
  <c r="A62" i="247" s="1"/>
  <c r="D23" i="247"/>
  <c r="D24" i="247" s="1"/>
  <c r="D26" i="247" s="1"/>
  <c r="D27" i="247" s="1"/>
  <c r="D28" i="247" s="1"/>
  <c r="D29" i="247" s="1"/>
  <c r="D30" i="247" s="1"/>
  <c r="D31" i="247" s="1"/>
  <c r="D32" i="247" s="1"/>
  <c r="D33" i="247" s="1"/>
  <c r="D34" i="247" s="1"/>
  <c r="D35" i="247" s="1"/>
  <c r="D36" i="247" s="1"/>
  <c r="D37" i="247" s="1"/>
  <c r="D38" i="247" s="1"/>
  <c r="D39" i="247" s="1"/>
  <c r="D40" i="247" s="1"/>
  <c r="D41" i="247" s="1"/>
  <c r="D42" i="247" s="1"/>
  <c r="D43" i="247" s="1"/>
  <c r="D44" i="247" s="1"/>
  <c r="D45" i="247" s="1"/>
  <c r="D46" i="247" s="1"/>
  <c r="D47" i="247" s="1"/>
  <c r="D48" i="247" s="1"/>
  <c r="D49" i="247" s="1"/>
  <c r="D50" i="247" s="1"/>
  <c r="D51" i="247" s="1"/>
  <c r="D52" i="247" s="1"/>
  <c r="D53" i="247" s="1"/>
  <c r="D54" i="247" s="1"/>
  <c r="D55" i="247" s="1"/>
  <c r="D56" i="247" s="1"/>
  <c r="D57" i="247" s="1"/>
  <c r="D58" i="247" s="1"/>
  <c r="D59" i="247" s="1"/>
  <c r="D60" i="247" s="1"/>
  <c r="D61" i="247" s="1"/>
  <c r="D62" i="247" s="1"/>
  <c r="C6" i="247"/>
  <c r="E15" i="247" s="1"/>
  <c r="C5" i="247"/>
  <c r="A25" i="245"/>
  <c r="A26" i="245" s="1"/>
  <c r="A27" i="245" s="1"/>
  <c r="A28" i="245" s="1"/>
  <c r="A29" i="245" s="1"/>
  <c r="A30" i="245" s="1"/>
  <c r="A31" i="245" s="1"/>
  <c r="A32" i="245" s="1"/>
  <c r="A33" i="245" s="1"/>
  <c r="A34" i="245" s="1"/>
  <c r="A35" i="245" s="1"/>
  <c r="A36" i="245" s="1"/>
  <c r="A37" i="245" s="1"/>
  <c r="A38" i="245" s="1"/>
  <c r="A39" i="245" s="1"/>
  <c r="A40" i="245" s="1"/>
  <c r="A41" i="245" s="1"/>
  <c r="A42" i="245" s="1"/>
  <c r="A43" i="245" s="1"/>
  <c r="A44" i="245" s="1"/>
  <c r="A45" i="245" s="1"/>
  <c r="A46" i="245" s="1"/>
  <c r="A47" i="245" s="1"/>
  <c r="A48" i="245" s="1"/>
  <c r="A49" i="245" s="1"/>
  <c r="A50" i="245" s="1"/>
  <c r="A51" i="245" s="1"/>
  <c r="A52" i="245" s="1"/>
  <c r="A53" i="245" s="1"/>
  <c r="A54" i="245" s="1"/>
  <c r="A55" i="245" s="1"/>
  <c r="A56" i="245" s="1"/>
  <c r="A57" i="245" s="1"/>
  <c r="A58" i="245" s="1"/>
  <c r="A59" i="245" s="1"/>
  <c r="A60" i="245" s="1"/>
  <c r="A61" i="245" s="1"/>
  <c r="A62" i="245" s="1"/>
  <c r="A63" i="245" s="1"/>
  <c r="A64" i="245" s="1"/>
  <c r="A65" i="245" s="1"/>
  <c r="A66" i="245" s="1"/>
  <c r="A67" i="245" s="1"/>
  <c r="A68" i="245" s="1"/>
  <c r="A69" i="245" s="1"/>
  <c r="A70" i="245" s="1"/>
  <c r="A71" i="245" s="1"/>
  <c r="A72" i="245" s="1"/>
  <c r="A73" i="245" s="1"/>
  <c r="A74" i="245" s="1"/>
  <c r="A75" i="245" s="1"/>
  <c r="A76" i="245" s="1"/>
  <c r="A77" i="245" s="1"/>
  <c r="A78" i="245" s="1"/>
  <c r="A79" i="245" s="1"/>
  <c r="A80" i="245" s="1"/>
  <c r="A81" i="245" s="1"/>
  <c r="A82" i="245" s="1"/>
  <c r="A83" i="245" s="1"/>
  <c r="A25" i="150"/>
  <c r="A26" i="150" s="1"/>
  <c r="A27" i="150" s="1"/>
  <c r="A28" i="150" s="1"/>
  <c r="A29"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H62" i="250" l="1"/>
  <c r="F63" i="250"/>
  <c r="G63" i="249"/>
  <c r="G64" i="249" s="1"/>
  <c r="H25" i="249"/>
  <c r="H26" i="249" s="1"/>
  <c r="H27" i="249" s="1"/>
  <c r="H28" i="249" s="1"/>
  <c r="H29" i="249" s="1"/>
  <c r="H30" i="249" s="1"/>
  <c r="H31" i="249" s="1"/>
  <c r="H32" i="249" s="1"/>
  <c r="H33" i="249" s="1"/>
  <c r="H34" i="249" s="1"/>
  <c r="H35" i="249" s="1"/>
  <c r="H36" i="249" s="1"/>
  <c r="H38" i="249" s="1"/>
  <c r="H39" i="249" s="1"/>
  <c r="H40" i="249" s="1"/>
  <c r="H41" i="249" s="1"/>
  <c r="H42" i="249" s="1"/>
  <c r="H43" i="249" s="1"/>
  <c r="H44" i="249" s="1"/>
  <c r="H45" i="249" s="1"/>
  <c r="H46" i="249" s="1"/>
  <c r="H47" i="249" s="1"/>
  <c r="H48" i="249" s="1"/>
  <c r="H49" i="249" s="1"/>
  <c r="H51" i="249" s="1"/>
  <c r="H52" i="249" s="1"/>
  <c r="H53" i="249" s="1"/>
  <c r="H54" i="249" s="1"/>
  <c r="H55" i="249" s="1"/>
  <c r="H56" i="249" s="1"/>
  <c r="H57" i="249" s="1"/>
  <c r="H58" i="249" s="1"/>
  <c r="H59" i="249" s="1"/>
  <c r="H60" i="249" s="1"/>
  <c r="H61" i="249" s="1"/>
  <c r="H62" i="249" s="1"/>
  <c r="A26" i="237"/>
  <c r="A27" i="237" s="1"/>
  <c r="A28" i="237" s="1"/>
  <c r="A29" i="237" s="1"/>
  <c r="A30" i="237" s="1"/>
  <c r="A31" i="237" s="1"/>
  <c r="A32" i="237" s="1"/>
  <c r="A33" i="237" s="1"/>
  <c r="A34" i="237" s="1"/>
  <c r="A35" i="237" s="1"/>
  <c r="A36" i="237" s="1"/>
  <c r="A37" i="237" s="1"/>
  <c r="A38" i="237" s="1"/>
  <c r="A39" i="237" s="1"/>
  <c r="A40" i="237" s="1"/>
  <c r="A41" i="237" s="1"/>
  <c r="A42" i="237" s="1"/>
  <c r="A43" i="237" s="1"/>
  <c r="A44" i="237" s="1"/>
  <c r="A45" i="237" s="1"/>
  <c r="A46" i="237" s="1"/>
  <c r="A47" i="237" s="1"/>
  <c r="A48" i="237" s="1"/>
  <c r="A49" i="237" s="1"/>
  <c r="A50" i="237" s="1"/>
  <c r="A51" i="237" s="1"/>
  <c r="A52" i="237" s="1"/>
  <c r="A53" i="237" s="1"/>
  <c r="A54" i="237" s="1"/>
  <c r="A55" i="237" s="1"/>
  <c r="A56" i="237" s="1"/>
  <c r="A57" i="237" s="1"/>
  <c r="A58" i="237" s="1"/>
  <c r="A59" i="237" s="1"/>
  <c r="A60" i="237" s="1"/>
  <c r="A61" i="237" s="1"/>
  <c r="A62" i="237" s="1"/>
  <c r="H63" i="249" l="1"/>
  <c r="C6" i="245"/>
  <c r="C10" i="246"/>
  <c r="C6" i="246"/>
  <c r="D23" i="246"/>
  <c r="D25" i="246" s="1"/>
  <c r="D26" i="246" s="1"/>
  <c r="D27" i="246" s="1"/>
  <c r="D28" i="246" s="1"/>
  <c r="D29" i="246" s="1"/>
  <c r="D30" i="246" s="1"/>
  <c r="D31" i="246" s="1"/>
  <c r="D32" i="246" s="1"/>
  <c r="D33" i="246" s="1"/>
  <c r="D34" i="246" s="1"/>
  <c r="D35" i="246" s="1"/>
  <c r="D36" i="246" s="1"/>
  <c r="D37" i="246" s="1"/>
  <c r="D38" i="246" s="1"/>
  <c r="D39" i="246" s="1"/>
  <c r="D40" i="246" s="1"/>
  <c r="D41" i="246" s="1"/>
  <c r="D42" i="246" s="1"/>
  <c r="D43" i="246" s="1"/>
  <c r="D44" i="246" s="1"/>
  <c r="D45" i="246" s="1"/>
  <c r="D46" i="246" s="1"/>
  <c r="D47" i="246" s="1"/>
  <c r="D48" i="246" s="1"/>
  <c r="D49" i="246" s="1"/>
  <c r="D50" i="246" s="1"/>
  <c r="D51" i="246" s="1"/>
  <c r="D52" i="246" s="1"/>
  <c r="D53" i="246" s="1"/>
  <c r="D54" i="246" s="1"/>
  <c r="D55" i="246" s="1"/>
  <c r="D56" i="246" s="1"/>
  <c r="D57" i="246" s="1"/>
  <c r="D58" i="246" s="1"/>
  <c r="D59" i="246" s="1"/>
  <c r="D60" i="246" s="1"/>
  <c r="D61" i="246" s="1"/>
  <c r="D62" i="246" s="1"/>
  <c r="D63" i="246" s="1"/>
  <c r="D64" i="246" s="1"/>
  <c r="D65" i="246" s="1"/>
  <c r="D66" i="246" s="1"/>
  <c r="D67" i="246" s="1"/>
  <c r="D68" i="246" s="1"/>
  <c r="D69" i="246" s="1"/>
  <c r="D70" i="246" s="1"/>
  <c r="D71" i="246" s="1"/>
  <c r="D72" i="246" s="1"/>
  <c r="D73" i="246" s="1"/>
  <c r="D74" i="246" s="1"/>
  <c r="D75" i="246" s="1"/>
  <c r="D76" i="246" s="1"/>
  <c r="D77" i="246" s="1"/>
  <c r="D78" i="246" s="1"/>
  <c r="D79" i="246" s="1"/>
  <c r="D80" i="246" s="1"/>
  <c r="D81" i="246" s="1"/>
  <c r="D82" i="246" s="1"/>
  <c r="D83" i="246" s="1"/>
  <c r="D84" i="246" s="1"/>
  <c r="C5" i="246"/>
  <c r="C22" i="245"/>
  <c r="C24" i="245" s="1"/>
  <c r="C25" i="245" s="1"/>
  <c r="C26" i="245" s="1"/>
  <c r="C27" i="245" s="1"/>
  <c r="C28" i="245" s="1"/>
  <c r="C29" i="245" s="1"/>
  <c r="C30" i="245" s="1"/>
  <c r="C31" i="245" s="1"/>
  <c r="C32" i="245" s="1"/>
  <c r="C33" i="245" s="1"/>
  <c r="C34" i="245" s="1"/>
  <c r="C35" i="245" s="1"/>
  <c r="C36" i="245" s="1"/>
  <c r="C37" i="245" s="1"/>
  <c r="C38" i="245" s="1"/>
  <c r="C39" i="245" s="1"/>
  <c r="C40" i="245" s="1"/>
  <c r="C41" i="245" s="1"/>
  <c r="C42" i="245" s="1"/>
  <c r="C43" i="245" s="1"/>
  <c r="C44" i="245" s="1"/>
  <c r="C45" i="245" s="1"/>
  <c r="C46" i="245" s="1"/>
  <c r="C47" i="245" s="1"/>
  <c r="C48" i="245" s="1"/>
  <c r="C49" i="245" s="1"/>
  <c r="C50" i="245" s="1"/>
  <c r="C51" i="245" s="1"/>
  <c r="C52" i="245" s="1"/>
  <c r="C53" i="245" s="1"/>
  <c r="C54" i="245" s="1"/>
  <c r="C55" i="245" s="1"/>
  <c r="C56" i="245" s="1"/>
  <c r="C57" i="245" s="1"/>
  <c r="C58" i="245" s="1"/>
  <c r="C59" i="245" s="1"/>
  <c r="C60" i="245" s="1"/>
  <c r="C61" i="245" s="1"/>
  <c r="C62" i="245" s="1"/>
  <c r="C63" i="245" s="1"/>
  <c r="C64" i="245" s="1"/>
  <c r="C65" i="245" s="1"/>
  <c r="C66" i="245" s="1"/>
  <c r="C67" i="245" s="1"/>
  <c r="C68" i="245" s="1"/>
  <c r="C69" i="245" s="1"/>
  <c r="C70" i="245" s="1"/>
  <c r="C71" i="245" s="1"/>
  <c r="C72" i="245" s="1"/>
  <c r="C73" i="245" s="1"/>
  <c r="C74" i="245" s="1"/>
  <c r="C75" i="245" s="1"/>
  <c r="C76" i="245" s="1"/>
  <c r="C77" i="245" s="1"/>
  <c r="C78" i="245" s="1"/>
  <c r="C79" i="245" s="1"/>
  <c r="C80" i="245" s="1"/>
  <c r="C81" i="245" s="1"/>
  <c r="C82" i="245" s="1"/>
  <c r="C83" i="245" s="1"/>
  <c r="C5" i="245"/>
  <c r="E14" i="246" l="1"/>
  <c r="E14" i="245"/>
  <c r="C13" i="4"/>
  <c r="E40" i="233"/>
  <c r="D40" i="233"/>
  <c r="C11" i="4" s="1"/>
  <c r="E13" i="233"/>
  <c r="C8" i="247" l="1"/>
  <c r="E13" i="247" s="1"/>
  <c r="E23" i="247" s="1"/>
  <c r="G23" i="247" s="1"/>
  <c r="C8" i="248"/>
  <c r="E13" i="248" s="1"/>
  <c r="E25" i="248" s="1"/>
  <c r="C7" i="247"/>
  <c r="C9" i="247"/>
  <c r="D13" i="247" s="1"/>
  <c r="C9" i="248"/>
  <c r="D13" i="248" s="1"/>
  <c r="C9" i="245"/>
  <c r="D13" i="245" s="1"/>
  <c r="C9" i="246"/>
  <c r="D13" i="246" s="1"/>
  <c r="D14" i="246" s="1"/>
  <c r="C8" i="246"/>
  <c r="E13" i="246" s="1"/>
  <c r="C8" i="245"/>
  <c r="E22" i="245" s="1"/>
  <c r="G22" i="245" s="1"/>
  <c r="C7" i="246"/>
  <c r="C10" i="225"/>
  <c r="C10" i="242"/>
  <c r="C10" i="239"/>
  <c r="C10" i="236"/>
  <c r="C10" i="244"/>
  <c r="D25" i="244"/>
  <c r="D26" i="244" s="1"/>
  <c r="D27" i="244" s="1"/>
  <c r="C8" i="244"/>
  <c r="E13" i="244" s="1"/>
  <c r="C6" i="244"/>
  <c r="C5" i="244"/>
  <c r="C10" i="150"/>
  <c r="C10" i="237"/>
  <c r="C10" i="240"/>
  <c r="C10" i="229"/>
  <c r="C10" i="243"/>
  <c r="D23" i="243"/>
  <c r="D24" i="243" s="1"/>
  <c r="D25" i="243" s="1"/>
  <c r="C8" i="243"/>
  <c r="E13" i="243" s="1"/>
  <c r="E23" i="243" s="1"/>
  <c r="G23" i="243" s="1"/>
  <c r="C6" i="243"/>
  <c r="C5" i="243"/>
  <c r="D24" i="242"/>
  <c r="D25" i="242" s="1"/>
  <c r="D27" i="242" s="1"/>
  <c r="D28" i="242" s="1"/>
  <c r="D29" i="242" s="1"/>
  <c r="D30" i="242" s="1"/>
  <c r="D31" i="242" s="1"/>
  <c r="D32" i="242" s="1"/>
  <c r="D33" i="242" s="1"/>
  <c r="D34" i="242" s="1"/>
  <c r="D35" i="242" s="1"/>
  <c r="D36" i="242" s="1"/>
  <c r="D37" i="242" s="1"/>
  <c r="D38" i="242" s="1"/>
  <c r="D39" i="242" s="1"/>
  <c r="D40" i="242" s="1"/>
  <c r="D41" i="242" s="1"/>
  <c r="D42" i="242" s="1"/>
  <c r="D43" i="242" s="1"/>
  <c r="D44" i="242" s="1"/>
  <c r="D45" i="242" s="1"/>
  <c r="D46" i="242" s="1"/>
  <c r="D47" i="242" s="1"/>
  <c r="D48" i="242" s="1"/>
  <c r="D49" i="242" s="1"/>
  <c r="D50" i="242" s="1"/>
  <c r="D51" i="242" s="1"/>
  <c r="D52" i="242" s="1"/>
  <c r="D53" i="242" s="1"/>
  <c r="D54" i="242" s="1"/>
  <c r="D55" i="242" s="1"/>
  <c r="D56" i="242" s="1"/>
  <c r="D57" i="242" s="1"/>
  <c r="D58" i="242" s="1"/>
  <c r="D59" i="242" s="1"/>
  <c r="D60" i="242" s="1"/>
  <c r="D61" i="242" s="1"/>
  <c r="D62" i="242" s="1"/>
  <c r="D63" i="242" s="1"/>
  <c r="C8" i="242"/>
  <c r="E13" i="242" s="1"/>
  <c r="E24" i="242" s="1"/>
  <c r="G24" i="242" s="1"/>
  <c r="C6" i="242"/>
  <c r="C5" i="242"/>
  <c r="C8" i="225"/>
  <c r="C6" i="225"/>
  <c r="C8" i="150"/>
  <c r="E22" i="150" s="1"/>
  <c r="G22" i="150" s="1"/>
  <c r="C6" i="150"/>
  <c r="E14" i="150" s="1"/>
  <c r="C8" i="239"/>
  <c r="E13" i="239" s="1"/>
  <c r="E25" i="239" s="1"/>
  <c r="G25" i="239" s="1"/>
  <c r="C6" i="239"/>
  <c r="C8" i="240"/>
  <c r="E13" i="240" s="1"/>
  <c r="E23" i="240" s="1"/>
  <c r="G23" i="240" s="1"/>
  <c r="C6" i="240"/>
  <c r="E16" i="240" s="1"/>
  <c r="C8" i="236"/>
  <c r="E13" i="236" s="1"/>
  <c r="C6" i="236"/>
  <c r="C8" i="237"/>
  <c r="E13" i="237" s="1"/>
  <c r="E23" i="237" s="1"/>
  <c r="G23" i="237" s="1"/>
  <c r="C6" i="237"/>
  <c r="E15" i="237" s="1"/>
  <c r="C8" i="229"/>
  <c r="E13" i="229" s="1"/>
  <c r="E23" i="229" s="1"/>
  <c r="G23" i="229" s="1"/>
  <c r="C6" i="229"/>
  <c r="E15" i="229" s="1"/>
  <c r="E37" i="233"/>
  <c r="E23" i="233"/>
  <c r="C9" i="240"/>
  <c r="D13" i="240" s="1"/>
  <c r="E17" i="233"/>
  <c r="E15" i="233"/>
  <c r="E16" i="233"/>
  <c r="C7" i="243"/>
  <c r="E10" i="233"/>
  <c r="E9" i="233"/>
  <c r="E8" i="233"/>
  <c r="E7" i="233"/>
  <c r="E6" i="233"/>
  <c r="C5" i="240"/>
  <c r="D23" i="240"/>
  <c r="D24" i="240" s="1"/>
  <c r="D26" i="240" s="1"/>
  <c r="D27" i="240" s="1"/>
  <c r="D28" i="240" s="1"/>
  <c r="D29" i="240" s="1"/>
  <c r="D30" i="240" s="1"/>
  <c r="D31" i="240" s="1"/>
  <c r="D32" i="240" s="1"/>
  <c r="D33" i="240" s="1"/>
  <c r="D34" i="240" s="1"/>
  <c r="D35" i="240" s="1"/>
  <c r="D36" i="240" s="1"/>
  <c r="D37" i="240" s="1"/>
  <c r="D38" i="240" s="1"/>
  <c r="D39" i="240" s="1"/>
  <c r="D40" i="240" s="1"/>
  <c r="D41" i="240" s="1"/>
  <c r="D42" i="240" s="1"/>
  <c r="D43" i="240" s="1"/>
  <c r="D44" i="240" s="1"/>
  <c r="D45" i="240" s="1"/>
  <c r="D46" i="240" s="1"/>
  <c r="D47" i="240" s="1"/>
  <c r="D48" i="240" s="1"/>
  <c r="D49" i="240" s="1"/>
  <c r="D50" i="240" s="1"/>
  <c r="D51" i="240" s="1"/>
  <c r="D52" i="240" s="1"/>
  <c r="D53" i="240" s="1"/>
  <c r="D54" i="240" s="1"/>
  <c r="D55" i="240" s="1"/>
  <c r="D56" i="240" s="1"/>
  <c r="D57" i="240" s="1"/>
  <c r="D58" i="240" s="1"/>
  <c r="D59" i="240" s="1"/>
  <c r="D60" i="240" s="1"/>
  <c r="D61" i="240" s="1"/>
  <c r="D62" i="240" s="1"/>
  <c r="D63" i="240" s="1"/>
  <c r="D64" i="240" s="1"/>
  <c r="D65" i="240" s="1"/>
  <c r="D66" i="240" s="1"/>
  <c r="D67" i="240" s="1"/>
  <c r="D68" i="240" s="1"/>
  <c r="D69" i="240" s="1"/>
  <c r="D70" i="240" s="1"/>
  <c r="D71" i="240" s="1"/>
  <c r="D72" i="240" s="1"/>
  <c r="D73" i="240" s="1"/>
  <c r="D74" i="240" s="1"/>
  <c r="D75" i="240" s="1"/>
  <c r="D76" i="240" s="1"/>
  <c r="D77" i="240" s="1"/>
  <c r="D78" i="240" s="1"/>
  <c r="D79" i="240" s="1"/>
  <c r="D80" i="240" s="1"/>
  <c r="D81" i="240" s="1"/>
  <c r="D82" i="240" s="1"/>
  <c r="D83" i="240" s="1"/>
  <c r="D84" i="240" s="1"/>
  <c r="D85" i="240" s="1"/>
  <c r="C5" i="239"/>
  <c r="D25" i="239"/>
  <c r="D26" i="239" s="1"/>
  <c r="D28" i="239" s="1"/>
  <c r="D29" i="239" s="1"/>
  <c r="D30" i="239" s="1"/>
  <c r="D31" i="239" s="1"/>
  <c r="D32" i="239" s="1"/>
  <c r="D33" i="239" s="1"/>
  <c r="D34" i="239" s="1"/>
  <c r="D35" i="239" s="1"/>
  <c r="D36" i="239" s="1"/>
  <c r="D37" i="239" s="1"/>
  <c r="D38" i="239" s="1"/>
  <c r="D39" i="239" s="1"/>
  <c r="D40" i="239" s="1"/>
  <c r="D41" i="239" s="1"/>
  <c r="D42" i="239" s="1"/>
  <c r="D43" i="239" s="1"/>
  <c r="D44" i="239" s="1"/>
  <c r="D45" i="239" s="1"/>
  <c r="D46" i="239" s="1"/>
  <c r="D47" i="239" s="1"/>
  <c r="D48" i="239" s="1"/>
  <c r="D49" i="239" s="1"/>
  <c r="D50" i="239" s="1"/>
  <c r="D51" i="239" s="1"/>
  <c r="D52" i="239" s="1"/>
  <c r="D53" i="239" s="1"/>
  <c r="D54" i="239" s="1"/>
  <c r="D55" i="239" s="1"/>
  <c r="D56" i="239" s="1"/>
  <c r="D57" i="239" s="1"/>
  <c r="D58" i="239" s="1"/>
  <c r="D59" i="239" s="1"/>
  <c r="D60" i="239" s="1"/>
  <c r="D61" i="239" s="1"/>
  <c r="D62" i="239" s="1"/>
  <c r="D63" i="239" s="1"/>
  <c r="D64" i="239" s="1"/>
  <c r="D65" i="239" s="1"/>
  <c r="D66" i="239" s="1"/>
  <c r="D67" i="239" s="1"/>
  <c r="D68" i="239" s="1"/>
  <c r="D69" i="239" s="1"/>
  <c r="D70" i="239" s="1"/>
  <c r="D71" i="239" s="1"/>
  <c r="D72" i="239" s="1"/>
  <c r="D73" i="239" s="1"/>
  <c r="D74" i="239" s="1"/>
  <c r="D75" i="239" s="1"/>
  <c r="D76" i="239" s="1"/>
  <c r="D77" i="239" s="1"/>
  <c r="D78" i="239" s="1"/>
  <c r="D79" i="239" s="1"/>
  <c r="D80" i="239" s="1"/>
  <c r="D81" i="239" s="1"/>
  <c r="D82" i="239" s="1"/>
  <c r="D83" i="239" s="1"/>
  <c r="D84" i="239" s="1"/>
  <c r="D85" i="239" s="1"/>
  <c r="D86" i="239" s="1"/>
  <c r="D87" i="239" s="1"/>
  <c r="C5" i="225"/>
  <c r="D26" i="225"/>
  <c r="D27" i="225" s="1"/>
  <c r="D28" i="225" s="1"/>
  <c r="D29" i="225" s="1"/>
  <c r="D30" i="225" s="1"/>
  <c r="D31" i="225" s="1"/>
  <c r="D33" i="225" s="1"/>
  <c r="D34" i="225" s="1"/>
  <c r="D35" i="225" s="1"/>
  <c r="D36" i="225" s="1"/>
  <c r="D37" i="225" s="1"/>
  <c r="D38" i="225" s="1"/>
  <c r="D39" i="225" s="1"/>
  <c r="D40" i="225" s="1"/>
  <c r="D41" i="225" s="1"/>
  <c r="D42" i="225" s="1"/>
  <c r="D43" i="225" s="1"/>
  <c r="D44" i="225" s="1"/>
  <c r="D45" i="225" s="1"/>
  <c r="D46" i="225" s="1"/>
  <c r="D47" i="225" s="1"/>
  <c r="D48" i="225" s="1"/>
  <c r="D49" i="225" s="1"/>
  <c r="D50" i="225" s="1"/>
  <c r="D51" i="225" s="1"/>
  <c r="D52" i="225" s="1"/>
  <c r="D53" i="225" s="1"/>
  <c r="D54" i="225" s="1"/>
  <c r="D55" i="225" s="1"/>
  <c r="D56" i="225" s="1"/>
  <c r="D57" i="225" s="1"/>
  <c r="D58" i="225" s="1"/>
  <c r="D59" i="225" s="1"/>
  <c r="D60" i="225" s="1"/>
  <c r="D61" i="225" s="1"/>
  <c r="D62" i="225" s="1"/>
  <c r="D63" i="225" s="1"/>
  <c r="C5" i="150"/>
  <c r="D22" i="150"/>
  <c r="D24" i="150" s="1"/>
  <c r="D25" i="150" s="1"/>
  <c r="D26" i="150" s="1"/>
  <c r="D27" i="150" s="1"/>
  <c r="D28" i="150" s="1"/>
  <c r="D29" i="150" s="1"/>
  <c r="D31" i="150" s="1"/>
  <c r="D32" i="150" s="1"/>
  <c r="D33" i="150" s="1"/>
  <c r="D34" i="150" s="1"/>
  <c r="D35" i="150" s="1"/>
  <c r="D36" i="150" s="1"/>
  <c r="D37" i="150" s="1"/>
  <c r="D38" i="150" s="1"/>
  <c r="D39" i="150" s="1"/>
  <c r="D40" i="150" s="1"/>
  <c r="D41" i="150" s="1"/>
  <c r="D42" i="150" s="1"/>
  <c r="D43" i="150" s="1"/>
  <c r="D44" i="150" s="1"/>
  <c r="D45" i="150" s="1"/>
  <c r="D46" i="150" s="1"/>
  <c r="D47" i="150" s="1"/>
  <c r="D48" i="150" s="1"/>
  <c r="D49" i="150" s="1"/>
  <c r="D50" i="150" s="1"/>
  <c r="D51" i="150" s="1"/>
  <c r="D52" i="150" s="1"/>
  <c r="D53" i="150" s="1"/>
  <c r="D54" i="150" s="1"/>
  <c r="D55" i="150" s="1"/>
  <c r="D56" i="150" s="1"/>
  <c r="D57" i="150" s="1"/>
  <c r="D58" i="150" s="1"/>
  <c r="D59" i="150" s="1"/>
  <c r="D60" i="150" s="1"/>
  <c r="D61" i="150" s="1"/>
  <c r="C5" i="236"/>
  <c r="D25" i="236"/>
  <c r="D26" i="236" s="1"/>
  <c r="D28" i="236" s="1"/>
  <c r="D29" i="236" s="1"/>
  <c r="D30" i="236" s="1"/>
  <c r="D31" i="236" s="1"/>
  <c r="D32" i="236" s="1"/>
  <c r="D33" i="236" s="1"/>
  <c r="D34" i="236" s="1"/>
  <c r="D35" i="236" s="1"/>
  <c r="D36" i="236" s="1"/>
  <c r="D37" i="236" s="1"/>
  <c r="D38" i="236" s="1"/>
  <c r="D39" i="236" s="1"/>
  <c r="D40" i="236" s="1"/>
  <c r="D41" i="236" s="1"/>
  <c r="D42" i="236" s="1"/>
  <c r="D43" i="236" s="1"/>
  <c r="D44" i="236" s="1"/>
  <c r="D45" i="236" s="1"/>
  <c r="D46" i="236" s="1"/>
  <c r="D47" i="236" s="1"/>
  <c r="D48" i="236" s="1"/>
  <c r="D49" i="236" s="1"/>
  <c r="D50" i="236" s="1"/>
  <c r="D51" i="236" s="1"/>
  <c r="D52" i="236" s="1"/>
  <c r="D53" i="236" s="1"/>
  <c r="D54" i="236" s="1"/>
  <c r="D55" i="236" s="1"/>
  <c r="D56" i="236" s="1"/>
  <c r="D57" i="236" s="1"/>
  <c r="D58" i="236" s="1"/>
  <c r="D59" i="236" s="1"/>
  <c r="D60" i="236" s="1"/>
  <c r="D61" i="236" s="1"/>
  <c r="D62" i="236" s="1"/>
  <c r="D63" i="236" s="1"/>
  <c r="D64" i="236" s="1"/>
  <c r="D65" i="236" s="1"/>
  <c r="D66" i="236" s="1"/>
  <c r="D67" i="236" s="1"/>
  <c r="D68" i="236" s="1"/>
  <c r="D69" i="236" s="1"/>
  <c r="D70" i="236" s="1"/>
  <c r="D71" i="236" s="1"/>
  <c r="D72" i="236" s="1"/>
  <c r="D73" i="236" s="1"/>
  <c r="D74" i="236" s="1"/>
  <c r="D75" i="236" s="1"/>
  <c r="D76" i="236" s="1"/>
  <c r="D77" i="236" s="1"/>
  <c r="D78" i="236" s="1"/>
  <c r="D79" i="236" s="1"/>
  <c r="D80" i="236" s="1"/>
  <c r="D81" i="236" s="1"/>
  <c r="D82" i="236" s="1"/>
  <c r="D83" i="236" s="1"/>
  <c r="D84" i="236" s="1"/>
  <c r="D85" i="236" s="1"/>
  <c r="D86" i="236" s="1"/>
  <c r="D87" i="236" s="1"/>
  <c r="C5" i="237"/>
  <c r="D23" i="237"/>
  <c r="D24" i="237" s="1"/>
  <c r="D26" i="237" s="1"/>
  <c r="D27" i="237" s="1"/>
  <c r="D28" i="237" s="1"/>
  <c r="D29" i="237" s="1"/>
  <c r="D30" i="237" s="1"/>
  <c r="D31" i="237" s="1"/>
  <c r="D32" i="237" s="1"/>
  <c r="D33" i="237" s="1"/>
  <c r="D34" i="237" s="1"/>
  <c r="D35" i="237" s="1"/>
  <c r="D36" i="237" s="1"/>
  <c r="D37" i="237" s="1"/>
  <c r="D38" i="237" s="1"/>
  <c r="D39" i="237" s="1"/>
  <c r="D40" i="237" s="1"/>
  <c r="D41" i="237" s="1"/>
  <c r="D42" i="237" s="1"/>
  <c r="D43" i="237" s="1"/>
  <c r="D44" i="237" s="1"/>
  <c r="D45" i="237" s="1"/>
  <c r="D46" i="237" s="1"/>
  <c r="D47" i="237" s="1"/>
  <c r="D48" i="237" s="1"/>
  <c r="D49" i="237" s="1"/>
  <c r="D50" i="237" s="1"/>
  <c r="D51" i="237" s="1"/>
  <c r="D52" i="237" s="1"/>
  <c r="D53" i="237" s="1"/>
  <c r="D54" i="237" s="1"/>
  <c r="D55" i="237" s="1"/>
  <c r="D56" i="237" s="1"/>
  <c r="D57" i="237" s="1"/>
  <c r="D58" i="237" s="1"/>
  <c r="D59" i="237" s="1"/>
  <c r="D60" i="237" s="1"/>
  <c r="D61" i="237" s="1"/>
  <c r="D62" i="237" s="1"/>
  <c r="C5" i="229"/>
  <c r="D23" i="229"/>
  <c r="D24" i="229" s="1"/>
  <c r="D26" i="229" s="1"/>
  <c r="D27" i="229" s="1"/>
  <c r="D28" i="229" s="1"/>
  <c r="D29" i="229" s="1"/>
  <c r="D30" i="229" s="1"/>
  <c r="D31" i="229" s="1"/>
  <c r="D32" i="229" s="1"/>
  <c r="D33" i="229" s="1"/>
  <c r="D34" i="229" s="1"/>
  <c r="D35" i="229" s="1"/>
  <c r="D36" i="229" s="1"/>
  <c r="D37" i="229" s="1"/>
  <c r="D38" i="229" s="1"/>
  <c r="D39" i="229" s="1"/>
  <c r="D40" i="229" s="1"/>
  <c r="D41" i="229" s="1"/>
  <c r="D42" i="229" s="1"/>
  <c r="D43" i="229" s="1"/>
  <c r="D44" i="229" s="1"/>
  <c r="D45" i="229" s="1"/>
  <c r="D46" i="229" s="1"/>
  <c r="D47" i="229" s="1"/>
  <c r="D48" i="229" s="1"/>
  <c r="D49" i="229" s="1"/>
  <c r="D50" i="229" s="1"/>
  <c r="D51" i="229" s="1"/>
  <c r="D52" i="229" s="1"/>
  <c r="D53" i="229" s="1"/>
  <c r="D54" i="229" s="1"/>
  <c r="D55" i="229" s="1"/>
  <c r="D56" i="229" s="1"/>
  <c r="D57" i="229" s="1"/>
  <c r="D58" i="229" s="1"/>
  <c r="D59" i="229" s="1"/>
  <c r="D60" i="229" s="1"/>
  <c r="D61" i="229" s="1"/>
  <c r="D62" i="229" s="1"/>
  <c r="D63" i="229" s="1"/>
  <c r="D64" i="229" s="1"/>
  <c r="D65" i="229" s="1"/>
  <c r="D66" i="229" s="1"/>
  <c r="D67" i="229" s="1"/>
  <c r="D68" i="229" s="1"/>
  <c r="D69" i="229" s="1"/>
  <c r="D70" i="229" s="1"/>
  <c r="D71" i="229" s="1"/>
  <c r="D72" i="229" s="1"/>
  <c r="D73" i="229" s="1"/>
  <c r="D74" i="229" s="1"/>
  <c r="D75" i="229" s="1"/>
  <c r="D76" i="229" s="1"/>
  <c r="D77" i="229" s="1"/>
  <c r="D78" i="229" s="1"/>
  <c r="D79" i="229" s="1"/>
  <c r="D80" i="229" s="1"/>
  <c r="D81" i="229" s="1"/>
  <c r="D82" i="229" s="1"/>
  <c r="D83" i="229" s="1"/>
  <c r="D84" i="229" s="1"/>
  <c r="D85" i="229" s="1"/>
  <c r="B5" i="224"/>
  <c r="B6" i="224"/>
  <c r="D16" i="224" s="1"/>
  <c r="B8" i="224"/>
  <c r="D13" i="224" s="1"/>
  <c r="D25" i="224" s="1"/>
  <c r="B16" i="224"/>
  <c r="C17" i="224"/>
  <c r="C18" i="224" s="1"/>
  <c r="B25" i="224"/>
  <c r="B26" i="224" s="1"/>
  <c r="B27" i="224" s="1"/>
  <c r="B28" i="224" s="1"/>
  <c r="B29" i="224" s="1"/>
  <c r="B30" i="224" s="1"/>
  <c r="B31" i="224" s="1"/>
  <c r="B32" i="224" s="1"/>
  <c r="B33" i="224" s="1"/>
  <c r="B34" i="224" s="1"/>
  <c r="B35" i="224" s="1"/>
  <c r="B36" i="224" s="1"/>
  <c r="B37" i="224" s="1"/>
  <c r="B38" i="224" s="1"/>
  <c r="B39" i="224" s="1"/>
  <c r="B40" i="224" s="1"/>
  <c r="B41" i="224" s="1"/>
  <c r="B42" i="224" s="1"/>
  <c r="B43" i="224" s="1"/>
  <c r="B44" i="224" s="1"/>
  <c r="B45" i="224" s="1"/>
  <c r="B46" i="224" s="1"/>
  <c r="B47" i="224" s="1"/>
  <c r="B48" i="224" s="1"/>
  <c r="B49" i="224" s="1"/>
  <c r="B50" i="224" s="1"/>
  <c r="B51" i="224" s="1"/>
  <c r="B52" i="224" s="1"/>
  <c r="B53" i="224" s="1"/>
  <c r="B54" i="224" s="1"/>
  <c r="B55" i="224" s="1"/>
  <c r="B56" i="224" s="1"/>
  <c r="B57" i="224" s="1"/>
  <c r="B58" i="224" s="1"/>
  <c r="B59" i="224" s="1"/>
  <c r="B60" i="224" s="1"/>
  <c r="B61" i="224" s="1"/>
  <c r="B62" i="224" s="1"/>
  <c r="B63" i="224" s="1"/>
  <c r="B64" i="224" s="1"/>
  <c r="B65" i="224" s="1"/>
  <c r="B66" i="224" s="1"/>
  <c r="B67" i="224" s="1"/>
  <c r="B68" i="224" s="1"/>
  <c r="B69" i="224" s="1"/>
  <c r="B70" i="224" s="1"/>
  <c r="B71" i="224" s="1"/>
  <c r="B72" i="224" s="1"/>
  <c r="B73" i="224" s="1"/>
  <c r="B74" i="224" s="1"/>
  <c r="B75" i="224" s="1"/>
  <c r="B76" i="224" s="1"/>
  <c r="B77" i="224" s="1"/>
  <c r="B78" i="224" s="1"/>
  <c r="B79" i="224" s="1"/>
  <c r="B80" i="224" s="1"/>
  <c r="B81" i="224" s="1"/>
  <c r="B82" i="224" s="1"/>
  <c r="B83" i="224" s="1"/>
  <c r="B84" i="224" s="1"/>
  <c r="B85" i="224" s="1"/>
  <c r="B86" i="224" s="1"/>
  <c r="B5" i="223"/>
  <c r="B6" i="223"/>
  <c r="D14" i="223" s="1"/>
  <c r="B8" i="223"/>
  <c r="D13" i="223" s="1"/>
  <c r="D23" i="223" s="1"/>
  <c r="B14" i="223"/>
  <c r="C15" i="223"/>
  <c r="C16" i="223" s="1"/>
  <c r="B23" i="223"/>
  <c r="B24" i="223" s="1"/>
  <c r="B25" i="223" s="1"/>
  <c r="B26" i="223" s="1"/>
  <c r="B27" i="223" s="1"/>
  <c r="B28" i="223" s="1"/>
  <c r="B29" i="223" s="1"/>
  <c r="B30" i="223" s="1"/>
  <c r="B31" i="223" s="1"/>
  <c r="B32" i="223" s="1"/>
  <c r="B33" i="223" s="1"/>
  <c r="B34" i="223" s="1"/>
  <c r="B35" i="223" s="1"/>
  <c r="B36" i="223" s="1"/>
  <c r="B37" i="223" s="1"/>
  <c r="B38" i="223" s="1"/>
  <c r="B39" i="223" s="1"/>
  <c r="B40" i="223" s="1"/>
  <c r="B41" i="223" s="1"/>
  <c r="B42" i="223" s="1"/>
  <c r="B43" i="223" s="1"/>
  <c r="B44" i="223" s="1"/>
  <c r="B45" i="223" s="1"/>
  <c r="B46" i="223" s="1"/>
  <c r="B47" i="223" s="1"/>
  <c r="B48" i="223" s="1"/>
  <c r="B49" i="223" s="1"/>
  <c r="B50" i="223" s="1"/>
  <c r="B51" i="223" s="1"/>
  <c r="B52" i="223" s="1"/>
  <c r="B53" i="223" s="1"/>
  <c r="B54" i="223" s="1"/>
  <c r="B55" i="223" s="1"/>
  <c r="B56" i="223" s="1"/>
  <c r="B57" i="223" s="1"/>
  <c r="B58" i="223" s="1"/>
  <c r="B59" i="223" s="1"/>
  <c r="B60" i="223" s="1"/>
  <c r="B61" i="223" s="1"/>
  <c r="B62" i="223" s="1"/>
  <c r="B63" i="223" s="1"/>
  <c r="B64" i="223" s="1"/>
  <c r="B65" i="223" s="1"/>
  <c r="B66" i="223" s="1"/>
  <c r="B67" i="223" s="1"/>
  <c r="B68" i="223" s="1"/>
  <c r="B69" i="223" s="1"/>
  <c r="B70" i="223" s="1"/>
  <c r="B71" i="223" s="1"/>
  <c r="B72" i="223" s="1"/>
  <c r="B73" i="223" s="1"/>
  <c r="B74" i="223" s="1"/>
  <c r="B75" i="223" s="1"/>
  <c r="B76" i="223" s="1"/>
  <c r="B77" i="223" s="1"/>
  <c r="B78" i="223" s="1"/>
  <c r="B79" i="223" s="1"/>
  <c r="B80" i="223" s="1"/>
  <c r="B81" i="223" s="1"/>
  <c r="B82" i="223" s="1"/>
  <c r="B83" i="223" s="1"/>
  <c r="B84" i="223" s="1"/>
  <c r="B5" i="222"/>
  <c r="B6" i="222"/>
  <c r="B8" i="222"/>
  <c r="D13" i="222" s="1"/>
  <c r="D22" i="222" s="1"/>
  <c r="B16" i="222"/>
  <c r="B22" i="222"/>
  <c r="B23" i="222" s="1"/>
  <c r="B24" i="222" s="1"/>
  <c r="B25" i="222" s="1"/>
  <c r="B26" i="222" s="1"/>
  <c r="B27" i="222" s="1"/>
  <c r="B28" i="222" s="1"/>
  <c r="B29" i="222" s="1"/>
  <c r="B30" i="222" s="1"/>
  <c r="B31" i="222" s="1"/>
  <c r="B32" i="222" s="1"/>
  <c r="B33" i="222" s="1"/>
  <c r="B34" i="222" s="1"/>
  <c r="B35" i="222" s="1"/>
  <c r="B36" i="222" s="1"/>
  <c r="B37" i="222" s="1"/>
  <c r="B38" i="222" s="1"/>
  <c r="B39" i="222" s="1"/>
  <c r="B40" i="222" s="1"/>
  <c r="B41" i="222" s="1"/>
  <c r="B42" i="222" s="1"/>
  <c r="B43" i="222" s="1"/>
  <c r="B44" i="222" s="1"/>
  <c r="B45" i="222" s="1"/>
  <c r="B46" i="222" s="1"/>
  <c r="B47" i="222" s="1"/>
  <c r="B48" i="222" s="1"/>
  <c r="B49" i="222" s="1"/>
  <c r="B50" i="222" s="1"/>
  <c r="B51" i="222" s="1"/>
  <c r="B52" i="222" s="1"/>
  <c r="B53" i="222" s="1"/>
  <c r="B54" i="222" s="1"/>
  <c r="B5" i="221"/>
  <c r="B6" i="221"/>
  <c r="D14" i="221" s="1"/>
  <c r="B8" i="221"/>
  <c r="D13" i="221" s="1"/>
  <c r="D21" i="221" s="1"/>
  <c r="B14" i="221"/>
  <c r="B21" i="221"/>
  <c r="B22" i="221" s="1"/>
  <c r="B23" i="221" s="1"/>
  <c r="B24" i="221" s="1"/>
  <c r="B25" i="221" s="1"/>
  <c r="B26" i="221" s="1"/>
  <c r="B27" i="221" s="1"/>
  <c r="B28" i="221" s="1"/>
  <c r="B29" i="221" s="1"/>
  <c r="B30" i="221" s="1"/>
  <c r="B31" i="221" s="1"/>
  <c r="B32" i="221" s="1"/>
  <c r="B33" i="221" s="1"/>
  <c r="B34" i="221" s="1"/>
  <c r="B35" i="221" s="1"/>
  <c r="B36" i="221" s="1"/>
  <c r="B37" i="221" s="1"/>
  <c r="B38" i="221" s="1"/>
  <c r="B39" i="221" s="1"/>
  <c r="B40" i="221" s="1"/>
  <c r="B41" i="221" s="1"/>
  <c r="B42" i="221" s="1"/>
  <c r="B43" i="221" s="1"/>
  <c r="B44" i="221" s="1"/>
  <c r="B45" i="221" s="1"/>
  <c r="B46" i="221" s="1"/>
  <c r="B47" i="221" s="1"/>
  <c r="B48" i="221" s="1"/>
  <c r="B49" i="221" s="1"/>
  <c r="B50" i="221" s="1"/>
  <c r="B51" i="221" s="1"/>
  <c r="B52" i="221" s="1"/>
  <c r="B53" i="221" s="1"/>
  <c r="B5" i="148"/>
  <c r="B6" i="148"/>
  <c r="B7" i="148"/>
  <c r="B8" i="148"/>
  <c r="C12" i="148" s="1"/>
  <c r="C14" i="148" s="1"/>
  <c r="C15" i="148" s="1"/>
  <c r="B19" i="148"/>
  <c r="B20" i="148" s="1"/>
  <c r="B21" i="148" s="1"/>
  <c r="B22" i="148" s="1"/>
  <c r="B23" i="148" s="1"/>
  <c r="B24" i="148" s="1"/>
  <c r="B25" i="148" s="1"/>
  <c r="B26" i="148" s="1"/>
  <c r="B27" i="148" s="1"/>
  <c r="B28" i="148" s="1"/>
  <c r="B29" i="148" s="1"/>
  <c r="B30" i="148" s="1"/>
  <c r="B31" i="148" s="1"/>
  <c r="B32" i="148" s="1"/>
  <c r="B33" i="148" s="1"/>
  <c r="B34" i="148" s="1"/>
  <c r="B35" i="148" s="1"/>
  <c r="B36" i="148" s="1"/>
  <c r="B37" i="148" s="1"/>
  <c r="B38" i="148" s="1"/>
  <c r="B39" i="148" s="1"/>
  <c r="B40" i="148" s="1"/>
  <c r="B41" i="148" s="1"/>
  <c r="B42" i="148" s="1"/>
  <c r="B43" i="148" s="1"/>
  <c r="B44" i="148" s="1"/>
  <c r="B45" i="148" s="1"/>
  <c r="B46" i="148" s="1"/>
  <c r="B47" i="148" s="1"/>
  <c r="B48" i="148" s="1"/>
  <c r="B49" i="148" s="1"/>
  <c r="B50" i="148" s="1"/>
  <c r="B51" i="148" s="1"/>
  <c r="B52" i="148" s="1"/>
  <c r="B53" i="148" s="1"/>
  <c r="B54" i="148" s="1"/>
  <c r="B55" i="148" s="1"/>
  <c r="B56" i="148" s="1"/>
  <c r="B57" i="148" s="1"/>
  <c r="B58" i="148" s="1"/>
  <c r="B59" i="148" s="1"/>
  <c r="B60" i="148" s="1"/>
  <c r="B61" i="148" s="1"/>
  <c r="B62" i="148" s="1"/>
  <c r="B63" i="148" s="1"/>
  <c r="B64" i="148" s="1"/>
  <c r="B65" i="148" s="1"/>
  <c r="B66" i="148" s="1"/>
  <c r="B67" i="148" s="1"/>
  <c r="B68" i="148" s="1"/>
  <c r="B69" i="148" s="1"/>
  <c r="B70" i="148" s="1"/>
  <c r="B71" i="148" s="1"/>
  <c r="B72" i="148" s="1"/>
  <c r="B73" i="148" s="1"/>
  <c r="B74" i="148" s="1"/>
  <c r="B75" i="148" s="1"/>
  <c r="B5" i="147"/>
  <c r="B6" i="147"/>
  <c r="B7" i="147"/>
  <c r="B8" i="147"/>
  <c r="C12" i="147" s="1"/>
  <c r="B19" i="147"/>
  <c r="B20" i="147" s="1"/>
  <c r="B21" i="147" s="1"/>
  <c r="B22" i="147" s="1"/>
  <c r="B23" i="147" s="1"/>
  <c r="B24" i="147" s="1"/>
  <c r="B25" i="147" s="1"/>
  <c r="B26" i="147" s="1"/>
  <c r="B27" i="147" s="1"/>
  <c r="B28" i="147" s="1"/>
  <c r="B29" i="147" s="1"/>
  <c r="B30" i="147" s="1"/>
  <c r="B31" i="147" s="1"/>
  <c r="B32" i="147" s="1"/>
  <c r="B33" i="147" s="1"/>
  <c r="B34" i="147" s="1"/>
  <c r="B35" i="147" s="1"/>
  <c r="B36" i="147" s="1"/>
  <c r="B37" i="147" s="1"/>
  <c r="B38" i="147" s="1"/>
  <c r="B39" i="147" s="1"/>
  <c r="B40" i="147" s="1"/>
  <c r="B41" i="147" s="1"/>
  <c r="B42" i="147" s="1"/>
  <c r="B43" i="147" s="1"/>
  <c r="B44" i="147" s="1"/>
  <c r="B45" i="147" s="1"/>
  <c r="B46" i="147" s="1"/>
  <c r="B47" i="147" s="1"/>
  <c r="B48" i="147" s="1"/>
  <c r="B49" i="147" s="1"/>
  <c r="B50" i="147" s="1"/>
  <c r="B51" i="147" s="1"/>
  <c r="B52" i="147" s="1"/>
  <c r="B53" i="147" s="1"/>
  <c r="B54" i="147" s="1"/>
  <c r="B55" i="147" s="1"/>
  <c r="B56" i="147" s="1"/>
  <c r="B57" i="147" s="1"/>
  <c r="B58" i="147" s="1"/>
  <c r="B59" i="147" s="1"/>
  <c r="B60" i="147" s="1"/>
  <c r="B61" i="147" s="1"/>
  <c r="B62" i="147" s="1"/>
  <c r="B63" i="147" s="1"/>
  <c r="B64" i="147" s="1"/>
  <c r="B65" i="147" s="1"/>
  <c r="B66" i="147" s="1"/>
  <c r="B67" i="147" s="1"/>
  <c r="B68" i="147" s="1"/>
  <c r="B69" i="147" s="1"/>
  <c r="B70" i="147" s="1"/>
  <c r="B71" i="147" s="1"/>
  <c r="B72" i="147" s="1"/>
  <c r="B73" i="147" s="1"/>
  <c r="B74" i="147" s="1"/>
  <c r="B75" i="147" s="1"/>
  <c r="B5" i="136"/>
  <c r="B6" i="136"/>
  <c r="B7" i="136"/>
  <c r="B8" i="136"/>
  <c r="C12" i="136" s="1"/>
  <c r="C14" i="136" s="1"/>
  <c r="B19" i="136"/>
  <c r="B20" i="136" s="1"/>
  <c r="B21" i="136" s="1"/>
  <c r="B22" i="136" s="1"/>
  <c r="B23" i="136" s="1"/>
  <c r="B24" i="136" s="1"/>
  <c r="B25" i="136" s="1"/>
  <c r="B26" i="136" s="1"/>
  <c r="B27" i="136" s="1"/>
  <c r="B28" i="136" s="1"/>
  <c r="B29" i="136" s="1"/>
  <c r="B30" i="136" s="1"/>
  <c r="B31" i="136" s="1"/>
  <c r="B32" i="136" s="1"/>
  <c r="B33" i="136" s="1"/>
  <c r="B34" i="136" s="1"/>
  <c r="B35" i="136" s="1"/>
  <c r="B36" i="136" s="1"/>
  <c r="B37" i="136" s="1"/>
  <c r="B38" i="136" s="1"/>
  <c r="B39" i="136" s="1"/>
  <c r="B40" i="136" s="1"/>
  <c r="B41" i="136" s="1"/>
  <c r="B42" i="136" s="1"/>
  <c r="B43" i="136" s="1"/>
  <c r="B44" i="136" s="1"/>
  <c r="B5" i="135"/>
  <c r="B6" i="135"/>
  <c r="B7" i="135"/>
  <c r="B8" i="135"/>
  <c r="B19" i="135"/>
  <c r="B20" i="135" s="1"/>
  <c r="B21" i="135" s="1"/>
  <c r="B22" i="135" s="1"/>
  <c r="B23" i="135" s="1"/>
  <c r="B24" i="135" s="1"/>
  <c r="B25" i="135" s="1"/>
  <c r="B26" i="135" s="1"/>
  <c r="B27" i="135" s="1"/>
  <c r="B28" i="135" s="1"/>
  <c r="B29" i="135" s="1"/>
  <c r="B30" i="135" s="1"/>
  <c r="B31" i="135" s="1"/>
  <c r="B32" i="135" s="1"/>
  <c r="B33" i="135" s="1"/>
  <c r="B34" i="135" s="1"/>
  <c r="B35" i="135" s="1"/>
  <c r="B36" i="135" s="1"/>
  <c r="B37" i="135" s="1"/>
  <c r="B38" i="135" s="1"/>
  <c r="B39" i="135" s="1"/>
  <c r="B40" i="135" s="1"/>
  <c r="B41" i="135" s="1"/>
  <c r="B42" i="135" s="1"/>
  <c r="B43" i="135" s="1"/>
  <c r="B44" i="135" s="1"/>
  <c r="B5" i="131"/>
  <c r="B6" i="131"/>
  <c r="B7" i="131"/>
  <c r="B8" i="131"/>
  <c r="C12" i="131" s="1"/>
  <c r="C14" i="131" s="1"/>
  <c r="B21" i="131"/>
  <c r="B22" i="131" s="1"/>
  <c r="B23" i="131" s="1"/>
  <c r="B24" i="131" s="1"/>
  <c r="B25" i="131" s="1"/>
  <c r="B26" i="131" s="1"/>
  <c r="B27" i="131" s="1"/>
  <c r="B28" i="131" s="1"/>
  <c r="B29" i="131" s="1"/>
  <c r="B30" i="131" s="1"/>
  <c r="B31" i="131" s="1"/>
  <c r="B32" i="131" s="1"/>
  <c r="B33" i="131" s="1"/>
  <c r="B34" i="131" s="1"/>
  <c r="B35" i="131" s="1"/>
  <c r="B36" i="131" s="1"/>
  <c r="B37" i="131" s="1"/>
  <c r="B38" i="131" s="1"/>
  <c r="B39" i="131" s="1"/>
  <c r="B40" i="131" s="1"/>
  <c r="B41" i="131" s="1"/>
  <c r="B42" i="131" s="1"/>
  <c r="B43" i="131" s="1"/>
  <c r="B44" i="131" s="1"/>
  <c r="B45" i="131" s="1"/>
  <c r="B46" i="131" s="1"/>
  <c r="B47" i="131" s="1"/>
  <c r="B5" i="130"/>
  <c r="B6" i="130"/>
  <c r="B7" i="130"/>
  <c r="B8" i="130"/>
  <c r="C12" i="130" s="1"/>
  <c r="C13" i="130" s="1"/>
  <c r="B21" i="130"/>
  <c r="B22" i="130" s="1"/>
  <c r="B23" i="130" s="1"/>
  <c r="B24" i="130" s="1"/>
  <c r="B25" i="130" s="1"/>
  <c r="B26" i="130" s="1"/>
  <c r="B27" i="130" s="1"/>
  <c r="B28" i="130" s="1"/>
  <c r="B29" i="130" s="1"/>
  <c r="B30" i="130" s="1"/>
  <c r="B31" i="130" s="1"/>
  <c r="B32" i="130" s="1"/>
  <c r="B33" i="130" s="1"/>
  <c r="B34" i="130" s="1"/>
  <c r="B35" i="130" s="1"/>
  <c r="B36" i="130" s="1"/>
  <c r="B37" i="130" s="1"/>
  <c r="B38" i="130" s="1"/>
  <c r="B39" i="130" s="1"/>
  <c r="B40" i="130" s="1"/>
  <c r="B41" i="130" s="1"/>
  <c r="B42" i="130" s="1"/>
  <c r="B43" i="130" s="1"/>
  <c r="B44" i="130" s="1"/>
  <c r="B45" i="130" s="1"/>
  <c r="B46" i="130" s="1"/>
  <c r="B47" i="130" s="1"/>
  <c r="B5" i="129"/>
  <c r="B6" i="129"/>
  <c r="B7" i="129"/>
  <c r="B8" i="129"/>
  <c r="C12" i="129" s="1"/>
  <c r="C14" i="129" s="1"/>
  <c r="C15" i="129" s="1"/>
  <c r="B21" i="129"/>
  <c r="B22" i="129" s="1"/>
  <c r="B23" i="129" s="1"/>
  <c r="B24" i="129" s="1"/>
  <c r="B25" i="129" s="1"/>
  <c r="B26" i="129" s="1"/>
  <c r="B27" i="129" s="1"/>
  <c r="B28" i="129" s="1"/>
  <c r="B29" i="129" s="1"/>
  <c r="B30" i="129" s="1"/>
  <c r="B31" i="129" s="1"/>
  <c r="B32" i="129" s="1"/>
  <c r="B33" i="129" s="1"/>
  <c r="B34" i="129" s="1"/>
  <c r="B35" i="129" s="1"/>
  <c r="B36" i="129" s="1"/>
  <c r="B37" i="129" s="1"/>
  <c r="B38" i="129" s="1"/>
  <c r="B39" i="129" s="1"/>
  <c r="B40" i="129" s="1"/>
  <c r="B41" i="129" s="1"/>
  <c r="B42" i="129" s="1"/>
  <c r="B43" i="129" s="1"/>
  <c r="B44" i="129" s="1"/>
  <c r="B45" i="129" s="1"/>
  <c r="B46" i="129" s="1"/>
  <c r="B47" i="129" s="1"/>
  <c r="B5" i="128"/>
  <c r="B6" i="128"/>
  <c r="B7" i="128"/>
  <c r="B8" i="128"/>
  <c r="C12" i="128" s="1"/>
  <c r="C13" i="128" s="1"/>
  <c r="C14" i="128" s="1"/>
  <c r="B21" i="128"/>
  <c r="B22" i="128" s="1"/>
  <c r="B23" i="128" s="1"/>
  <c r="B24" i="128" s="1"/>
  <c r="B25" i="128" s="1"/>
  <c r="B26" i="128" s="1"/>
  <c r="B27" i="128" s="1"/>
  <c r="B28" i="128" s="1"/>
  <c r="B29" i="128" s="1"/>
  <c r="B30" i="128" s="1"/>
  <c r="B31" i="128" s="1"/>
  <c r="B32" i="128" s="1"/>
  <c r="B33" i="128" s="1"/>
  <c r="B34" i="128" s="1"/>
  <c r="B35" i="128" s="1"/>
  <c r="B36" i="128" s="1"/>
  <c r="B37" i="128" s="1"/>
  <c r="B38" i="128" s="1"/>
  <c r="B39" i="128" s="1"/>
  <c r="B40" i="128" s="1"/>
  <c r="B41" i="128" s="1"/>
  <c r="B42" i="128" s="1"/>
  <c r="B43" i="128" s="1"/>
  <c r="B44" i="128" s="1"/>
  <c r="B45" i="128" s="1"/>
  <c r="B46" i="128" s="1"/>
  <c r="B47" i="128" s="1"/>
  <c r="B5" i="134"/>
  <c r="B6" i="134"/>
  <c r="B7" i="134"/>
  <c r="B8" i="134"/>
  <c r="C12" i="134" s="1"/>
  <c r="C14" i="134" s="1"/>
  <c r="C15" i="134" s="1"/>
  <c r="B21" i="134"/>
  <c r="B22" i="134" s="1"/>
  <c r="B23" i="134" s="1"/>
  <c r="B24" i="134" s="1"/>
  <c r="B25" i="134" s="1"/>
  <c r="B26" i="134" s="1"/>
  <c r="B27" i="134" s="1"/>
  <c r="B28" i="134" s="1"/>
  <c r="B29" i="134" s="1"/>
  <c r="B30" i="134" s="1"/>
  <c r="B31" i="134" s="1"/>
  <c r="B32" i="134" s="1"/>
  <c r="B33" i="134" s="1"/>
  <c r="B34" i="134" s="1"/>
  <c r="B35" i="134" s="1"/>
  <c r="B5" i="51"/>
  <c r="B6" i="51"/>
  <c r="B7" i="51"/>
  <c r="B8" i="51"/>
  <c r="C12" i="51" s="1"/>
  <c r="C13" i="51" s="1"/>
  <c r="C14" i="51" s="1"/>
  <c r="B21" i="51"/>
  <c r="B22" i="51" s="1"/>
  <c r="B23" i="51" s="1"/>
  <c r="B24" i="51" s="1"/>
  <c r="B25" i="51" s="1"/>
  <c r="B26" i="51" s="1"/>
  <c r="B27" i="51" s="1"/>
  <c r="B28" i="51" s="1"/>
  <c r="B29" i="51" s="1"/>
  <c r="B30" i="51" s="1"/>
  <c r="B31" i="51" s="1"/>
  <c r="B32" i="51" s="1"/>
  <c r="B33" i="51" s="1"/>
  <c r="B34" i="51" s="1"/>
  <c r="B35" i="51" s="1"/>
  <c r="B5" i="133"/>
  <c r="B6" i="133"/>
  <c r="B7" i="133"/>
  <c r="B8" i="133"/>
  <c r="C12" i="133" s="1"/>
  <c r="C14" i="133" s="1"/>
  <c r="C15" i="133" s="1"/>
  <c r="C16" i="133" s="1"/>
  <c r="B21" i="133"/>
  <c r="B22" i="133" s="1"/>
  <c r="B5" i="132"/>
  <c r="B6" i="132"/>
  <c r="B7" i="132"/>
  <c r="B8" i="132"/>
  <c r="C12" i="132" s="1"/>
  <c r="C13" i="132" s="1"/>
  <c r="C14" i="132" s="1"/>
  <c r="B21" i="132"/>
  <c r="B22" i="132" s="1"/>
  <c r="E6" i="238"/>
  <c r="F6" i="238"/>
  <c r="M6" i="238"/>
  <c r="N6" i="238"/>
  <c r="E7" i="238"/>
  <c r="F7" i="238"/>
  <c r="M7" i="238"/>
  <c r="N7" i="238"/>
  <c r="E8" i="238"/>
  <c r="F8" i="238"/>
  <c r="M8" i="238"/>
  <c r="N8" i="238"/>
  <c r="E9" i="238"/>
  <c r="F9" i="238"/>
  <c r="M9" i="238"/>
  <c r="N9" i="238"/>
  <c r="E10" i="238"/>
  <c r="F10" i="238"/>
  <c r="M10" i="238"/>
  <c r="N10" i="238"/>
  <c r="E11" i="238"/>
  <c r="F11" i="238"/>
  <c r="M11" i="238"/>
  <c r="N11" i="238"/>
  <c r="E12" i="238"/>
  <c r="F12" i="238"/>
  <c r="M12" i="238"/>
  <c r="N12" i="238"/>
  <c r="E13" i="238"/>
  <c r="F13" i="238"/>
  <c r="M13" i="238"/>
  <c r="N13" i="238"/>
  <c r="E14" i="238"/>
  <c r="F14" i="238"/>
  <c r="M14" i="238"/>
  <c r="N14" i="238"/>
  <c r="E15" i="238"/>
  <c r="F15" i="238"/>
  <c r="M15" i="238"/>
  <c r="N15" i="238"/>
  <c r="E16" i="238"/>
  <c r="F16" i="238"/>
  <c r="M16" i="238"/>
  <c r="N16" i="238"/>
  <c r="E17" i="238"/>
  <c r="F17" i="238"/>
  <c r="M17" i="238"/>
  <c r="N17" i="238"/>
  <c r="E18" i="238"/>
  <c r="F18" i="238"/>
  <c r="M18" i="238"/>
  <c r="N18" i="238"/>
  <c r="M19" i="238"/>
  <c r="N19" i="238"/>
  <c r="E20" i="238"/>
  <c r="F20" i="238"/>
  <c r="M20" i="238"/>
  <c r="N20" i="238"/>
  <c r="E21" i="238"/>
  <c r="F21" i="238"/>
  <c r="M21" i="238"/>
  <c r="N21" i="238"/>
  <c r="E22" i="238"/>
  <c r="F22" i="238"/>
  <c r="M22" i="238"/>
  <c r="N22" i="238"/>
  <c r="M23" i="238"/>
  <c r="N23" i="238"/>
  <c r="M24" i="238"/>
  <c r="N24" i="238"/>
  <c r="M25" i="238"/>
  <c r="N25" i="238"/>
  <c r="M26" i="238"/>
  <c r="N26" i="238"/>
  <c r="M27" i="238"/>
  <c r="N27" i="238"/>
  <c r="M28" i="238"/>
  <c r="N28" i="238"/>
  <c r="M29" i="238"/>
  <c r="N29" i="238"/>
  <c r="M30" i="238"/>
  <c r="N30" i="238"/>
  <c r="M31" i="238"/>
  <c r="N31" i="238"/>
  <c r="C9" i="237"/>
  <c r="D13" i="237" s="1"/>
  <c r="C9" i="239"/>
  <c r="D13" i="239" s="1"/>
  <c r="C7" i="244"/>
  <c r="C9" i="244"/>
  <c r="D13" i="244" s="1"/>
  <c r="C9" i="229"/>
  <c r="D13" i="229" s="1"/>
  <c r="C7" i="150"/>
  <c r="B7" i="221"/>
  <c r="B9" i="223"/>
  <c r="C13" i="223" s="1"/>
  <c r="B7" i="223"/>
  <c r="C7" i="229"/>
  <c r="C9" i="150"/>
  <c r="D13" i="150" s="1"/>
  <c r="C7" i="239"/>
  <c r="C7" i="250" l="1"/>
  <c r="C7" i="249"/>
  <c r="C7" i="245"/>
  <c r="C7" i="248"/>
  <c r="C12" i="4"/>
  <c r="D14" i="248"/>
  <c r="D15" i="248" s="1"/>
  <c r="D14" i="247"/>
  <c r="D15" i="247" s="1"/>
  <c r="C16" i="148"/>
  <c r="D75" i="148" s="1"/>
  <c r="D16" i="246"/>
  <c r="D19" i="246" s="1"/>
  <c r="E23" i="246"/>
  <c r="G23" i="246" s="1"/>
  <c r="E14" i="225"/>
  <c r="E13" i="225"/>
  <c r="E24" i="225" s="1"/>
  <c r="G24" i="225" s="1"/>
  <c r="D14" i="244"/>
  <c r="E25" i="244"/>
  <c r="G25" i="244" s="1"/>
  <c r="G25" i="248"/>
  <c r="D14" i="239"/>
  <c r="D14" i="150"/>
  <c r="D16" i="150" s="1"/>
  <c r="D17" i="150" s="1"/>
  <c r="E25" i="236"/>
  <c r="D14" i="245"/>
  <c r="D16" i="245" s="1"/>
  <c r="D17" i="245" s="1"/>
  <c r="D14" i="237"/>
  <c r="D15" i="237" s="1"/>
  <c r="D14" i="240"/>
  <c r="D15" i="240" s="1"/>
  <c r="D14" i="229"/>
  <c r="D15" i="229" s="1"/>
  <c r="C14" i="130"/>
  <c r="C7" i="240"/>
  <c r="C15" i="51"/>
  <c r="C16" i="51" s="1"/>
  <c r="C18" i="51" s="1"/>
  <c r="C15" i="132"/>
  <c r="C16" i="132" s="1"/>
  <c r="C18" i="132" s="1"/>
  <c r="C16" i="129"/>
  <c r="C17" i="133"/>
  <c r="C18" i="133" s="1"/>
  <c r="C13" i="147"/>
  <c r="C14" i="147" s="1"/>
  <c r="C16" i="147" s="1"/>
  <c r="C12" i="135"/>
  <c r="E19" i="135"/>
  <c r="C15" i="128"/>
  <c r="C16" i="128" s="1"/>
  <c r="C18" i="128" s="1"/>
  <c r="C15" i="131"/>
  <c r="C16" i="131" s="1"/>
  <c r="C15" i="136"/>
  <c r="C16" i="136" s="1"/>
  <c r="C16" i="134"/>
  <c r="D16" i="222"/>
  <c r="C14" i="223"/>
  <c r="B7" i="224"/>
  <c r="C7" i="237"/>
  <c r="C7" i="236"/>
  <c r="C7" i="225"/>
  <c r="B7" i="222"/>
  <c r="C7" i="242"/>
  <c r="C9" i="236"/>
  <c r="B9" i="222"/>
  <c r="C13" i="222" s="1"/>
  <c r="C15" i="222" s="1"/>
  <c r="C9" i="242"/>
  <c r="D13" i="242" s="1"/>
  <c r="D14" i="242" s="1"/>
  <c r="C9" i="243"/>
  <c r="D13" i="243" s="1"/>
  <c r="B9" i="221"/>
  <c r="C13" i="221" s="1"/>
  <c r="B9" i="224"/>
  <c r="C13" i="224" s="1"/>
  <c r="C15" i="224" s="1"/>
  <c r="C16" i="224" s="1"/>
  <c r="C9" i="225"/>
  <c r="E19" i="148" l="1"/>
  <c r="D27" i="148"/>
  <c r="D28" i="148" s="1"/>
  <c r="D29" i="148" s="1"/>
  <c r="D30" i="148" s="1"/>
  <c r="D31" i="148" s="1"/>
  <c r="D32" i="148" s="1"/>
  <c r="D33" i="148" s="1"/>
  <c r="D34" i="148" s="1"/>
  <c r="D35" i="148" s="1"/>
  <c r="D36" i="148" s="1"/>
  <c r="D37" i="148" s="1"/>
  <c r="D38" i="148" s="1"/>
  <c r="D39" i="148" s="1"/>
  <c r="D40" i="148" s="1"/>
  <c r="D41" i="148" s="1"/>
  <c r="D42" i="148" s="1"/>
  <c r="D43" i="148" s="1"/>
  <c r="D44" i="148" s="1"/>
  <c r="D45" i="148" s="1"/>
  <c r="D46" i="148" s="1"/>
  <c r="D47" i="148" s="1"/>
  <c r="D48" i="148" s="1"/>
  <c r="D49" i="148" s="1"/>
  <c r="D50" i="148" s="1"/>
  <c r="D51" i="148" s="1"/>
  <c r="D52" i="148" s="1"/>
  <c r="D53" i="148" s="1"/>
  <c r="D54" i="148" s="1"/>
  <c r="D55" i="148" s="1"/>
  <c r="D56" i="148" s="1"/>
  <c r="D57" i="148" s="1"/>
  <c r="D58" i="148" s="1"/>
  <c r="D59" i="148" s="1"/>
  <c r="D60" i="148" s="1"/>
  <c r="D61" i="148" s="1"/>
  <c r="D62" i="148" s="1"/>
  <c r="D63" i="148" s="1"/>
  <c r="D64" i="148" s="1"/>
  <c r="D65" i="148" s="1"/>
  <c r="D66" i="148" s="1"/>
  <c r="D67" i="148" s="1"/>
  <c r="D68" i="148" s="1"/>
  <c r="D69" i="148" s="1"/>
  <c r="D70" i="148" s="1"/>
  <c r="D71" i="148" s="1"/>
  <c r="D72" i="148" s="1"/>
  <c r="D73" i="148" s="1"/>
  <c r="D74" i="148" s="1"/>
  <c r="D17" i="248"/>
  <c r="D20" i="248" s="1"/>
  <c r="D21" i="148"/>
  <c r="D22" i="148" s="1"/>
  <c r="D23" i="148" s="1"/>
  <c r="D24" i="148" s="1"/>
  <c r="D25" i="148" s="1"/>
  <c r="D26" i="148" s="1"/>
  <c r="D20" i="148"/>
  <c r="D76" i="148" s="1"/>
  <c r="D13" i="236"/>
  <c r="D14" i="236" s="1"/>
  <c r="D17" i="247"/>
  <c r="E30" i="247" s="1"/>
  <c r="D17" i="237"/>
  <c r="D18" i="237" s="1"/>
  <c r="D17" i="240"/>
  <c r="D18" i="240" s="1"/>
  <c r="D17" i="229"/>
  <c r="D18" i="229" s="1"/>
  <c r="D13" i="225"/>
  <c r="D14" i="225" s="1"/>
  <c r="D18" i="246"/>
  <c r="D15" i="244"/>
  <c r="D17" i="244" s="1"/>
  <c r="D20" i="244" s="1"/>
  <c r="D15" i="242"/>
  <c r="D17" i="242" s="1"/>
  <c r="D20" i="242" s="1"/>
  <c r="D15" i="239"/>
  <c r="D17" i="239" s="1"/>
  <c r="D20" i="239" s="1"/>
  <c r="G25" i="236"/>
  <c r="D14" i="243"/>
  <c r="D15" i="243" s="1"/>
  <c r="C15" i="130"/>
  <c r="C16" i="130" s="1"/>
  <c r="C18" i="130" s="1"/>
  <c r="D22" i="128"/>
  <c r="D48" i="128" s="1"/>
  <c r="D23" i="128"/>
  <c r="D24" i="128" s="1"/>
  <c r="D25" i="128" s="1"/>
  <c r="D26" i="128" s="1"/>
  <c r="D27" i="128" s="1"/>
  <c r="D28" i="128" s="1"/>
  <c r="D29" i="128" s="1"/>
  <c r="D30" i="128" s="1"/>
  <c r="D31" i="128" s="1"/>
  <c r="D32" i="128" s="1"/>
  <c r="D33" i="128" s="1"/>
  <c r="D34" i="128" s="1"/>
  <c r="D35" i="128" s="1"/>
  <c r="D36" i="128" s="1"/>
  <c r="D37" i="128" s="1"/>
  <c r="D38" i="128" s="1"/>
  <c r="D39" i="128" s="1"/>
  <c r="D40" i="128" s="1"/>
  <c r="D41" i="128" s="1"/>
  <c r="D42" i="128" s="1"/>
  <c r="D43" i="128" s="1"/>
  <c r="D44" i="128" s="1"/>
  <c r="D45" i="128" s="1"/>
  <c r="D46" i="128" s="1"/>
  <c r="D47" i="128"/>
  <c r="E21" i="128"/>
  <c r="E19" i="147"/>
  <c r="D20" i="147"/>
  <c r="D76" i="147" s="1"/>
  <c r="D27" i="147"/>
  <c r="D28" i="147" s="1"/>
  <c r="D29" i="147" s="1"/>
  <c r="D30" i="147" s="1"/>
  <c r="D31" i="147" s="1"/>
  <c r="D32" i="147" s="1"/>
  <c r="D33" i="147" s="1"/>
  <c r="D34" i="147" s="1"/>
  <c r="D35" i="147" s="1"/>
  <c r="D36" i="147" s="1"/>
  <c r="D37" i="147" s="1"/>
  <c r="D38" i="147" s="1"/>
  <c r="D39" i="147" s="1"/>
  <c r="D40" i="147" s="1"/>
  <c r="D41" i="147" s="1"/>
  <c r="D42" i="147" s="1"/>
  <c r="D43" i="147" s="1"/>
  <c r="D44" i="147" s="1"/>
  <c r="D45" i="147" s="1"/>
  <c r="D46" i="147" s="1"/>
  <c r="D47" i="147" s="1"/>
  <c r="D48" i="147" s="1"/>
  <c r="D49" i="147" s="1"/>
  <c r="D50" i="147" s="1"/>
  <c r="D51" i="147" s="1"/>
  <c r="D52" i="147" s="1"/>
  <c r="D53" i="147" s="1"/>
  <c r="D54" i="147" s="1"/>
  <c r="D55" i="147" s="1"/>
  <c r="D56" i="147" s="1"/>
  <c r="D57" i="147" s="1"/>
  <c r="D58" i="147" s="1"/>
  <c r="D59" i="147" s="1"/>
  <c r="D60" i="147" s="1"/>
  <c r="D61" i="147" s="1"/>
  <c r="D62" i="147" s="1"/>
  <c r="D63" i="147" s="1"/>
  <c r="D64" i="147" s="1"/>
  <c r="D65" i="147" s="1"/>
  <c r="D66" i="147" s="1"/>
  <c r="D67" i="147" s="1"/>
  <c r="D68" i="147" s="1"/>
  <c r="D69" i="147" s="1"/>
  <c r="D70" i="147" s="1"/>
  <c r="D71" i="147" s="1"/>
  <c r="D72" i="147" s="1"/>
  <c r="D73" i="147" s="1"/>
  <c r="D74" i="147" s="1"/>
  <c r="D21" i="147"/>
  <c r="D22" i="147" s="1"/>
  <c r="D23" i="147" s="1"/>
  <c r="D24" i="147" s="1"/>
  <c r="D25" i="147" s="1"/>
  <c r="D26" i="147" s="1"/>
  <c r="D75" i="147"/>
  <c r="E21" i="51"/>
  <c r="D23" i="51"/>
  <c r="D24" i="51" s="1"/>
  <c r="D25" i="51" s="1"/>
  <c r="D26" i="51" s="1"/>
  <c r="D27" i="51" s="1"/>
  <c r="D28" i="51" s="1"/>
  <c r="D29" i="51" s="1"/>
  <c r="D30" i="51" s="1"/>
  <c r="D31" i="51" s="1"/>
  <c r="D32" i="51" s="1"/>
  <c r="D33" i="51" s="1"/>
  <c r="D34" i="51" s="1"/>
  <c r="D22" i="51"/>
  <c r="D36" i="51" s="1"/>
  <c r="D35" i="51"/>
  <c r="E21" i="133"/>
  <c r="D22" i="133"/>
  <c r="D23" i="133" s="1"/>
  <c r="C17" i="129"/>
  <c r="C18" i="129" s="1"/>
  <c r="E21" i="132"/>
  <c r="D22" i="132"/>
  <c r="D23" i="132" s="1"/>
  <c r="C13" i="135"/>
  <c r="C14" i="135" s="1"/>
  <c r="C16" i="135" s="1"/>
  <c r="C14" i="221"/>
  <c r="C19" i="224"/>
  <c r="C20" i="224"/>
  <c r="C21" i="224" s="1"/>
  <c r="E19" i="136"/>
  <c r="D20" i="136"/>
  <c r="D44" i="136"/>
  <c r="D26" i="136"/>
  <c r="D27" i="136" s="1"/>
  <c r="D28" i="136" s="1"/>
  <c r="D29" i="136" s="1"/>
  <c r="D30" i="136" s="1"/>
  <c r="D31" i="136" s="1"/>
  <c r="D32" i="136" s="1"/>
  <c r="D33" i="136" s="1"/>
  <c r="D34" i="136" s="1"/>
  <c r="D35" i="136" s="1"/>
  <c r="D36" i="136" s="1"/>
  <c r="D37" i="136" s="1"/>
  <c r="D38" i="136" s="1"/>
  <c r="D39" i="136" s="1"/>
  <c r="D40" i="136" s="1"/>
  <c r="D41" i="136" s="1"/>
  <c r="D42" i="136" s="1"/>
  <c r="D43" i="136" s="1"/>
  <c r="C17" i="131"/>
  <c r="C18" i="131" s="1"/>
  <c r="C17" i="223"/>
  <c r="C18" i="223" s="1"/>
  <c r="C20" i="223" s="1"/>
  <c r="C16" i="222"/>
  <c r="C17" i="134"/>
  <c r="C18" i="134" s="1"/>
  <c r="E20" i="148" l="1"/>
  <c r="E21" i="148" s="1"/>
  <c r="E22" i="148" s="1"/>
  <c r="E23" i="148" s="1"/>
  <c r="E24" i="148" s="1"/>
  <c r="E25" i="148" s="1"/>
  <c r="E26" i="148" s="1"/>
  <c r="E27" i="148" s="1"/>
  <c r="E28" i="148" s="1"/>
  <c r="E29" i="148" s="1"/>
  <c r="E30" i="148" s="1"/>
  <c r="E31" i="148" s="1"/>
  <c r="E32" i="148" s="1"/>
  <c r="E33" i="148" s="1"/>
  <c r="E34" i="148" s="1"/>
  <c r="E35" i="148" s="1"/>
  <c r="E36" i="148" s="1"/>
  <c r="E37" i="148" s="1"/>
  <c r="E38" i="148" s="1"/>
  <c r="E39" i="148" s="1"/>
  <c r="E40" i="148" s="1"/>
  <c r="E41" i="148" s="1"/>
  <c r="E42" i="148" s="1"/>
  <c r="E43" i="148" s="1"/>
  <c r="E44" i="148" s="1"/>
  <c r="E45" i="148" s="1"/>
  <c r="E46" i="148" s="1"/>
  <c r="E47" i="148" s="1"/>
  <c r="E48" i="148" s="1"/>
  <c r="E49" i="148" s="1"/>
  <c r="E50" i="148" s="1"/>
  <c r="E51" i="148" s="1"/>
  <c r="E52" i="148" s="1"/>
  <c r="E53" i="148" s="1"/>
  <c r="E54" i="148" s="1"/>
  <c r="E55" i="148" s="1"/>
  <c r="E56" i="148" s="1"/>
  <c r="E57" i="148" s="1"/>
  <c r="E58" i="148" s="1"/>
  <c r="E59" i="148" s="1"/>
  <c r="E60" i="148" s="1"/>
  <c r="E61" i="148" s="1"/>
  <c r="E62" i="148" s="1"/>
  <c r="E63" i="148" s="1"/>
  <c r="E64" i="148" s="1"/>
  <c r="E65" i="148" s="1"/>
  <c r="E66" i="148" s="1"/>
  <c r="E67" i="148" s="1"/>
  <c r="E68" i="148" s="1"/>
  <c r="E69" i="148" s="1"/>
  <c r="E70" i="148" s="1"/>
  <c r="E71" i="148" s="1"/>
  <c r="E72" i="148" s="1"/>
  <c r="E73" i="148" s="1"/>
  <c r="E74" i="148" s="1"/>
  <c r="E75" i="148" s="1"/>
  <c r="D19" i="248"/>
  <c r="E59" i="248" s="1"/>
  <c r="E59" i="247"/>
  <c r="E27" i="247"/>
  <c r="E34" i="247"/>
  <c r="E26" i="247"/>
  <c r="E38" i="247"/>
  <c r="E47" i="247"/>
  <c r="E54" i="247"/>
  <c r="E31" i="247"/>
  <c r="E43" i="247"/>
  <c r="E50" i="247"/>
  <c r="E51" i="247"/>
  <c r="E35" i="247"/>
  <c r="E58" i="247"/>
  <c r="E42" i="247"/>
  <c r="E55" i="247"/>
  <c r="E39" i="247"/>
  <c r="E62" i="247"/>
  <c r="E46" i="247"/>
  <c r="E28" i="247"/>
  <c r="E57" i="247"/>
  <c r="E49" i="247"/>
  <c r="E41" i="247"/>
  <c r="E33" i="247"/>
  <c r="E24" i="247"/>
  <c r="E56" i="247"/>
  <c r="E48" i="247"/>
  <c r="E40" i="247"/>
  <c r="E32" i="247"/>
  <c r="E61" i="247"/>
  <c r="E53" i="247"/>
  <c r="E45" i="247"/>
  <c r="E37" i="247"/>
  <c r="E29" i="247"/>
  <c r="E60" i="247"/>
  <c r="E52" i="247"/>
  <c r="E44" i="247"/>
  <c r="E36" i="247"/>
  <c r="D17" i="243"/>
  <c r="D18" i="243" s="1"/>
  <c r="D18" i="247"/>
  <c r="F60" i="247" s="1"/>
  <c r="F27" i="246"/>
  <c r="F31" i="246"/>
  <c r="F35" i="246"/>
  <c r="F39" i="246"/>
  <c r="F43" i="246"/>
  <c r="F47" i="246"/>
  <c r="F51" i="246"/>
  <c r="F55" i="246"/>
  <c r="F59" i="246"/>
  <c r="F63" i="246"/>
  <c r="F67" i="246"/>
  <c r="F71" i="246"/>
  <c r="F75" i="246"/>
  <c r="F79" i="246"/>
  <c r="F83" i="246"/>
  <c r="F28" i="246"/>
  <c r="F32" i="246"/>
  <c r="F36" i="246"/>
  <c r="F40" i="246"/>
  <c r="F44" i="246"/>
  <c r="F48" i="246"/>
  <c r="F52" i="246"/>
  <c r="F56" i="246"/>
  <c r="F60" i="246"/>
  <c r="F64" i="246"/>
  <c r="F68" i="246"/>
  <c r="F72" i="246"/>
  <c r="F76" i="246"/>
  <c r="F80" i="246"/>
  <c r="F84" i="246"/>
  <c r="F29" i="246"/>
  <c r="F37" i="246"/>
  <c r="F45" i="246"/>
  <c r="F53" i="246"/>
  <c r="F61" i="246"/>
  <c r="F69" i="246"/>
  <c r="F77" i="246"/>
  <c r="F25" i="246"/>
  <c r="F30" i="246"/>
  <c r="F38" i="246"/>
  <c r="F46" i="246"/>
  <c r="F54" i="246"/>
  <c r="F62" i="246"/>
  <c r="F70" i="246"/>
  <c r="F78" i="246"/>
  <c r="F26" i="246"/>
  <c r="F34" i="246"/>
  <c r="F50" i="246"/>
  <c r="F66" i="246"/>
  <c r="F74" i="246"/>
  <c r="F33" i="246"/>
  <c r="F41" i="246"/>
  <c r="F49" i="246"/>
  <c r="F57" i="246"/>
  <c r="F65" i="246"/>
  <c r="F73" i="246"/>
  <c r="F81" i="246"/>
  <c r="F42" i="246"/>
  <c r="F58" i="246"/>
  <c r="F82" i="246"/>
  <c r="D20" i="246"/>
  <c r="H23" i="246" s="1"/>
  <c r="E27" i="246"/>
  <c r="E31" i="246"/>
  <c r="E35" i="246"/>
  <c r="E39" i="246"/>
  <c r="E43" i="246"/>
  <c r="E47" i="246"/>
  <c r="E51" i="246"/>
  <c r="E55" i="246"/>
  <c r="E59" i="246"/>
  <c r="E63" i="246"/>
  <c r="E67" i="246"/>
  <c r="E71" i="246"/>
  <c r="E75" i="246"/>
  <c r="E79" i="246"/>
  <c r="E83" i="246"/>
  <c r="E28" i="246"/>
  <c r="E32" i="246"/>
  <c r="E36" i="246"/>
  <c r="E40" i="246"/>
  <c r="E44" i="246"/>
  <c r="E48" i="246"/>
  <c r="E33" i="246"/>
  <c r="E41" i="246"/>
  <c r="G41" i="246" s="1"/>
  <c r="E49" i="246"/>
  <c r="G49" i="246" s="1"/>
  <c r="E54" i="246"/>
  <c r="G54" i="246" s="1"/>
  <c r="E60" i="246"/>
  <c r="E65" i="246"/>
  <c r="E70" i="246"/>
  <c r="E76" i="246"/>
  <c r="E81" i="246"/>
  <c r="E26" i="246"/>
  <c r="E34" i="246"/>
  <c r="E42" i="246"/>
  <c r="G42" i="246" s="1"/>
  <c r="E50" i="246"/>
  <c r="E56" i="246"/>
  <c r="E61" i="246"/>
  <c r="E66" i="246"/>
  <c r="E72" i="246"/>
  <c r="G72" i="246" s="1"/>
  <c r="E77" i="246"/>
  <c r="E82" i="246"/>
  <c r="E62" i="246"/>
  <c r="E73" i="246"/>
  <c r="E84" i="246"/>
  <c r="E30" i="246"/>
  <c r="E46" i="246"/>
  <c r="E58" i="246"/>
  <c r="G58" i="246" s="1"/>
  <c r="E69" i="246"/>
  <c r="G69" i="246" s="1"/>
  <c r="E80" i="246"/>
  <c r="G80" i="246" s="1"/>
  <c r="E29" i="246"/>
  <c r="E37" i="246"/>
  <c r="E45" i="246"/>
  <c r="E52" i="246"/>
  <c r="E57" i="246"/>
  <c r="G57" i="246" s="1"/>
  <c r="E68" i="246"/>
  <c r="E78" i="246"/>
  <c r="E38" i="246"/>
  <c r="E53" i="246"/>
  <c r="G53" i="246" s="1"/>
  <c r="E64" i="246"/>
  <c r="E74" i="246"/>
  <c r="E25" i="246"/>
  <c r="D16" i="225"/>
  <c r="D19" i="225" s="1"/>
  <c r="E55" i="248"/>
  <c r="F57" i="248"/>
  <c r="F58" i="248"/>
  <c r="F50" i="248"/>
  <c r="F42" i="248"/>
  <c r="F34" i="248"/>
  <c r="F63" i="248"/>
  <c r="F53" i="248"/>
  <c r="F39" i="248"/>
  <c r="F41" i="248"/>
  <c r="F26" i="248"/>
  <c r="F28" i="248"/>
  <c r="F45" i="248"/>
  <c r="F64" i="248"/>
  <c r="F56" i="248"/>
  <c r="F48" i="248"/>
  <c r="F40" i="248"/>
  <c r="F32" i="248"/>
  <c r="F61" i="248"/>
  <c r="F51" i="248"/>
  <c r="F35" i="248"/>
  <c r="F37" i="248"/>
  <c r="F31" i="248"/>
  <c r="F62" i="248"/>
  <c r="F54" i="248"/>
  <c r="F46" i="248"/>
  <c r="F38" i="248"/>
  <c r="F30" i="248"/>
  <c r="F59" i="248"/>
  <c r="F47" i="248"/>
  <c r="F49" i="248"/>
  <c r="F33" i="248"/>
  <c r="F60" i="248"/>
  <c r="F52" i="248"/>
  <c r="F44" i="248"/>
  <c r="F36" i="248"/>
  <c r="F55" i="248"/>
  <c r="F43" i="248"/>
  <c r="F29" i="248"/>
  <c r="D19" i="242"/>
  <c r="D19" i="239"/>
  <c r="D15" i="236"/>
  <c r="D17" i="236" s="1"/>
  <c r="D20" i="236" s="1"/>
  <c r="F25" i="245"/>
  <c r="F29" i="245"/>
  <c r="F26" i="245"/>
  <c r="F30" i="245"/>
  <c r="F34" i="245"/>
  <c r="F38" i="245"/>
  <c r="F42" i="245"/>
  <c r="F46" i="245"/>
  <c r="F50" i="245"/>
  <c r="F54" i="245"/>
  <c r="F58" i="245"/>
  <c r="F62" i="245"/>
  <c r="F66" i="245"/>
  <c r="F70" i="245"/>
  <c r="F74" i="245"/>
  <c r="F78" i="245"/>
  <c r="F82" i="245"/>
  <c r="F28" i="245"/>
  <c r="F32" i="245"/>
  <c r="F40" i="245"/>
  <c r="F44" i="245"/>
  <c r="F52" i="245"/>
  <c r="F56" i="245"/>
  <c r="F64" i="245"/>
  <c r="F68" i="245"/>
  <c r="F76" i="245"/>
  <c r="F24" i="245"/>
  <c r="F33" i="245"/>
  <c r="F37" i="245"/>
  <c r="F41" i="245"/>
  <c r="F45" i="245"/>
  <c r="F49" i="245"/>
  <c r="F53" i="245"/>
  <c r="F57" i="245"/>
  <c r="F61" i="245"/>
  <c r="F65" i="245"/>
  <c r="F69" i="245"/>
  <c r="F73" i="245"/>
  <c r="F77" i="245"/>
  <c r="F81" i="245"/>
  <c r="F27" i="245"/>
  <c r="F31" i="245"/>
  <c r="F35" i="245"/>
  <c r="F39" i="245"/>
  <c r="F43" i="245"/>
  <c r="F47" i="245"/>
  <c r="F51" i="245"/>
  <c r="F55" i="245"/>
  <c r="F59" i="245"/>
  <c r="F63" i="245"/>
  <c r="F67" i="245"/>
  <c r="F71" i="245"/>
  <c r="F75" i="245"/>
  <c r="F79" i="245"/>
  <c r="F83" i="245"/>
  <c r="F36" i="245"/>
  <c r="F48" i="245"/>
  <c r="F60" i="245"/>
  <c r="F72" i="245"/>
  <c r="F80" i="245"/>
  <c r="E27" i="245"/>
  <c r="E31" i="245"/>
  <c r="E35" i="245"/>
  <c r="E39" i="245"/>
  <c r="E43" i="245"/>
  <c r="E47" i="245"/>
  <c r="E51" i="245"/>
  <c r="E55" i="245"/>
  <c r="E59" i="245"/>
  <c r="E63" i="245"/>
  <c r="E67" i="245"/>
  <c r="E71" i="245"/>
  <c r="E75" i="245"/>
  <c r="E79" i="245"/>
  <c r="E83" i="245"/>
  <c r="E28" i="245"/>
  <c r="E32" i="245"/>
  <c r="E36" i="245"/>
  <c r="E40" i="245"/>
  <c r="E44" i="245"/>
  <c r="E48" i="245"/>
  <c r="E52" i="245"/>
  <c r="E26" i="245"/>
  <c r="E34" i="245"/>
  <c r="E42" i="245"/>
  <c r="E50" i="245"/>
  <c r="E57" i="245"/>
  <c r="E62" i="245"/>
  <c r="G62" i="245" s="1"/>
  <c r="E68" i="245"/>
  <c r="E73" i="245"/>
  <c r="E78" i="245"/>
  <c r="E24" i="245"/>
  <c r="E29" i="245"/>
  <c r="E45" i="245"/>
  <c r="E53" i="245"/>
  <c r="E64" i="245"/>
  <c r="G64" i="245" s="1"/>
  <c r="E74" i="245"/>
  <c r="E80" i="245"/>
  <c r="E33" i="245"/>
  <c r="E49" i="245"/>
  <c r="G49" i="245" s="1"/>
  <c r="E61" i="245"/>
  <c r="E72" i="245"/>
  <c r="E82" i="245"/>
  <c r="E37" i="245"/>
  <c r="E58" i="245"/>
  <c r="E69" i="245"/>
  <c r="E30" i="245"/>
  <c r="E38" i="245"/>
  <c r="E46" i="245"/>
  <c r="E54" i="245"/>
  <c r="E60" i="245"/>
  <c r="E65" i="245"/>
  <c r="G65" i="245" s="1"/>
  <c r="E70" i="245"/>
  <c r="E76" i="245"/>
  <c r="E81" i="245"/>
  <c r="E25" i="245"/>
  <c r="E41" i="245"/>
  <c r="E56" i="245"/>
  <c r="E66" i="245"/>
  <c r="E77" i="245"/>
  <c r="D18" i="245"/>
  <c r="E21" i="130"/>
  <c r="D22" i="130"/>
  <c r="D48" i="130" s="1"/>
  <c r="D23" i="130"/>
  <c r="D24" i="130" s="1"/>
  <c r="D25" i="130" s="1"/>
  <c r="D26" i="130" s="1"/>
  <c r="D27" i="130" s="1"/>
  <c r="D28" i="130" s="1"/>
  <c r="D29" i="130" s="1"/>
  <c r="D30" i="130" s="1"/>
  <c r="D31" i="130" s="1"/>
  <c r="D32" i="130" s="1"/>
  <c r="D33" i="130" s="1"/>
  <c r="D34" i="130" s="1"/>
  <c r="D35" i="130" s="1"/>
  <c r="D36" i="130" s="1"/>
  <c r="D37" i="130" s="1"/>
  <c r="D38" i="130" s="1"/>
  <c r="D39" i="130" s="1"/>
  <c r="D40" i="130" s="1"/>
  <c r="D41" i="130" s="1"/>
  <c r="D42" i="130" s="1"/>
  <c r="D43" i="130" s="1"/>
  <c r="D44" i="130" s="1"/>
  <c r="D45" i="130" s="1"/>
  <c r="D46" i="130" s="1"/>
  <c r="D47" i="130"/>
  <c r="E22" i="51"/>
  <c r="E23" i="51" s="1"/>
  <c r="E24" i="51" s="1"/>
  <c r="E25" i="51" s="1"/>
  <c r="E26" i="51" s="1"/>
  <c r="E27" i="51" s="1"/>
  <c r="E28" i="51" s="1"/>
  <c r="E29" i="51" s="1"/>
  <c r="E30" i="51" s="1"/>
  <c r="E31" i="51" s="1"/>
  <c r="E32" i="51" s="1"/>
  <c r="E33" i="51" s="1"/>
  <c r="E34" i="51" s="1"/>
  <c r="E35" i="51" s="1"/>
  <c r="E20" i="147"/>
  <c r="E21" i="147" s="1"/>
  <c r="E22" i="147" s="1"/>
  <c r="E23" i="147" s="1"/>
  <c r="E24" i="147" s="1"/>
  <c r="E25" i="147" s="1"/>
  <c r="E26" i="147" s="1"/>
  <c r="E27" i="147" s="1"/>
  <c r="E28" i="147" s="1"/>
  <c r="E29" i="147" s="1"/>
  <c r="E30" i="147" s="1"/>
  <c r="E31" i="147" s="1"/>
  <c r="E32" i="147" s="1"/>
  <c r="E33" i="147" s="1"/>
  <c r="E34" i="147" s="1"/>
  <c r="E35" i="147" s="1"/>
  <c r="E36" i="147" s="1"/>
  <c r="E37" i="147" s="1"/>
  <c r="E38" i="147" s="1"/>
  <c r="E39" i="147" s="1"/>
  <c r="E40" i="147" s="1"/>
  <c r="E41" i="147" s="1"/>
  <c r="E42" i="147" s="1"/>
  <c r="E43" i="147" s="1"/>
  <c r="E44" i="147" s="1"/>
  <c r="E45" i="147" s="1"/>
  <c r="E46" i="147" s="1"/>
  <c r="E47" i="147" s="1"/>
  <c r="E48" i="147" s="1"/>
  <c r="E49" i="147" s="1"/>
  <c r="E50" i="147" s="1"/>
  <c r="E51" i="147" s="1"/>
  <c r="E52" i="147" s="1"/>
  <c r="E53" i="147" s="1"/>
  <c r="E54" i="147" s="1"/>
  <c r="E55" i="147" s="1"/>
  <c r="E56" i="147" s="1"/>
  <c r="E57" i="147" s="1"/>
  <c r="E58" i="147" s="1"/>
  <c r="E59" i="147" s="1"/>
  <c r="E60" i="147" s="1"/>
  <c r="E61" i="147" s="1"/>
  <c r="E62" i="147" s="1"/>
  <c r="E63" i="147" s="1"/>
  <c r="E64" i="147" s="1"/>
  <c r="E65" i="147" s="1"/>
  <c r="E66" i="147" s="1"/>
  <c r="E67" i="147" s="1"/>
  <c r="E68" i="147" s="1"/>
  <c r="E69" i="147" s="1"/>
  <c r="E70" i="147" s="1"/>
  <c r="E71" i="147" s="1"/>
  <c r="E72" i="147" s="1"/>
  <c r="E73" i="147" s="1"/>
  <c r="E74" i="147" s="1"/>
  <c r="E75" i="147" s="1"/>
  <c r="E22" i="128"/>
  <c r="E23" i="128" s="1"/>
  <c r="E24" i="128" s="1"/>
  <c r="E25" i="128" s="1"/>
  <c r="E26" i="128" s="1"/>
  <c r="E27" i="128" s="1"/>
  <c r="E28" i="128" s="1"/>
  <c r="E29" i="128" s="1"/>
  <c r="E30" i="128" s="1"/>
  <c r="E31" i="128" s="1"/>
  <c r="E32" i="128" s="1"/>
  <c r="E33" i="128" s="1"/>
  <c r="E34" i="128" s="1"/>
  <c r="E35" i="128" s="1"/>
  <c r="E36" i="128" s="1"/>
  <c r="E37" i="128" s="1"/>
  <c r="E38" i="128" s="1"/>
  <c r="E39" i="128" s="1"/>
  <c r="E40" i="128" s="1"/>
  <c r="E41" i="128" s="1"/>
  <c r="E42" i="128" s="1"/>
  <c r="E43" i="128" s="1"/>
  <c r="E44" i="128" s="1"/>
  <c r="E45" i="128" s="1"/>
  <c r="E46" i="128" s="1"/>
  <c r="E47" i="128" s="1"/>
  <c r="D24" i="223"/>
  <c r="D25" i="223"/>
  <c r="D26" i="223" s="1"/>
  <c r="D27" i="223" s="1"/>
  <c r="D28" i="223" s="1"/>
  <c r="D29" i="223" s="1"/>
  <c r="D30" i="223" s="1"/>
  <c r="D31" i="223" s="1"/>
  <c r="D32" i="223" s="1"/>
  <c r="D33" i="223" s="1"/>
  <c r="D34" i="223" s="1"/>
  <c r="D35" i="223" s="1"/>
  <c r="D36" i="223" s="1"/>
  <c r="D37" i="223" s="1"/>
  <c r="D38" i="223" s="1"/>
  <c r="D39" i="223" s="1"/>
  <c r="D40" i="223" s="1"/>
  <c r="D41" i="223" s="1"/>
  <c r="D42" i="223" s="1"/>
  <c r="D43" i="223" s="1"/>
  <c r="D44" i="223" s="1"/>
  <c r="D45" i="223" s="1"/>
  <c r="D46" i="223" s="1"/>
  <c r="D47" i="223" s="1"/>
  <c r="D48" i="223" s="1"/>
  <c r="D49" i="223" s="1"/>
  <c r="D50" i="223" s="1"/>
  <c r="D51" i="223" s="1"/>
  <c r="D52" i="223" s="1"/>
  <c r="D53" i="223" s="1"/>
  <c r="D54" i="223" s="1"/>
  <c r="D55" i="223" s="1"/>
  <c r="D56" i="223" s="1"/>
  <c r="D57" i="223" s="1"/>
  <c r="D58" i="223" s="1"/>
  <c r="D59" i="223" s="1"/>
  <c r="D60" i="223" s="1"/>
  <c r="D61" i="223" s="1"/>
  <c r="D62" i="223" s="1"/>
  <c r="D63" i="223" s="1"/>
  <c r="D64" i="223" s="1"/>
  <c r="D65" i="223" s="1"/>
  <c r="D66" i="223" s="1"/>
  <c r="D67" i="223" s="1"/>
  <c r="D68" i="223" s="1"/>
  <c r="D69" i="223" s="1"/>
  <c r="D70" i="223" s="1"/>
  <c r="D71" i="223" s="1"/>
  <c r="D72" i="223" s="1"/>
  <c r="D73" i="223" s="1"/>
  <c r="D74" i="223" s="1"/>
  <c r="D75" i="223" s="1"/>
  <c r="D76" i="223" s="1"/>
  <c r="D77" i="223" s="1"/>
  <c r="D78" i="223" s="1"/>
  <c r="D79" i="223" s="1"/>
  <c r="D80" i="223" s="1"/>
  <c r="D81" i="223" s="1"/>
  <c r="D82" i="223" s="1"/>
  <c r="D83" i="223" s="1"/>
  <c r="D84" i="223" s="1"/>
  <c r="E23" i="223"/>
  <c r="D22" i="134"/>
  <c r="D36" i="134" s="1"/>
  <c r="E21" i="134"/>
  <c r="D23" i="134"/>
  <c r="D24" i="134" s="1"/>
  <c r="D25" i="134" s="1"/>
  <c r="D26" i="134" s="1"/>
  <c r="D27" i="134" s="1"/>
  <c r="D28" i="134" s="1"/>
  <c r="D29" i="134" s="1"/>
  <c r="D30" i="134" s="1"/>
  <c r="D31" i="134" s="1"/>
  <c r="D32" i="134" s="1"/>
  <c r="D33" i="134" s="1"/>
  <c r="D34" i="134" s="1"/>
  <c r="D35" i="134"/>
  <c r="D27" i="224"/>
  <c r="D28" i="224" s="1"/>
  <c r="D29" i="224" s="1"/>
  <c r="D30" i="224" s="1"/>
  <c r="D31" i="224" s="1"/>
  <c r="D32" i="224" s="1"/>
  <c r="D33" i="224" s="1"/>
  <c r="D34" i="224" s="1"/>
  <c r="D35" i="224" s="1"/>
  <c r="D36" i="224" s="1"/>
  <c r="D37" i="224" s="1"/>
  <c r="D38" i="224" s="1"/>
  <c r="D39" i="224" s="1"/>
  <c r="D40" i="224" s="1"/>
  <c r="D41" i="224" s="1"/>
  <c r="D42" i="224" s="1"/>
  <c r="D43" i="224" s="1"/>
  <c r="D44" i="224" s="1"/>
  <c r="D45" i="224" s="1"/>
  <c r="D46" i="224" s="1"/>
  <c r="D47" i="224" s="1"/>
  <c r="D48" i="224" s="1"/>
  <c r="D49" i="224" s="1"/>
  <c r="D50" i="224" s="1"/>
  <c r="D51" i="224" s="1"/>
  <c r="D52" i="224" s="1"/>
  <c r="D53" i="224" s="1"/>
  <c r="D54" i="224" s="1"/>
  <c r="D55" i="224" s="1"/>
  <c r="D56" i="224" s="1"/>
  <c r="D57" i="224" s="1"/>
  <c r="D58" i="224" s="1"/>
  <c r="D59" i="224" s="1"/>
  <c r="D60" i="224" s="1"/>
  <c r="D61" i="224" s="1"/>
  <c r="D62" i="224" s="1"/>
  <c r="D63" i="224" s="1"/>
  <c r="D64" i="224" s="1"/>
  <c r="D65" i="224" s="1"/>
  <c r="D66" i="224" s="1"/>
  <c r="D67" i="224" s="1"/>
  <c r="D68" i="224" s="1"/>
  <c r="D69" i="224" s="1"/>
  <c r="D70" i="224" s="1"/>
  <c r="D71" i="224" s="1"/>
  <c r="D72" i="224" s="1"/>
  <c r="D73" i="224" s="1"/>
  <c r="D74" i="224" s="1"/>
  <c r="D75" i="224" s="1"/>
  <c r="D76" i="224" s="1"/>
  <c r="D77" i="224" s="1"/>
  <c r="D78" i="224" s="1"/>
  <c r="D79" i="224" s="1"/>
  <c r="D80" i="224" s="1"/>
  <c r="D81" i="224" s="1"/>
  <c r="D82" i="224" s="1"/>
  <c r="D83" i="224" s="1"/>
  <c r="D84" i="224" s="1"/>
  <c r="D85" i="224" s="1"/>
  <c r="D86" i="224" s="1"/>
  <c r="D26" i="224"/>
  <c r="E25" i="224"/>
  <c r="D44" i="135"/>
  <c r="D20" i="135"/>
  <c r="D26" i="135"/>
  <c r="D27" i="135" s="1"/>
  <c r="D28" i="135" s="1"/>
  <c r="D29" i="135" s="1"/>
  <c r="D30" i="135" s="1"/>
  <c r="D31" i="135" s="1"/>
  <c r="D32" i="135" s="1"/>
  <c r="D33" i="135" s="1"/>
  <c r="D34" i="135" s="1"/>
  <c r="D35" i="135" s="1"/>
  <c r="D36" i="135" s="1"/>
  <c r="D37" i="135" s="1"/>
  <c r="D38" i="135" s="1"/>
  <c r="D39" i="135" s="1"/>
  <c r="D40" i="135" s="1"/>
  <c r="D41" i="135" s="1"/>
  <c r="D42" i="135" s="1"/>
  <c r="D43" i="135" s="1"/>
  <c r="D47" i="129"/>
  <c r="D23" i="129"/>
  <c r="D24" i="129" s="1"/>
  <c r="D25" i="129" s="1"/>
  <c r="D26" i="129" s="1"/>
  <c r="D27" i="129" s="1"/>
  <c r="D28" i="129" s="1"/>
  <c r="D29" i="129" s="1"/>
  <c r="D30" i="129" s="1"/>
  <c r="D31" i="129" s="1"/>
  <c r="D32" i="129" s="1"/>
  <c r="D33" i="129" s="1"/>
  <c r="D34" i="129" s="1"/>
  <c r="D35" i="129" s="1"/>
  <c r="D36" i="129" s="1"/>
  <c r="D37" i="129" s="1"/>
  <c r="D38" i="129" s="1"/>
  <c r="D39" i="129" s="1"/>
  <c r="D40" i="129" s="1"/>
  <c r="D41" i="129" s="1"/>
  <c r="D42" i="129" s="1"/>
  <c r="D43" i="129" s="1"/>
  <c r="D44" i="129" s="1"/>
  <c r="D45" i="129" s="1"/>
  <c r="D46" i="129" s="1"/>
  <c r="D22" i="129"/>
  <c r="D48" i="129" s="1"/>
  <c r="E21" i="129"/>
  <c r="C17" i="222"/>
  <c r="E22" i="132"/>
  <c r="E22" i="133"/>
  <c r="D47" i="131"/>
  <c r="E21" i="131"/>
  <c r="D22" i="131"/>
  <c r="D48" i="131" s="1"/>
  <c r="D23" i="131"/>
  <c r="D24" i="131" s="1"/>
  <c r="D25" i="131" s="1"/>
  <c r="D26" i="131" s="1"/>
  <c r="D27" i="131" s="1"/>
  <c r="D28" i="131" s="1"/>
  <c r="D29" i="131" s="1"/>
  <c r="D30" i="131" s="1"/>
  <c r="D31" i="131" s="1"/>
  <c r="D32" i="131" s="1"/>
  <c r="D33" i="131" s="1"/>
  <c r="D34" i="131" s="1"/>
  <c r="D35" i="131" s="1"/>
  <c r="D36" i="131" s="1"/>
  <c r="D37" i="131" s="1"/>
  <c r="D38" i="131" s="1"/>
  <c r="D39" i="131" s="1"/>
  <c r="D40" i="131" s="1"/>
  <c r="D41" i="131" s="1"/>
  <c r="D42" i="131" s="1"/>
  <c r="D43" i="131" s="1"/>
  <c r="D44" i="131" s="1"/>
  <c r="D45" i="131" s="1"/>
  <c r="D46" i="131" s="1"/>
  <c r="D21" i="136"/>
  <c r="D22" i="136" s="1"/>
  <c r="D23" i="136" s="1"/>
  <c r="D24" i="136" s="1"/>
  <c r="D25" i="136" s="1"/>
  <c r="D45" i="136"/>
  <c r="C15" i="221"/>
  <c r="C16" i="221" s="1"/>
  <c r="C18" i="221" s="1"/>
  <c r="E20" i="136"/>
  <c r="E45" i="248" l="1"/>
  <c r="G45" i="248" s="1"/>
  <c r="E33" i="248"/>
  <c r="G33" i="248" s="1"/>
  <c r="E31" i="248"/>
  <c r="E49" i="248"/>
  <c r="E34" i="248"/>
  <c r="E40" i="248"/>
  <c r="G40" i="248" s="1"/>
  <c r="E29" i="248"/>
  <c r="E32" i="248"/>
  <c r="E51" i="248"/>
  <c r="E28" i="248"/>
  <c r="G28" i="248" s="1"/>
  <c r="E38" i="248"/>
  <c r="G38" i="248" s="1"/>
  <c r="E58" i="248"/>
  <c r="G58" i="248" s="1"/>
  <c r="E64" i="248"/>
  <c r="G64" i="248" s="1"/>
  <c r="E47" i="248"/>
  <c r="G47" i="248" s="1"/>
  <c r="E36" i="248"/>
  <c r="G36" i="248" s="1"/>
  <c r="E46" i="248"/>
  <c r="G46" i="248" s="1"/>
  <c r="E26" i="248"/>
  <c r="G26" i="248" s="1"/>
  <c r="E37" i="248"/>
  <c r="G37" i="248" s="1"/>
  <c r="E43" i="248"/>
  <c r="E35" i="248"/>
  <c r="E50" i="248"/>
  <c r="G50" i="248" s="1"/>
  <c r="E52" i="248"/>
  <c r="G52" i="248" s="1"/>
  <c r="E61" i="248"/>
  <c r="G61" i="248" s="1"/>
  <c r="E54" i="248"/>
  <c r="G54" i="248" s="1"/>
  <c r="D21" i="248"/>
  <c r="H25" i="248" s="1"/>
  <c r="E57" i="248"/>
  <c r="G57" i="248" s="1"/>
  <c r="E48" i="248"/>
  <c r="G48" i="248" s="1"/>
  <c r="E53" i="248"/>
  <c r="G53" i="248" s="1"/>
  <c r="E39" i="248"/>
  <c r="G39" i="248" s="1"/>
  <c r="E63" i="248"/>
  <c r="G63" i="248" s="1"/>
  <c r="E41" i="248"/>
  <c r="G41" i="248" s="1"/>
  <c r="E60" i="248"/>
  <c r="G60" i="248" s="1"/>
  <c r="E30" i="248"/>
  <c r="G30" i="248" s="1"/>
  <c r="E62" i="248"/>
  <c r="G62" i="248" s="1"/>
  <c r="E42" i="248"/>
  <c r="G42" i="248" s="1"/>
  <c r="E44" i="248"/>
  <c r="G44" i="248" s="1"/>
  <c r="E56" i="248"/>
  <c r="G56" i="248" s="1"/>
  <c r="G33" i="246"/>
  <c r="F50" i="247"/>
  <c r="F51" i="247"/>
  <c r="F45" i="247"/>
  <c r="F36" i="247"/>
  <c r="F34" i="247"/>
  <c r="F52" i="247"/>
  <c r="F62" i="247"/>
  <c r="G62" i="247" s="1"/>
  <c r="F58" i="247"/>
  <c r="F28" i="247"/>
  <c r="G28" i="247" s="1"/>
  <c r="F61" i="247"/>
  <c r="F40" i="247"/>
  <c r="F56" i="247"/>
  <c r="F33" i="247"/>
  <c r="F47" i="247"/>
  <c r="F59" i="247"/>
  <c r="F29" i="247"/>
  <c r="G29" i="247" s="1"/>
  <c r="F35" i="247"/>
  <c r="F30" i="247"/>
  <c r="G30" i="247" s="1"/>
  <c r="F46" i="247"/>
  <c r="F26" i="247"/>
  <c r="G26" i="247" s="1"/>
  <c r="F37" i="247"/>
  <c r="F53" i="247"/>
  <c r="F55" i="247"/>
  <c r="F54" i="247"/>
  <c r="F49" i="247"/>
  <c r="F41" i="247"/>
  <c r="F32" i="247"/>
  <c r="F48" i="247"/>
  <c r="F27" i="247"/>
  <c r="G27" i="247" s="1"/>
  <c r="F39" i="247"/>
  <c r="F57" i="247"/>
  <c r="F38" i="247"/>
  <c r="F43" i="247"/>
  <c r="D19" i="247"/>
  <c r="F42" i="247"/>
  <c r="F31" i="247"/>
  <c r="F44" i="247"/>
  <c r="F24" i="247"/>
  <c r="G24" i="247" s="1"/>
  <c r="G24" i="245"/>
  <c r="G68" i="246"/>
  <c r="G36" i="246"/>
  <c r="G79" i="246"/>
  <c r="G63" i="246"/>
  <c r="G47" i="246"/>
  <c r="G31" i="246"/>
  <c r="G56" i="245"/>
  <c r="G52" i="246"/>
  <c r="G74" i="246"/>
  <c r="G84" i="246"/>
  <c r="G26" i="246"/>
  <c r="G29" i="246"/>
  <c r="G62" i="246"/>
  <c r="G30" i="246"/>
  <c r="G61" i="246"/>
  <c r="G34" i="246"/>
  <c r="G56" i="246"/>
  <c r="G65" i="246"/>
  <c r="G40" i="246"/>
  <c r="G83" i="246"/>
  <c r="G67" i="246"/>
  <c r="G51" i="246"/>
  <c r="G35" i="246"/>
  <c r="G51" i="248"/>
  <c r="G31" i="248"/>
  <c r="G78" i="246"/>
  <c r="G45" i="246"/>
  <c r="G77" i="246"/>
  <c r="G64" i="246"/>
  <c r="G81" i="246"/>
  <c r="G46" i="246"/>
  <c r="G66" i="246"/>
  <c r="G48" i="246"/>
  <c r="G32" i="246"/>
  <c r="G75" i="246"/>
  <c r="G59" i="246"/>
  <c r="G43" i="246"/>
  <c r="G27" i="246"/>
  <c r="D19" i="244"/>
  <c r="D21" i="244" s="1"/>
  <c r="G37" i="246"/>
  <c r="G73" i="246"/>
  <c r="G50" i="246"/>
  <c r="G60" i="246"/>
  <c r="G76" i="246"/>
  <c r="F85" i="246"/>
  <c r="G25" i="246"/>
  <c r="E85" i="246"/>
  <c r="G38" i="246"/>
  <c r="G82" i="246"/>
  <c r="G70" i="246"/>
  <c r="G44" i="246"/>
  <c r="G28" i="246"/>
  <c r="G71" i="246"/>
  <c r="G55" i="246"/>
  <c r="G39" i="246"/>
  <c r="D18" i="225"/>
  <c r="G29" i="248"/>
  <c r="G32" i="248"/>
  <c r="G55" i="248"/>
  <c r="G34" i="248"/>
  <c r="G49" i="248"/>
  <c r="G43" i="248"/>
  <c r="F65" i="248"/>
  <c r="G59" i="248"/>
  <c r="E29" i="242"/>
  <c r="E33" i="242"/>
  <c r="E37" i="242"/>
  <c r="E41" i="242"/>
  <c r="E45" i="242"/>
  <c r="E49" i="242"/>
  <c r="E53" i="242"/>
  <c r="E57" i="242"/>
  <c r="E61" i="242"/>
  <c r="E54" i="242"/>
  <c r="E63" i="242"/>
  <c r="E32" i="242"/>
  <c r="E36" i="242"/>
  <c r="E40" i="242"/>
  <c r="E44" i="242"/>
  <c r="E48" i="242"/>
  <c r="E52" i="242"/>
  <c r="E56" i="242"/>
  <c r="E60" i="242"/>
  <c r="E27" i="242"/>
  <c r="E30" i="242"/>
  <c r="E34" i="242"/>
  <c r="E42" i="242"/>
  <c r="E46" i="242"/>
  <c r="E62" i="242"/>
  <c r="E28" i="242"/>
  <c r="E31" i="242"/>
  <c r="E35" i="242"/>
  <c r="E39" i="242"/>
  <c r="E43" i="242"/>
  <c r="E47" i="242"/>
  <c r="E51" i="242"/>
  <c r="E55" i="242"/>
  <c r="E59" i="242"/>
  <c r="E38" i="242"/>
  <c r="E50" i="242"/>
  <c r="E58" i="242"/>
  <c r="E25" i="242"/>
  <c r="F63" i="242"/>
  <c r="F30" i="242"/>
  <c r="F34" i="242"/>
  <c r="F38" i="242"/>
  <c r="F42" i="242"/>
  <c r="F46" i="242"/>
  <c r="F50" i="242"/>
  <c r="F54" i="242"/>
  <c r="F58" i="242"/>
  <c r="F62" i="242"/>
  <c r="F27" i="242"/>
  <c r="F39" i="242"/>
  <c r="F47" i="242"/>
  <c r="F51" i="242"/>
  <c r="F29" i="242"/>
  <c r="F33" i="242"/>
  <c r="F37" i="242"/>
  <c r="F41" i="242"/>
  <c r="F45" i="242"/>
  <c r="F49" i="242"/>
  <c r="F53" i="242"/>
  <c r="F57" i="242"/>
  <c r="F61" i="242"/>
  <c r="F28" i="242"/>
  <c r="F31" i="242"/>
  <c r="F43" i="242"/>
  <c r="F55" i="242"/>
  <c r="F59" i="242"/>
  <c r="F32" i="242"/>
  <c r="F36" i="242"/>
  <c r="F40" i="242"/>
  <c r="F44" i="242"/>
  <c r="F48" i="242"/>
  <c r="F52" i="242"/>
  <c r="F56" i="242"/>
  <c r="F60" i="242"/>
  <c r="F25" i="242"/>
  <c r="F35" i="242"/>
  <c r="D21" i="242"/>
  <c r="H24" i="242" s="1"/>
  <c r="D21" i="239"/>
  <c r="E31" i="239"/>
  <c r="E35" i="239"/>
  <c r="E39" i="239"/>
  <c r="E43" i="239"/>
  <c r="E47" i="239"/>
  <c r="E51" i="239"/>
  <c r="E55" i="239"/>
  <c r="E59" i="239"/>
  <c r="E63" i="239"/>
  <c r="E67" i="239"/>
  <c r="E71" i="239"/>
  <c r="E75" i="239"/>
  <c r="E79" i="239"/>
  <c r="E83" i="239"/>
  <c r="E87" i="239"/>
  <c r="E30" i="239"/>
  <c r="E42" i="239"/>
  <c r="E54" i="239"/>
  <c r="E66" i="239"/>
  <c r="E78" i="239"/>
  <c r="E32" i="239"/>
  <c r="E36" i="239"/>
  <c r="E40" i="239"/>
  <c r="E44" i="239"/>
  <c r="E48" i="239"/>
  <c r="E52" i="239"/>
  <c r="E56" i="239"/>
  <c r="E60" i="239"/>
  <c r="E64" i="239"/>
  <c r="E68" i="239"/>
  <c r="E72" i="239"/>
  <c r="E76" i="239"/>
  <c r="E80" i="239"/>
  <c r="E84" i="239"/>
  <c r="E28" i="239"/>
  <c r="E34" i="239"/>
  <c r="E50" i="239"/>
  <c r="E58" i="239"/>
  <c r="E70" i="239"/>
  <c r="E82" i="239"/>
  <c r="E29" i="239"/>
  <c r="E33" i="239"/>
  <c r="E37" i="239"/>
  <c r="E41" i="239"/>
  <c r="E45" i="239"/>
  <c r="E49" i="239"/>
  <c r="E53" i="239"/>
  <c r="E57" i="239"/>
  <c r="E61" i="239"/>
  <c r="E65" i="239"/>
  <c r="E69" i="239"/>
  <c r="E73" i="239"/>
  <c r="E77" i="239"/>
  <c r="E81" i="239"/>
  <c r="E85" i="239"/>
  <c r="E26" i="239"/>
  <c r="E38" i="239"/>
  <c r="E46" i="239"/>
  <c r="E62" i="239"/>
  <c r="E74" i="239"/>
  <c r="E86" i="239"/>
  <c r="F32" i="239"/>
  <c r="F36" i="239"/>
  <c r="F40" i="239"/>
  <c r="F44" i="239"/>
  <c r="F48" i="239"/>
  <c r="F52" i="239"/>
  <c r="F56" i="239"/>
  <c r="F60" i="239"/>
  <c r="F64" i="239"/>
  <c r="F68" i="239"/>
  <c r="F72" i="239"/>
  <c r="F76" i="239"/>
  <c r="F80" i="239"/>
  <c r="F84" i="239"/>
  <c r="F28" i="239"/>
  <c r="F47" i="239"/>
  <c r="F67" i="239"/>
  <c r="F79" i="239"/>
  <c r="F29" i="239"/>
  <c r="F33" i="239"/>
  <c r="F37" i="239"/>
  <c r="F41" i="239"/>
  <c r="F45" i="239"/>
  <c r="F49" i="239"/>
  <c r="F53" i="239"/>
  <c r="F57" i="239"/>
  <c r="F61" i="239"/>
  <c r="F65" i="239"/>
  <c r="F69" i="239"/>
  <c r="F73" i="239"/>
  <c r="F77" i="239"/>
  <c r="F81" i="239"/>
  <c r="F85" i="239"/>
  <c r="F26" i="239"/>
  <c r="F31" i="239"/>
  <c r="F39" i="239"/>
  <c r="F51" i="239"/>
  <c r="F59" i="239"/>
  <c r="F71" i="239"/>
  <c r="F83" i="239"/>
  <c r="F30" i="239"/>
  <c r="F34" i="239"/>
  <c r="F38" i="239"/>
  <c r="F42" i="239"/>
  <c r="F46" i="239"/>
  <c r="F50" i="239"/>
  <c r="F54" i="239"/>
  <c r="F58" i="239"/>
  <c r="F62" i="239"/>
  <c r="F66" i="239"/>
  <c r="F70" i="239"/>
  <c r="F74" i="239"/>
  <c r="F78" i="239"/>
  <c r="F82" i="239"/>
  <c r="F86" i="239"/>
  <c r="F35" i="239"/>
  <c r="F43" i="239"/>
  <c r="F55" i="239"/>
  <c r="F63" i="239"/>
  <c r="F75" i="239"/>
  <c r="F87" i="239"/>
  <c r="G25" i="245"/>
  <c r="G37" i="245"/>
  <c r="G34" i="245"/>
  <c r="D19" i="236"/>
  <c r="F87" i="236"/>
  <c r="F26" i="244"/>
  <c r="F27" i="244"/>
  <c r="F84" i="245"/>
  <c r="H22" i="245"/>
  <c r="H21" i="245"/>
  <c r="G28" i="245"/>
  <c r="G55" i="245"/>
  <c r="G39" i="245"/>
  <c r="G66" i="245"/>
  <c r="G81" i="245"/>
  <c r="G60" i="245"/>
  <c r="G30" i="245"/>
  <c r="G82" i="245"/>
  <c r="G33" i="245"/>
  <c r="G53" i="245"/>
  <c r="G78" i="245"/>
  <c r="G57" i="245"/>
  <c r="G26" i="245"/>
  <c r="G40" i="245"/>
  <c r="G83" i="245"/>
  <c r="G67" i="245"/>
  <c r="G51" i="245"/>
  <c r="G35" i="245"/>
  <c r="G77" i="245"/>
  <c r="G44" i="245"/>
  <c r="G76" i="245"/>
  <c r="G54" i="245"/>
  <c r="G69" i="245"/>
  <c r="G72" i="245"/>
  <c r="G80" i="245"/>
  <c r="G45" i="245"/>
  <c r="G73" i="245"/>
  <c r="G50" i="245"/>
  <c r="G52" i="245"/>
  <c r="G36" i="245"/>
  <c r="G79" i="245"/>
  <c r="G63" i="245"/>
  <c r="G47" i="245"/>
  <c r="G31" i="245"/>
  <c r="G38" i="245"/>
  <c r="G71" i="245"/>
  <c r="G41" i="245"/>
  <c r="G70" i="245"/>
  <c r="G46" i="245"/>
  <c r="G58" i="245"/>
  <c r="G61" i="245"/>
  <c r="G74" i="245"/>
  <c r="G29" i="245"/>
  <c r="G68" i="245"/>
  <c r="G42" i="245"/>
  <c r="G48" i="245"/>
  <c r="G32" i="245"/>
  <c r="G75" i="245"/>
  <c r="G59" i="245"/>
  <c r="G43" i="245"/>
  <c r="G27" i="245"/>
  <c r="F35" i="150"/>
  <c r="F39" i="150"/>
  <c r="F43" i="150"/>
  <c r="F47" i="150"/>
  <c r="F51" i="150"/>
  <c r="F55" i="150"/>
  <c r="F59" i="150"/>
  <c r="F26" i="150"/>
  <c r="F24" i="150"/>
  <c r="F45" i="150"/>
  <c r="F53" i="150"/>
  <c r="F31" i="150"/>
  <c r="F61" i="150"/>
  <c r="F38" i="150"/>
  <c r="F46" i="150"/>
  <c r="F54" i="150"/>
  <c r="F25" i="150"/>
  <c r="F32" i="150"/>
  <c r="F36" i="150"/>
  <c r="F40" i="150"/>
  <c r="F44" i="150"/>
  <c r="F48" i="150"/>
  <c r="F52" i="150"/>
  <c r="F56" i="150"/>
  <c r="F60" i="150"/>
  <c r="F27" i="150"/>
  <c r="F33" i="150"/>
  <c r="F37" i="150"/>
  <c r="F41" i="150"/>
  <c r="F49" i="150"/>
  <c r="F57" i="150"/>
  <c r="F28" i="150"/>
  <c r="F34" i="150"/>
  <c r="F42" i="150"/>
  <c r="F50" i="150"/>
  <c r="F58" i="150"/>
  <c r="F29" i="150"/>
  <c r="D18" i="150"/>
  <c r="E61" i="150"/>
  <c r="E35" i="150"/>
  <c r="E39" i="150"/>
  <c r="E43" i="150"/>
  <c r="E47" i="150"/>
  <c r="E51" i="150"/>
  <c r="E55" i="150"/>
  <c r="E59" i="150"/>
  <c r="E26" i="150"/>
  <c r="E24" i="150"/>
  <c r="E31" i="150"/>
  <c r="E38" i="150"/>
  <c r="G38" i="150" s="1"/>
  <c r="E46" i="150"/>
  <c r="G46" i="150" s="1"/>
  <c r="E54" i="150"/>
  <c r="E29" i="150"/>
  <c r="G29" i="150" s="1"/>
  <c r="E32" i="150"/>
  <c r="G32" i="150" s="1"/>
  <c r="E36" i="150"/>
  <c r="G36" i="150" s="1"/>
  <c r="E40" i="150"/>
  <c r="G40" i="150" s="1"/>
  <c r="E44" i="150"/>
  <c r="G44" i="150" s="1"/>
  <c r="E48" i="150"/>
  <c r="G48" i="150" s="1"/>
  <c r="E52" i="150"/>
  <c r="G52" i="150" s="1"/>
  <c r="E56" i="150"/>
  <c r="G56" i="150" s="1"/>
  <c r="E60" i="150"/>
  <c r="G60" i="150" s="1"/>
  <c r="E27" i="150"/>
  <c r="G27" i="150" s="1"/>
  <c r="E57" i="150"/>
  <c r="G57" i="150" s="1"/>
  <c r="E28" i="150"/>
  <c r="G28" i="150" s="1"/>
  <c r="E34" i="150"/>
  <c r="E42" i="150"/>
  <c r="G42" i="150" s="1"/>
  <c r="E50" i="150"/>
  <c r="E25" i="150"/>
  <c r="E33" i="150"/>
  <c r="E37" i="150"/>
  <c r="E41" i="150"/>
  <c r="E45" i="150"/>
  <c r="E49" i="150"/>
  <c r="E53" i="150"/>
  <c r="E58" i="150"/>
  <c r="D19" i="237"/>
  <c r="E62" i="237"/>
  <c r="E24" i="237"/>
  <c r="E26" i="237"/>
  <c r="F28" i="237"/>
  <c r="F32" i="237"/>
  <c r="F36" i="237"/>
  <c r="F40" i="237"/>
  <c r="F44" i="237"/>
  <c r="F48" i="237"/>
  <c r="F52" i="237"/>
  <c r="F56" i="237"/>
  <c r="F60" i="237"/>
  <c r="F24" i="237"/>
  <c r="F29" i="237"/>
  <c r="F33" i="237"/>
  <c r="F37" i="237"/>
  <c r="F41" i="237"/>
  <c r="F45" i="237"/>
  <c r="F49" i="237"/>
  <c r="F53" i="237"/>
  <c r="F57" i="237"/>
  <c r="F61" i="237"/>
  <c r="F62" i="237"/>
  <c r="F27" i="237"/>
  <c r="F39" i="237"/>
  <c r="F47" i="237"/>
  <c r="F59" i="237"/>
  <c r="F30" i="237"/>
  <c r="F34" i="237"/>
  <c r="F38" i="237"/>
  <c r="F42" i="237"/>
  <c r="F46" i="237"/>
  <c r="F50" i="237"/>
  <c r="F54" i="237"/>
  <c r="F58" i="237"/>
  <c r="F31" i="237"/>
  <c r="F35" i="237"/>
  <c r="F43" i="237"/>
  <c r="F51" i="237"/>
  <c r="F55" i="237"/>
  <c r="F26" i="237"/>
  <c r="E24" i="240"/>
  <c r="E28" i="240"/>
  <c r="E30" i="240"/>
  <c r="E32" i="240"/>
  <c r="E34" i="240"/>
  <c r="E36" i="240"/>
  <c r="E38" i="240"/>
  <c r="E40" i="240"/>
  <c r="E42" i="240"/>
  <c r="E44" i="240"/>
  <c r="E46" i="240"/>
  <c r="E48" i="240"/>
  <c r="E50" i="240"/>
  <c r="E52" i="240"/>
  <c r="E54" i="240"/>
  <c r="E56" i="240"/>
  <c r="E58" i="240"/>
  <c r="E60" i="240"/>
  <c r="E62" i="240"/>
  <c r="E64" i="240"/>
  <c r="E66" i="240"/>
  <c r="E68" i="240"/>
  <c r="E70" i="240"/>
  <c r="E72" i="240"/>
  <c r="E74" i="240"/>
  <c r="E76" i="240"/>
  <c r="E78" i="240"/>
  <c r="E80" i="240"/>
  <c r="E82" i="240"/>
  <c r="E84" i="240"/>
  <c r="E31" i="240"/>
  <c r="E39" i="240"/>
  <c r="E47" i="240"/>
  <c r="E55" i="240"/>
  <c r="E63" i="240"/>
  <c r="E71" i="240"/>
  <c r="E79" i="240"/>
  <c r="E26" i="240"/>
  <c r="E73" i="240"/>
  <c r="E59" i="240"/>
  <c r="E75" i="240"/>
  <c r="E29" i="240"/>
  <c r="E45" i="240"/>
  <c r="E69" i="240"/>
  <c r="E85" i="240"/>
  <c r="E33" i="240"/>
  <c r="E41" i="240"/>
  <c r="E49" i="240"/>
  <c r="E57" i="240"/>
  <c r="E65" i="240"/>
  <c r="E81" i="240"/>
  <c r="E27" i="240"/>
  <c r="E35" i="240"/>
  <c r="E43" i="240"/>
  <c r="E51" i="240"/>
  <c r="E67" i="240"/>
  <c r="E83" i="240"/>
  <c r="E37" i="240"/>
  <c r="E53" i="240"/>
  <c r="E61" i="240"/>
  <c r="E77" i="240"/>
  <c r="D19" i="240"/>
  <c r="F27" i="240"/>
  <c r="F29" i="240"/>
  <c r="F31" i="240"/>
  <c r="F33" i="240"/>
  <c r="F35" i="240"/>
  <c r="F37" i="240"/>
  <c r="F39" i="240"/>
  <c r="F41" i="240"/>
  <c r="F43" i="240"/>
  <c r="F45" i="240"/>
  <c r="F47" i="240"/>
  <c r="F49" i="240"/>
  <c r="F51" i="240"/>
  <c r="F53" i="240"/>
  <c r="F55" i="240"/>
  <c r="F57" i="240"/>
  <c r="F59" i="240"/>
  <c r="F61" i="240"/>
  <c r="F63" i="240"/>
  <c r="F65" i="240"/>
  <c r="F67" i="240"/>
  <c r="F69" i="240"/>
  <c r="F71" i="240"/>
  <c r="F73" i="240"/>
  <c r="F75" i="240"/>
  <c r="F77" i="240"/>
  <c r="F79" i="240"/>
  <c r="F81" i="240"/>
  <c r="F83" i="240"/>
  <c r="F85" i="240"/>
  <c r="F28" i="240"/>
  <c r="F30" i="240"/>
  <c r="F34" i="240"/>
  <c r="F38" i="240"/>
  <c r="F42" i="240"/>
  <c r="F46" i="240"/>
  <c r="F50" i="240"/>
  <c r="F54" i="240"/>
  <c r="F58" i="240"/>
  <c r="F62" i="240"/>
  <c r="F66" i="240"/>
  <c r="F70" i="240"/>
  <c r="F74" i="240"/>
  <c r="F78" i="240"/>
  <c r="F82" i="240"/>
  <c r="F24" i="240"/>
  <c r="F26" i="240"/>
  <c r="F32" i="240"/>
  <c r="F36" i="240"/>
  <c r="F40" i="240"/>
  <c r="F44" i="240"/>
  <c r="F48" i="240"/>
  <c r="F52" i="240"/>
  <c r="F56" i="240"/>
  <c r="F60" i="240"/>
  <c r="F64" i="240"/>
  <c r="F68" i="240"/>
  <c r="F72" i="240"/>
  <c r="F76" i="240"/>
  <c r="F80" i="240"/>
  <c r="F84" i="240"/>
  <c r="D19" i="229"/>
  <c r="E32" i="229"/>
  <c r="E34" i="229"/>
  <c r="E39" i="229"/>
  <c r="E41" i="229"/>
  <c r="E48" i="229"/>
  <c r="E50" i="229"/>
  <c r="E55" i="229"/>
  <c r="E63" i="229"/>
  <c r="E71" i="229"/>
  <c r="E73" i="229"/>
  <c r="E80" i="229"/>
  <c r="E82" i="229"/>
  <c r="E27" i="229"/>
  <c r="E29" i="229"/>
  <c r="E36" i="229"/>
  <c r="E38" i="229"/>
  <c r="E43" i="229"/>
  <c r="E45" i="229"/>
  <c r="E52" i="229"/>
  <c r="E54" i="229"/>
  <c r="E57" i="229"/>
  <c r="E60" i="229"/>
  <c r="E62" i="229"/>
  <c r="E65" i="229"/>
  <c r="E68" i="229"/>
  <c r="E70" i="229"/>
  <c r="E75" i="229"/>
  <c r="E77" i="229"/>
  <c r="E84" i="229"/>
  <c r="E37" i="229"/>
  <c r="E46" i="229"/>
  <c r="E53" i="229"/>
  <c r="E56" i="229"/>
  <c r="E58" i="229"/>
  <c r="E61" i="229"/>
  <c r="E64" i="229"/>
  <c r="E66" i="229"/>
  <c r="E69" i="229"/>
  <c r="E76" i="229"/>
  <c r="E83" i="229"/>
  <c r="E31" i="229"/>
  <c r="E33" i="229"/>
  <c r="E40" i="229"/>
  <c r="E42" i="229"/>
  <c r="E47" i="229"/>
  <c r="E49" i="229"/>
  <c r="E59" i="229"/>
  <c r="E67" i="229"/>
  <c r="E72" i="229"/>
  <c r="E74" i="229"/>
  <c r="E79" i="229"/>
  <c r="E81" i="229"/>
  <c r="E26" i="229"/>
  <c r="E28" i="229"/>
  <c r="E30" i="229"/>
  <c r="E35" i="229"/>
  <c r="E44" i="229"/>
  <c r="E51" i="229"/>
  <c r="E78" i="229"/>
  <c r="E85" i="229"/>
  <c r="E24" i="229"/>
  <c r="F28" i="229"/>
  <c r="F30" i="229"/>
  <c r="F35" i="229"/>
  <c r="F37" i="229"/>
  <c r="F44" i="229"/>
  <c r="F46" i="229"/>
  <c r="F51" i="229"/>
  <c r="F53" i="229"/>
  <c r="F56" i="229"/>
  <c r="F58" i="229"/>
  <c r="F61" i="229"/>
  <c r="F64" i="229"/>
  <c r="F66" i="229"/>
  <c r="F69" i="229"/>
  <c r="F76" i="229"/>
  <c r="F78" i="229"/>
  <c r="F83" i="229"/>
  <c r="F85" i="229"/>
  <c r="F32" i="229"/>
  <c r="F34" i="229"/>
  <c r="F39" i="229"/>
  <c r="F41" i="229"/>
  <c r="F48" i="229"/>
  <c r="F50" i="229"/>
  <c r="F55" i="229"/>
  <c r="F63" i="229"/>
  <c r="F71" i="229"/>
  <c r="F73" i="229"/>
  <c r="F80" i="229"/>
  <c r="F82" i="229"/>
  <c r="F24" i="229"/>
  <c r="F33" i="229"/>
  <c r="F40" i="229"/>
  <c r="F42" i="229"/>
  <c r="F49" i="229"/>
  <c r="F72" i="229"/>
  <c r="F74" i="229"/>
  <c r="F79" i="229"/>
  <c r="G79" i="229" s="1"/>
  <c r="F27" i="229"/>
  <c r="F29" i="229"/>
  <c r="F36" i="229"/>
  <c r="F38" i="229"/>
  <c r="F43" i="229"/>
  <c r="F45" i="229"/>
  <c r="F52" i="229"/>
  <c r="F54" i="229"/>
  <c r="F57" i="229"/>
  <c r="F60" i="229"/>
  <c r="F62" i="229"/>
  <c r="F65" i="229"/>
  <c r="F68" i="229"/>
  <c r="F70" i="229"/>
  <c r="F75" i="229"/>
  <c r="F77" i="229"/>
  <c r="F84" i="229"/>
  <c r="F26" i="229"/>
  <c r="F31" i="229"/>
  <c r="F47" i="229"/>
  <c r="F59" i="229"/>
  <c r="F67" i="229"/>
  <c r="F81" i="229"/>
  <c r="D19" i="243"/>
  <c r="H23" i="243" s="1"/>
  <c r="F24" i="243"/>
  <c r="F25" i="243"/>
  <c r="E84" i="245"/>
  <c r="E22" i="130"/>
  <c r="E23" i="130" s="1"/>
  <c r="E24" i="130" s="1"/>
  <c r="E25" i="130" s="1"/>
  <c r="E26" i="130" s="1"/>
  <c r="E27" i="130" s="1"/>
  <c r="E28" i="130" s="1"/>
  <c r="E29" i="130" s="1"/>
  <c r="E30" i="130" s="1"/>
  <c r="E31" i="130" s="1"/>
  <c r="E32" i="130" s="1"/>
  <c r="E33" i="130" s="1"/>
  <c r="E34" i="130" s="1"/>
  <c r="E35" i="130" s="1"/>
  <c r="E36" i="130" s="1"/>
  <c r="E37" i="130" s="1"/>
  <c r="E38" i="130" s="1"/>
  <c r="E39" i="130" s="1"/>
  <c r="E40" i="130" s="1"/>
  <c r="E41" i="130" s="1"/>
  <c r="E42" i="130" s="1"/>
  <c r="E43" i="130" s="1"/>
  <c r="E44" i="130" s="1"/>
  <c r="E45" i="130" s="1"/>
  <c r="E46" i="130" s="1"/>
  <c r="E47" i="130" s="1"/>
  <c r="E26" i="224"/>
  <c r="E27" i="224" s="1"/>
  <c r="E28" i="224" s="1"/>
  <c r="E29" i="224" s="1"/>
  <c r="E30" i="224" s="1"/>
  <c r="E31" i="224" s="1"/>
  <c r="E32" i="224" s="1"/>
  <c r="E33" i="224" s="1"/>
  <c r="E34" i="224" s="1"/>
  <c r="E35" i="224" s="1"/>
  <c r="E36" i="224" s="1"/>
  <c r="E37" i="224" s="1"/>
  <c r="E38" i="224" s="1"/>
  <c r="E39" i="224" s="1"/>
  <c r="E40" i="224" s="1"/>
  <c r="E41" i="224" s="1"/>
  <c r="E42" i="224" s="1"/>
  <c r="E43" i="224" s="1"/>
  <c r="E44" i="224" s="1"/>
  <c r="E45" i="224" s="1"/>
  <c r="E46" i="224" s="1"/>
  <c r="E47" i="224" s="1"/>
  <c r="E48" i="224" s="1"/>
  <c r="E49" i="224" s="1"/>
  <c r="E50" i="224" s="1"/>
  <c r="E51" i="224" s="1"/>
  <c r="E52" i="224" s="1"/>
  <c r="E53" i="224" s="1"/>
  <c r="E54" i="224" s="1"/>
  <c r="E55" i="224" s="1"/>
  <c r="E56" i="224" s="1"/>
  <c r="E57" i="224" s="1"/>
  <c r="E58" i="224" s="1"/>
  <c r="E59" i="224" s="1"/>
  <c r="E60" i="224" s="1"/>
  <c r="E61" i="224" s="1"/>
  <c r="E62" i="224" s="1"/>
  <c r="E63" i="224" s="1"/>
  <c r="E64" i="224" s="1"/>
  <c r="E65" i="224" s="1"/>
  <c r="E66" i="224" s="1"/>
  <c r="E67" i="224" s="1"/>
  <c r="E68" i="224" s="1"/>
  <c r="E69" i="224" s="1"/>
  <c r="E70" i="224" s="1"/>
  <c r="E71" i="224" s="1"/>
  <c r="E72" i="224" s="1"/>
  <c r="E73" i="224" s="1"/>
  <c r="E74" i="224" s="1"/>
  <c r="E75" i="224" s="1"/>
  <c r="E76" i="224" s="1"/>
  <c r="E77" i="224" s="1"/>
  <c r="E78" i="224" s="1"/>
  <c r="E79" i="224" s="1"/>
  <c r="E80" i="224" s="1"/>
  <c r="E81" i="224" s="1"/>
  <c r="E82" i="224" s="1"/>
  <c r="E83" i="224" s="1"/>
  <c r="E84" i="224" s="1"/>
  <c r="E85" i="224" s="1"/>
  <c r="E86" i="224" s="1"/>
  <c r="E21" i="221"/>
  <c r="D22" i="221"/>
  <c r="D53" i="221"/>
  <c r="D23" i="221"/>
  <c r="D24" i="221" s="1"/>
  <c r="D25" i="221" s="1"/>
  <c r="D26" i="221" s="1"/>
  <c r="D27" i="221" s="1"/>
  <c r="D28" i="221" s="1"/>
  <c r="D29" i="221" s="1"/>
  <c r="D30" i="221" s="1"/>
  <c r="D31" i="221" s="1"/>
  <c r="D32" i="221" s="1"/>
  <c r="D33" i="221" s="1"/>
  <c r="D34" i="221" s="1"/>
  <c r="D35" i="221" s="1"/>
  <c r="D36" i="221" s="1"/>
  <c r="D37" i="221" s="1"/>
  <c r="D38" i="221" s="1"/>
  <c r="D39" i="221" s="1"/>
  <c r="D40" i="221" s="1"/>
  <c r="D41" i="221" s="1"/>
  <c r="D42" i="221" s="1"/>
  <c r="D43" i="221" s="1"/>
  <c r="D44" i="221" s="1"/>
  <c r="D45" i="221" s="1"/>
  <c r="D46" i="221" s="1"/>
  <c r="D47" i="221" s="1"/>
  <c r="D48" i="221" s="1"/>
  <c r="D49" i="221" s="1"/>
  <c r="D50" i="221" s="1"/>
  <c r="D51" i="221" s="1"/>
  <c r="D52" i="221" s="1"/>
  <c r="D45" i="135"/>
  <c r="D21" i="135"/>
  <c r="D22" i="135" s="1"/>
  <c r="D23" i="135" s="1"/>
  <c r="D24" i="135" s="1"/>
  <c r="D25" i="135" s="1"/>
  <c r="E20" i="135"/>
  <c r="C18" i="222"/>
  <c r="C19" i="222" s="1"/>
  <c r="E21" i="136"/>
  <c r="E22" i="136" s="1"/>
  <c r="E23" i="136" s="1"/>
  <c r="E24" i="136" s="1"/>
  <c r="E25" i="136" s="1"/>
  <c r="E26" i="136" s="1"/>
  <c r="E27" i="136" s="1"/>
  <c r="E28" i="136" s="1"/>
  <c r="E29" i="136" s="1"/>
  <c r="E30" i="136" s="1"/>
  <c r="E31" i="136" s="1"/>
  <c r="E32" i="136" s="1"/>
  <c r="E33" i="136" s="1"/>
  <c r="E34" i="136" s="1"/>
  <c r="E35" i="136" s="1"/>
  <c r="E36" i="136" s="1"/>
  <c r="E37" i="136" s="1"/>
  <c r="E38" i="136" s="1"/>
  <c r="E39" i="136" s="1"/>
  <c r="E40" i="136" s="1"/>
  <c r="E41" i="136" s="1"/>
  <c r="E42" i="136" s="1"/>
  <c r="E43" i="136" s="1"/>
  <c r="E44" i="136" s="1"/>
  <c r="E22" i="131"/>
  <c r="E23" i="131" s="1"/>
  <c r="E24" i="131" s="1"/>
  <c r="E25" i="131" s="1"/>
  <c r="E26" i="131" s="1"/>
  <c r="E27" i="131" s="1"/>
  <c r="E28" i="131" s="1"/>
  <c r="E29" i="131" s="1"/>
  <c r="E30" i="131" s="1"/>
  <c r="E31" i="131" s="1"/>
  <c r="E32" i="131" s="1"/>
  <c r="E33" i="131" s="1"/>
  <c r="E34" i="131" s="1"/>
  <c r="E35" i="131" s="1"/>
  <c r="E36" i="131" s="1"/>
  <c r="E37" i="131" s="1"/>
  <c r="E38" i="131" s="1"/>
  <c r="E39" i="131" s="1"/>
  <c r="E40" i="131" s="1"/>
  <c r="E41" i="131" s="1"/>
  <c r="E42" i="131" s="1"/>
  <c r="E43" i="131" s="1"/>
  <c r="E44" i="131" s="1"/>
  <c r="E45" i="131" s="1"/>
  <c r="E46" i="131" s="1"/>
  <c r="E47" i="131" s="1"/>
  <c r="E22" i="129"/>
  <c r="E23" i="129" s="1"/>
  <c r="E24" i="129" s="1"/>
  <c r="E25" i="129" s="1"/>
  <c r="E26" i="129" s="1"/>
  <c r="E27" i="129" s="1"/>
  <c r="E28" i="129" s="1"/>
  <c r="E29" i="129" s="1"/>
  <c r="E30" i="129" s="1"/>
  <c r="E31" i="129" s="1"/>
  <c r="E32" i="129" s="1"/>
  <c r="E33" i="129" s="1"/>
  <c r="E34" i="129" s="1"/>
  <c r="E35" i="129" s="1"/>
  <c r="E36" i="129" s="1"/>
  <c r="E37" i="129" s="1"/>
  <c r="E38" i="129" s="1"/>
  <c r="E39" i="129" s="1"/>
  <c r="E40" i="129" s="1"/>
  <c r="E41" i="129" s="1"/>
  <c r="E42" i="129" s="1"/>
  <c r="E43" i="129" s="1"/>
  <c r="E44" i="129" s="1"/>
  <c r="E45" i="129" s="1"/>
  <c r="E46" i="129" s="1"/>
  <c r="E47" i="129" s="1"/>
  <c r="E24" i="223"/>
  <c r="E25" i="223" s="1"/>
  <c r="E26" i="223" s="1"/>
  <c r="E27" i="223" s="1"/>
  <c r="E28" i="223" s="1"/>
  <c r="E29" i="223" s="1"/>
  <c r="E30" i="223" s="1"/>
  <c r="E31" i="223" s="1"/>
  <c r="E32" i="223" s="1"/>
  <c r="E33" i="223" s="1"/>
  <c r="E34" i="223" s="1"/>
  <c r="E35" i="223" s="1"/>
  <c r="E36" i="223" s="1"/>
  <c r="E37" i="223" s="1"/>
  <c r="E38" i="223" s="1"/>
  <c r="E39" i="223" s="1"/>
  <c r="E40" i="223" s="1"/>
  <c r="E41" i="223" s="1"/>
  <c r="E42" i="223" s="1"/>
  <c r="E43" i="223" s="1"/>
  <c r="E44" i="223" s="1"/>
  <c r="E45" i="223" s="1"/>
  <c r="E46" i="223" s="1"/>
  <c r="E47" i="223" s="1"/>
  <c r="E48" i="223" s="1"/>
  <c r="E49" i="223" s="1"/>
  <c r="E50" i="223" s="1"/>
  <c r="E51" i="223" s="1"/>
  <c r="E52" i="223" s="1"/>
  <c r="E53" i="223" s="1"/>
  <c r="E54" i="223" s="1"/>
  <c r="E55" i="223" s="1"/>
  <c r="E56" i="223" s="1"/>
  <c r="E57" i="223" s="1"/>
  <c r="E58" i="223" s="1"/>
  <c r="E59" i="223" s="1"/>
  <c r="E60" i="223" s="1"/>
  <c r="E61" i="223" s="1"/>
  <c r="E62" i="223" s="1"/>
  <c r="E63" i="223" s="1"/>
  <c r="E64" i="223" s="1"/>
  <c r="E65" i="223" s="1"/>
  <c r="E66" i="223" s="1"/>
  <c r="E67" i="223" s="1"/>
  <c r="E68" i="223" s="1"/>
  <c r="E69" i="223" s="1"/>
  <c r="E70" i="223" s="1"/>
  <c r="E71" i="223" s="1"/>
  <c r="E72" i="223" s="1"/>
  <c r="E73" i="223" s="1"/>
  <c r="E74" i="223" s="1"/>
  <c r="E75" i="223" s="1"/>
  <c r="E76" i="223" s="1"/>
  <c r="E77" i="223" s="1"/>
  <c r="E78" i="223" s="1"/>
  <c r="E79" i="223" s="1"/>
  <c r="E80" i="223" s="1"/>
  <c r="E81" i="223" s="1"/>
  <c r="E82" i="223" s="1"/>
  <c r="E83" i="223" s="1"/>
  <c r="E84" i="223" s="1"/>
  <c r="D87" i="224"/>
  <c r="E22" i="134"/>
  <c r="E23" i="134" s="1"/>
  <c r="E24" i="134" s="1"/>
  <c r="E25" i="134" s="1"/>
  <c r="E26" i="134" s="1"/>
  <c r="E27" i="134" s="1"/>
  <c r="E28" i="134" s="1"/>
  <c r="E29" i="134" s="1"/>
  <c r="E30" i="134" s="1"/>
  <c r="E31" i="134" s="1"/>
  <c r="E32" i="134" s="1"/>
  <c r="E33" i="134" s="1"/>
  <c r="E34" i="134" s="1"/>
  <c r="E35" i="134" s="1"/>
  <c r="D85" i="223"/>
  <c r="G54" i="150" l="1"/>
  <c r="G34" i="150"/>
  <c r="H24" i="248"/>
  <c r="E65" i="248"/>
  <c r="G35" i="248"/>
  <c r="H24" i="245"/>
  <c r="H25" i="245" s="1"/>
  <c r="H26" i="245" s="1"/>
  <c r="H27" i="245" s="1"/>
  <c r="H28" i="245" s="1"/>
  <c r="H29" i="245" s="1"/>
  <c r="H30" i="245" s="1"/>
  <c r="H31" i="245" s="1"/>
  <c r="H32" i="245" s="1"/>
  <c r="H33" i="245" s="1"/>
  <c r="H34" i="245" s="1"/>
  <c r="H35" i="245" s="1"/>
  <c r="H36" i="245" s="1"/>
  <c r="H37" i="245" s="1"/>
  <c r="H38" i="245" s="1"/>
  <c r="H39" i="245" s="1"/>
  <c r="H40" i="245" s="1"/>
  <c r="H41" i="245" s="1"/>
  <c r="H42" i="245" s="1"/>
  <c r="H43" i="245" s="1"/>
  <c r="H44" i="245" s="1"/>
  <c r="H45" i="245" s="1"/>
  <c r="H46" i="245" s="1"/>
  <c r="H47" i="245" s="1"/>
  <c r="H48" i="245" s="1"/>
  <c r="H49" i="245" s="1"/>
  <c r="H50" i="245" s="1"/>
  <c r="H51" i="245" s="1"/>
  <c r="H52" i="245" s="1"/>
  <c r="H53" i="245" s="1"/>
  <c r="H54" i="245" s="1"/>
  <c r="H55" i="245" s="1"/>
  <c r="H56" i="245" s="1"/>
  <c r="H57" i="245" s="1"/>
  <c r="H58" i="245" s="1"/>
  <c r="H59" i="245" s="1"/>
  <c r="H60" i="245" s="1"/>
  <c r="H61" i="245" s="1"/>
  <c r="H62" i="245" s="1"/>
  <c r="H63" i="245" s="1"/>
  <c r="H64" i="245" s="1"/>
  <c r="H65" i="245" s="1"/>
  <c r="H66" i="245" s="1"/>
  <c r="H67" i="245" s="1"/>
  <c r="H68" i="245" s="1"/>
  <c r="H69" i="245" s="1"/>
  <c r="H70" i="245" s="1"/>
  <c r="H71" i="245" s="1"/>
  <c r="H72" i="245" s="1"/>
  <c r="H73" i="245" s="1"/>
  <c r="H74" i="245" s="1"/>
  <c r="H75" i="245" s="1"/>
  <c r="H76" i="245" s="1"/>
  <c r="H77" i="245" s="1"/>
  <c r="H78" i="245" s="1"/>
  <c r="H79" i="245" s="1"/>
  <c r="H80" i="245" s="1"/>
  <c r="H81" i="245" s="1"/>
  <c r="H82" i="245" s="1"/>
  <c r="H83" i="245" s="1"/>
  <c r="H22" i="247"/>
  <c r="H23" i="247"/>
  <c r="H24" i="247" s="1"/>
  <c r="H26" i="247" s="1"/>
  <c r="H27" i="247" s="1"/>
  <c r="H28" i="247" s="1"/>
  <c r="H29" i="247" s="1"/>
  <c r="H30" i="247" s="1"/>
  <c r="F63" i="247"/>
  <c r="E26" i="244"/>
  <c r="G26" i="244" s="1"/>
  <c r="E27" i="244"/>
  <c r="G27" i="244" s="1"/>
  <c r="H26" i="248"/>
  <c r="H28" i="248" s="1"/>
  <c r="H29" i="248" s="1"/>
  <c r="H30" i="248" s="1"/>
  <c r="H31" i="248" s="1"/>
  <c r="H32" i="248" s="1"/>
  <c r="H33" i="248" s="1"/>
  <c r="H34" i="248" s="1"/>
  <c r="G50" i="150"/>
  <c r="G45" i="229"/>
  <c r="G29" i="229"/>
  <c r="G33" i="229"/>
  <c r="G73" i="229"/>
  <c r="G37" i="229"/>
  <c r="G49" i="229"/>
  <c r="E21" i="135"/>
  <c r="E22" i="135" s="1"/>
  <c r="E23" i="135" s="1"/>
  <c r="E24" i="135" s="1"/>
  <c r="E25" i="135" s="1"/>
  <c r="E26" i="135" s="1"/>
  <c r="E27" i="135" s="1"/>
  <c r="E28" i="135" s="1"/>
  <c r="E29" i="135" s="1"/>
  <c r="E30" i="135" s="1"/>
  <c r="E31" i="135" s="1"/>
  <c r="E32" i="135" s="1"/>
  <c r="E33" i="135" s="1"/>
  <c r="E34" i="135" s="1"/>
  <c r="E35" i="135" s="1"/>
  <c r="E36" i="135" s="1"/>
  <c r="E37" i="135" s="1"/>
  <c r="E38" i="135" s="1"/>
  <c r="E39" i="135" s="1"/>
  <c r="E40" i="135" s="1"/>
  <c r="E41" i="135" s="1"/>
  <c r="E42" i="135" s="1"/>
  <c r="E43" i="135" s="1"/>
  <c r="E44" i="135" s="1"/>
  <c r="G69" i="229"/>
  <c r="G49" i="150"/>
  <c r="G55" i="150"/>
  <c r="G39" i="150"/>
  <c r="G45" i="150"/>
  <c r="G62" i="239"/>
  <c r="G85" i="239"/>
  <c r="G69" i="239"/>
  <c r="G53" i="239"/>
  <c r="G37" i="239"/>
  <c r="G85" i="246"/>
  <c r="H25" i="246"/>
  <c r="H26" i="246" s="1"/>
  <c r="H27" i="246" s="1"/>
  <c r="H28" i="246" s="1"/>
  <c r="H29" i="246" s="1"/>
  <c r="H30" i="246" s="1"/>
  <c r="H31" i="246" s="1"/>
  <c r="H32" i="246" s="1"/>
  <c r="H33" i="246" s="1"/>
  <c r="H34" i="246" s="1"/>
  <c r="H35" i="246" s="1"/>
  <c r="H36" i="246" s="1"/>
  <c r="H37" i="246" s="1"/>
  <c r="H38" i="246" s="1"/>
  <c r="H39" i="246" s="1"/>
  <c r="H40" i="246" s="1"/>
  <c r="H41" i="246" s="1"/>
  <c r="H42" i="246" s="1"/>
  <c r="H43" i="246" s="1"/>
  <c r="H44" i="246" s="1"/>
  <c r="H45" i="246" s="1"/>
  <c r="H46" i="246" s="1"/>
  <c r="H47" i="246" s="1"/>
  <c r="H48" i="246" s="1"/>
  <c r="H49" i="246" s="1"/>
  <c r="H50" i="246" s="1"/>
  <c r="H51" i="246" s="1"/>
  <c r="H52" i="246" s="1"/>
  <c r="H53" i="246" s="1"/>
  <c r="H54" i="246" s="1"/>
  <c r="H55" i="246" s="1"/>
  <c r="H56" i="246" s="1"/>
  <c r="H57" i="246" s="1"/>
  <c r="H58" i="246" s="1"/>
  <c r="H59" i="246" s="1"/>
  <c r="H60" i="246" s="1"/>
  <c r="H61" i="246" s="1"/>
  <c r="H62" i="246" s="1"/>
  <c r="H63" i="246" s="1"/>
  <c r="H64" i="246" s="1"/>
  <c r="H65" i="246" s="1"/>
  <c r="H66" i="246" s="1"/>
  <c r="H67" i="246" s="1"/>
  <c r="H68" i="246" s="1"/>
  <c r="H69" i="246" s="1"/>
  <c r="H70" i="246" s="1"/>
  <c r="H71" i="246" s="1"/>
  <c r="H72" i="246" s="1"/>
  <c r="H73" i="246" s="1"/>
  <c r="H74" i="246" s="1"/>
  <c r="H75" i="246" s="1"/>
  <c r="H76" i="246" s="1"/>
  <c r="H77" i="246" s="1"/>
  <c r="H78" i="246" s="1"/>
  <c r="H79" i="246" s="1"/>
  <c r="H80" i="246" s="1"/>
  <c r="H81" i="246" s="1"/>
  <c r="H82" i="246" s="1"/>
  <c r="H83" i="246" s="1"/>
  <c r="H84" i="246" s="1"/>
  <c r="E63" i="225"/>
  <c r="E37" i="225"/>
  <c r="E41" i="225"/>
  <c r="E45" i="225"/>
  <c r="E49" i="225"/>
  <c r="E53" i="225"/>
  <c r="E57" i="225"/>
  <c r="E61" i="225"/>
  <c r="E34" i="225"/>
  <c r="E38" i="225"/>
  <c r="E42" i="225"/>
  <c r="E46" i="225"/>
  <c r="E50" i="225"/>
  <c r="E54" i="225"/>
  <c r="E58" i="225"/>
  <c r="E62" i="225"/>
  <c r="E36" i="225"/>
  <c r="E44" i="225"/>
  <c r="E52" i="225"/>
  <c r="E60" i="225"/>
  <c r="E35" i="225"/>
  <c r="E39" i="225"/>
  <c r="E43" i="225"/>
  <c r="E47" i="225"/>
  <c r="E51" i="225"/>
  <c r="E55" i="225"/>
  <c r="E59" i="225"/>
  <c r="E33" i="225"/>
  <c r="E40" i="225"/>
  <c r="E48" i="225"/>
  <c r="E56" i="225"/>
  <c r="F37" i="225"/>
  <c r="F41" i="225"/>
  <c r="F45" i="225"/>
  <c r="F49" i="225"/>
  <c r="F53" i="225"/>
  <c r="F57" i="225"/>
  <c r="F61" i="225"/>
  <c r="F28" i="225"/>
  <c r="F26" i="225"/>
  <c r="F34" i="225"/>
  <c r="F38" i="225"/>
  <c r="F42" i="225"/>
  <c r="F46" i="225"/>
  <c r="F50" i="225"/>
  <c r="F54" i="225"/>
  <c r="F58" i="225"/>
  <c r="F62" i="225"/>
  <c r="F29" i="225"/>
  <c r="F63" i="225"/>
  <c r="F52" i="225"/>
  <c r="F27" i="225"/>
  <c r="F35" i="225"/>
  <c r="F39" i="225"/>
  <c r="F43" i="225"/>
  <c r="F47" i="225"/>
  <c r="F51" i="225"/>
  <c r="F55" i="225"/>
  <c r="F59" i="225"/>
  <c r="F33" i="225"/>
  <c r="F30" i="225"/>
  <c r="F36" i="225"/>
  <c r="F40" i="225"/>
  <c r="F44" i="225"/>
  <c r="F48" i="225"/>
  <c r="F56" i="225"/>
  <c r="F60" i="225"/>
  <c r="F31" i="225"/>
  <c r="D20" i="225"/>
  <c r="E27" i="225"/>
  <c r="E31" i="225"/>
  <c r="E30" i="225"/>
  <c r="E28" i="225"/>
  <c r="E26" i="225"/>
  <c r="E29" i="225"/>
  <c r="G50" i="242"/>
  <c r="E87" i="236"/>
  <c r="G87" i="236" s="1"/>
  <c r="G70" i="239"/>
  <c r="G28" i="239"/>
  <c r="G72" i="239"/>
  <c r="G56" i="239"/>
  <c r="G40" i="239"/>
  <c r="G87" i="239"/>
  <c r="G71" i="239"/>
  <c r="G39" i="239"/>
  <c r="G27" i="242"/>
  <c r="G48" i="242"/>
  <c r="G32" i="242"/>
  <c r="G65" i="248"/>
  <c r="G38" i="242"/>
  <c r="G60" i="242"/>
  <c r="G44" i="242"/>
  <c r="G51" i="242"/>
  <c r="G41" i="242"/>
  <c r="F64" i="242"/>
  <c r="G31" i="242"/>
  <c r="G63" i="242"/>
  <c r="G37" i="242"/>
  <c r="G25" i="242"/>
  <c r="H25" i="242" s="1"/>
  <c r="G59" i="242"/>
  <c r="G43" i="242"/>
  <c r="G28" i="242"/>
  <c r="G34" i="242"/>
  <c r="G56" i="242"/>
  <c r="G40" i="242"/>
  <c r="G54" i="242"/>
  <c r="G49" i="242"/>
  <c r="G33" i="242"/>
  <c r="G35" i="242"/>
  <c r="G46" i="242"/>
  <c r="G57" i="242"/>
  <c r="E64" i="242"/>
  <c r="G47" i="242"/>
  <c r="G42" i="242"/>
  <c r="G53" i="242"/>
  <c r="G58" i="242"/>
  <c r="G55" i="242"/>
  <c r="G39" i="242"/>
  <c r="G62" i="242"/>
  <c r="G30" i="242"/>
  <c r="G52" i="242"/>
  <c r="G36" i="242"/>
  <c r="G61" i="242"/>
  <c r="G45" i="242"/>
  <c r="G29" i="242"/>
  <c r="H25" i="239"/>
  <c r="H24" i="239"/>
  <c r="G66" i="239"/>
  <c r="G46" i="239"/>
  <c r="G81" i="239"/>
  <c r="G65" i="239"/>
  <c r="G49" i="239"/>
  <c r="G33" i="239"/>
  <c r="G58" i="239"/>
  <c r="G84" i="239"/>
  <c r="G68" i="239"/>
  <c r="G52" i="239"/>
  <c r="G36" i="239"/>
  <c r="G54" i="239"/>
  <c r="G83" i="239"/>
  <c r="G67" i="239"/>
  <c r="G51" i="239"/>
  <c r="G35" i="239"/>
  <c r="F88" i="239"/>
  <c r="G86" i="239"/>
  <c r="G38" i="239"/>
  <c r="G77" i="239"/>
  <c r="G61" i="239"/>
  <c r="G45" i="239"/>
  <c r="G29" i="239"/>
  <c r="G50" i="239"/>
  <c r="G80" i="239"/>
  <c r="G64" i="239"/>
  <c r="G48" i="239"/>
  <c r="G32" i="239"/>
  <c r="G42" i="239"/>
  <c r="G79" i="239"/>
  <c r="G63" i="239"/>
  <c r="G47" i="239"/>
  <c r="G31" i="239"/>
  <c r="G55" i="239"/>
  <c r="G74" i="239"/>
  <c r="G26" i="239"/>
  <c r="E88" i="239"/>
  <c r="G73" i="239"/>
  <c r="G57" i="239"/>
  <c r="G41" i="239"/>
  <c r="G82" i="239"/>
  <c r="G34" i="239"/>
  <c r="G76" i="239"/>
  <c r="G60" i="239"/>
  <c r="G44" i="239"/>
  <c r="G78" i="239"/>
  <c r="G30" i="239"/>
  <c r="G75" i="239"/>
  <c r="G59" i="239"/>
  <c r="G43" i="239"/>
  <c r="H25" i="244"/>
  <c r="H24" i="244"/>
  <c r="F77" i="236"/>
  <c r="F83" i="236"/>
  <c r="F81" i="236"/>
  <c r="F86" i="236"/>
  <c r="F80" i="236"/>
  <c r="F82" i="236"/>
  <c r="F85" i="236"/>
  <c r="F78" i="236"/>
  <c r="F79" i="236"/>
  <c r="F84" i="236"/>
  <c r="E77" i="236"/>
  <c r="E80" i="236"/>
  <c r="E82" i="236"/>
  <c r="E85" i="236"/>
  <c r="E78" i="236"/>
  <c r="E79" i="236"/>
  <c r="E83" i="236"/>
  <c r="E81" i="236"/>
  <c r="E84" i="236"/>
  <c r="E86" i="236"/>
  <c r="G86" i="236" s="1"/>
  <c r="G77" i="229"/>
  <c r="G41" i="229"/>
  <c r="G85" i="229"/>
  <c r="G78" i="229"/>
  <c r="G76" i="229"/>
  <c r="G61" i="229"/>
  <c r="G81" i="229"/>
  <c r="G83" i="229"/>
  <c r="G53" i="229"/>
  <c r="G40" i="229"/>
  <c r="G81" i="240"/>
  <c r="G41" i="240"/>
  <c r="G73" i="240"/>
  <c r="G63" i="240"/>
  <c r="F30" i="236"/>
  <c r="F34" i="236"/>
  <c r="F38" i="236"/>
  <c r="F42" i="236"/>
  <c r="F46" i="236"/>
  <c r="F50" i="236"/>
  <c r="F54" i="236"/>
  <c r="F58" i="236"/>
  <c r="F62" i="236"/>
  <c r="F66" i="236"/>
  <c r="F70" i="236"/>
  <c r="F74" i="236"/>
  <c r="F31" i="236"/>
  <c r="F35" i="236"/>
  <c r="F39" i="236"/>
  <c r="F43" i="236"/>
  <c r="F47" i="236"/>
  <c r="F51" i="236"/>
  <c r="F55" i="236"/>
  <c r="F59" i="236"/>
  <c r="F63" i="236"/>
  <c r="F67" i="236"/>
  <c r="F71" i="236"/>
  <c r="F75" i="236"/>
  <c r="F37" i="236"/>
  <c r="F45" i="236"/>
  <c r="F53" i="236"/>
  <c r="F61" i="236"/>
  <c r="F69" i="236"/>
  <c r="F32" i="236"/>
  <c r="F36" i="236"/>
  <c r="F40" i="236"/>
  <c r="F44" i="236"/>
  <c r="F48" i="236"/>
  <c r="F52" i="236"/>
  <c r="F56" i="236"/>
  <c r="F60" i="236"/>
  <c r="F64" i="236"/>
  <c r="F68" i="236"/>
  <c r="F72" i="236"/>
  <c r="F76" i="236"/>
  <c r="F29" i="236"/>
  <c r="F33" i="236"/>
  <c r="F41" i="236"/>
  <c r="F49" i="236"/>
  <c r="F57" i="236"/>
  <c r="F65" i="236"/>
  <c r="F73" i="236"/>
  <c r="E29" i="236"/>
  <c r="E33" i="236"/>
  <c r="E37" i="236"/>
  <c r="E41" i="236"/>
  <c r="E45" i="236"/>
  <c r="E49" i="236"/>
  <c r="E53" i="236"/>
  <c r="G53" i="236" s="1"/>
  <c r="E57" i="236"/>
  <c r="E61" i="236"/>
  <c r="E65" i="236"/>
  <c r="E69" i="236"/>
  <c r="E73" i="236"/>
  <c r="G73" i="236" s="1"/>
  <c r="E30" i="236"/>
  <c r="G30" i="236" s="1"/>
  <c r="E34" i="236"/>
  <c r="G34" i="236" s="1"/>
  <c r="E38" i="236"/>
  <c r="G38" i="236" s="1"/>
  <c r="E42" i="236"/>
  <c r="G42" i="236" s="1"/>
  <c r="E46" i="236"/>
  <c r="G46" i="236" s="1"/>
  <c r="E50" i="236"/>
  <c r="G50" i="236" s="1"/>
  <c r="E54" i="236"/>
  <c r="G54" i="236" s="1"/>
  <c r="E58" i="236"/>
  <c r="G58" i="236" s="1"/>
  <c r="E62" i="236"/>
  <c r="G62" i="236" s="1"/>
  <c r="E66" i="236"/>
  <c r="G66" i="236" s="1"/>
  <c r="E70" i="236"/>
  <c r="G70" i="236" s="1"/>
  <c r="E74" i="236"/>
  <c r="G74" i="236" s="1"/>
  <c r="E36" i="236"/>
  <c r="E40" i="236"/>
  <c r="E48" i="236"/>
  <c r="E56" i="236"/>
  <c r="G56" i="236" s="1"/>
  <c r="E64" i="236"/>
  <c r="E72" i="236"/>
  <c r="E31" i="236"/>
  <c r="E35" i="236"/>
  <c r="E39" i="236"/>
  <c r="E43" i="236"/>
  <c r="E47" i="236"/>
  <c r="E51" i="236"/>
  <c r="E55" i="236"/>
  <c r="E59" i="236"/>
  <c r="E63" i="236"/>
  <c r="E67" i="236"/>
  <c r="E71" i="236"/>
  <c r="E75" i="236"/>
  <c r="E32" i="236"/>
  <c r="E44" i="236"/>
  <c r="E52" i="236"/>
  <c r="E60" i="236"/>
  <c r="E68" i="236"/>
  <c r="G68" i="236" s="1"/>
  <c r="E76" i="236"/>
  <c r="F26" i="236"/>
  <c r="F28" i="236"/>
  <c r="E26" i="236"/>
  <c r="E28" i="236"/>
  <c r="E25" i="243"/>
  <c r="G25" i="243" s="1"/>
  <c r="G59" i="229"/>
  <c r="G75" i="229"/>
  <c r="G62" i="229"/>
  <c r="G52" i="229"/>
  <c r="G36" i="229"/>
  <c r="G80" i="229"/>
  <c r="G55" i="229"/>
  <c r="G39" i="229"/>
  <c r="G31" i="240"/>
  <c r="G78" i="240"/>
  <c r="G62" i="240"/>
  <c r="G46" i="240"/>
  <c r="G30" i="240"/>
  <c r="H23" i="237"/>
  <c r="H22" i="237"/>
  <c r="F26" i="243"/>
  <c r="H23" i="240"/>
  <c r="H22" i="240"/>
  <c r="E24" i="243"/>
  <c r="G44" i="229"/>
  <c r="G66" i="229"/>
  <c r="G31" i="247"/>
  <c r="G25" i="150"/>
  <c r="G24" i="150"/>
  <c r="G51" i="150"/>
  <c r="G35" i="150"/>
  <c r="G41" i="150"/>
  <c r="G61" i="150"/>
  <c r="H22" i="150"/>
  <c r="H21" i="150"/>
  <c r="D21" i="236"/>
  <c r="F28" i="244"/>
  <c r="G84" i="245"/>
  <c r="F86" i="240"/>
  <c r="G67" i="240"/>
  <c r="G27" i="240"/>
  <c r="G49" i="240"/>
  <c r="G59" i="240"/>
  <c r="G71" i="240"/>
  <c r="G39" i="240"/>
  <c r="G80" i="240"/>
  <c r="G64" i="240"/>
  <c r="G48" i="240"/>
  <c r="G32" i="240"/>
  <c r="E62" i="150"/>
  <c r="G58" i="150"/>
  <c r="G53" i="150"/>
  <c r="G37" i="150"/>
  <c r="G59" i="150"/>
  <c r="G43" i="150"/>
  <c r="G26" i="150"/>
  <c r="G47" i="150"/>
  <c r="G33" i="150"/>
  <c r="G31" i="150"/>
  <c r="F62" i="150"/>
  <c r="G26" i="237"/>
  <c r="E27" i="237"/>
  <c r="G24" i="237"/>
  <c r="F63" i="237"/>
  <c r="G62" i="237"/>
  <c r="G72" i="240"/>
  <c r="G56" i="240"/>
  <c r="G51" i="240"/>
  <c r="G54" i="240"/>
  <c r="G37" i="240"/>
  <c r="G43" i="240"/>
  <c r="G65" i="240"/>
  <c r="G33" i="240"/>
  <c r="G29" i="240"/>
  <c r="G26" i="240"/>
  <c r="G55" i="240"/>
  <c r="G84" i="240"/>
  <c r="G76" i="240"/>
  <c r="G68" i="240"/>
  <c r="G60" i="240"/>
  <c r="G52" i="240"/>
  <c r="G44" i="240"/>
  <c r="G36" i="240"/>
  <c r="G28" i="240"/>
  <c r="G61" i="240"/>
  <c r="G69" i="240"/>
  <c r="G40" i="240"/>
  <c r="G53" i="240"/>
  <c r="G45" i="240"/>
  <c r="G70" i="240"/>
  <c r="G38" i="240"/>
  <c r="G77" i="240"/>
  <c r="G83" i="240"/>
  <c r="G35" i="240"/>
  <c r="G57" i="240"/>
  <c r="G85" i="240"/>
  <c r="G75" i="240"/>
  <c r="G79" i="240"/>
  <c r="G47" i="240"/>
  <c r="G82" i="240"/>
  <c r="G74" i="240"/>
  <c r="G66" i="240"/>
  <c r="G58" i="240"/>
  <c r="G50" i="240"/>
  <c r="G42" i="240"/>
  <c r="G34" i="240"/>
  <c r="G24" i="240"/>
  <c r="E86" i="240"/>
  <c r="G56" i="229"/>
  <c r="H23" i="229"/>
  <c r="H22" i="229"/>
  <c r="G51" i="229"/>
  <c r="G28" i="229"/>
  <c r="G74" i="229"/>
  <c r="G58" i="229"/>
  <c r="G70" i="229"/>
  <c r="G60" i="229"/>
  <c r="G50" i="229"/>
  <c r="G34" i="229"/>
  <c r="G24" i="229"/>
  <c r="E86" i="229"/>
  <c r="G26" i="229"/>
  <c r="G72" i="229"/>
  <c r="G47" i="229"/>
  <c r="G31" i="229"/>
  <c r="G84" i="229"/>
  <c r="G68" i="229"/>
  <c r="G57" i="229"/>
  <c r="G43" i="229"/>
  <c r="G27" i="229"/>
  <c r="G71" i="229"/>
  <c r="G48" i="229"/>
  <c r="G32" i="229"/>
  <c r="G30" i="229"/>
  <c r="G46" i="229"/>
  <c r="F86" i="229"/>
  <c r="G35" i="229"/>
  <c r="G67" i="229"/>
  <c r="G42" i="229"/>
  <c r="G64" i="229"/>
  <c r="G65" i="229"/>
  <c r="G54" i="229"/>
  <c r="G38" i="229"/>
  <c r="G82" i="229"/>
  <c r="G63" i="229"/>
  <c r="H22" i="243"/>
  <c r="D54" i="221"/>
  <c r="E22" i="221"/>
  <c r="E23" i="221" s="1"/>
  <c r="E24" i="221" s="1"/>
  <c r="E25" i="221" s="1"/>
  <c r="E26" i="221" s="1"/>
  <c r="E27" i="221" s="1"/>
  <c r="E28" i="221" s="1"/>
  <c r="E29" i="221" s="1"/>
  <c r="E30" i="221" s="1"/>
  <c r="E31" i="221" s="1"/>
  <c r="E32" i="221" s="1"/>
  <c r="E33" i="221" s="1"/>
  <c r="E34" i="221" s="1"/>
  <c r="E35" i="221" s="1"/>
  <c r="E36" i="221" s="1"/>
  <c r="E37" i="221" s="1"/>
  <c r="E38" i="221" s="1"/>
  <c r="E39" i="221" s="1"/>
  <c r="E40" i="221" s="1"/>
  <c r="E41" i="221" s="1"/>
  <c r="E42" i="221" s="1"/>
  <c r="E43" i="221" s="1"/>
  <c r="E44" i="221" s="1"/>
  <c r="E45" i="221" s="1"/>
  <c r="E46" i="221" s="1"/>
  <c r="E47" i="221" s="1"/>
  <c r="E48" i="221" s="1"/>
  <c r="E49" i="221" s="1"/>
  <c r="E50" i="221" s="1"/>
  <c r="E51" i="221" s="1"/>
  <c r="E52" i="221" s="1"/>
  <c r="E53" i="221" s="1"/>
  <c r="D24" i="222"/>
  <c r="D25" i="222" s="1"/>
  <c r="D26" i="222" s="1"/>
  <c r="D27" i="222" s="1"/>
  <c r="D28" i="222" s="1"/>
  <c r="D29" i="222" s="1"/>
  <c r="D30" i="222" s="1"/>
  <c r="D31" i="222" s="1"/>
  <c r="D32" i="222" s="1"/>
  <c r="D33" i="222" s="1"/>
  <c r="D34" i="222" s="1"/>
  <c r="D35" i="222" s="1"/>
  <c r="D36" i="222" s="1"/>
  <c r="D37" i="222" s="1"/>
  <c r="D38" i="222" s="1"/>
  <c r="D39" i="222" s="1"/>
  <c r="D40" i="222" s="1"/>
  <c r="D41" i="222" s="1"/>
  <c r="D42" i="222" s="1"/>
  <c r="D43" i="222" s="1"/>
  <c r="D44" i="222" s="1"/>
  <c r="D45" i="222" s="1"/>
  <c r="D46" i="222" s="1"/>
  <c r="D47" i="222" s="1"/>
  <c r="D48" i="222" s="1"/>
  <c r="D49" i="222" s="1"/>
  <c r="D50" i="222" s="1"/>
  <c r="D51" i="222" s="1"/>
  <c r="D52" i="222" s="1"/>
  <c r="D53" i="222" s="1"/>
  <c r="D54" i="222"/>
  <c r="E22" i="222"/>
  <c r="D23" i="222"/>
  <c r="H35" i="248" l="1"/>
  <c r="H36" i="248" s="1"/>
  <c r="H37" i="248" s="1"/>
  <c r="H38" i="248" s="1"/>
  <c r="H39" i="248" s="1"/>
  <c r="H40" i="248" s="1"/>
  <c r="H41" i="248" s="1"/>
  <c r="H42" i="248" s="1"/>
  <c r="H43" i="248" s="1"/>
  <c r="H44" i="248" s="1"/>
  <c r="H45" i="248" s="1"/>
  <c r="H46" i="248" s="1"/>
  <c r="H47" i="248" s="1"/>
  <c r="H48" i="248" s="1"/>
  <c r="H49" i="248" s="1"/>
  <c r="H50" i="248" s="1"/>
  <c r="H51" i="248" s="1"/>
  <c r="H52" i="248" s="1"/>
  <c r="H53" i="248" s="1"/>
  <c r="H54" i="248" s="1"/>
  <c r="H55" i="248" s="1"/>
  <c r="H56" i="248" s="1"/>
  <c r="H57" i="248" s="1"/>
  <c r="H58" i="248" s="1"/>
  <c r="H59" i="248" s="1"/>
  <c r="H60" i="248" s="1"/>
  <c r="H61" i="248" s="1"/>
  <c r="H62" i="248" s="1"/>
  <c r="H63" i="248" s="1"/>
  <c r="H64" i="248" s="1"/>
  <c r="E28" i="244"/>
  <c r="G28" i="244"/>
  <c r="G41" i="236"/>
  <c r="G30" i="225"/>
  <c r="G29" i="225"/>
  <c r="G61" i="225"/>
  <c r="G45" i="225"/>
  <c r="E26" i="243"/>
  <c r="H31" i="247"/>
  <c r="G24" i="243"/>
  <c r="G26" i="243" s="1"/>
  <c r="H26" i="244"/>
  <c r="H27" i="244" s="1"/>
  <c r="G60" i="225"/>
  <c r="G28" i="225"/>
  <c r="G47" i="225"/>
  <c r="G62" i="225"/>
  <c r="G31" i="225"/>
  <c r="G56" i="225"/>
  <c r="G59" i="225"/>
  <c r="G43" i="225"/>
  <c r="G52" i="225"/>
  <c r="G58" i="225"/>
  <c r="G42" i="225"/>
  <c r="G57" i="225"/>
  <c r="G41" i="225"/>
  <c r="G46" i="225"/>
  <c r="E64" i="225"/>
  <c r="G26" i="225"/>
  <c r="G27" i="225"/>
  <c r="G48" i="225"/>
  <c r="G55" i="225"/>
  <c r="G39" i="225"/>
  <c r="G44" i="225"/>
  <c r="G54" i="225"/>
  <c r="G38" i="225"/>
  <c r="G53" i="225"/>
  <c r="G37" i="225"/>
  <c r="F64" i="225"/>
  <c r="G33" i="225"/>
  <c r="H24" i="225"/>
  <c r="H26" i="225" s="1"/>
  <c r="H23" i="225"/>
  <c r="G40" i="225"/>
  <c r="G51" i="225"/>
  <c r="G35" i="225"/>
  <c r="G36" i="225"/>
  <c r="G50" i="225"/>
  <c r="G34" i="225"/>
  <c r="G49" i="225"/>
  <c r="G63" i="225"/>
  <c r="H27" i="242"/>
  <c r="H28" i="242" s="1"/>
  <c r="H29" i="242" s="1"/>
  <c r="H30" i="242" s="1"/>
  <c r="H31" i="242" s="1"/>
  <c r="H32" i="242" s="1"/>
  <c r="H33" i="242" s="1"/>
  <c r="H34" i="242" s="1"/>
  <c r="H35" i="242" s="1"/>
  <c r="H36" i="242" s="1"/>
  <c r="H37" i="242" s="1"/>
  <c r="H38" i="242" s="1"/>
  <c r="H39" i="242" s="1"/>
  <c r="H40" i="242" s="1"/>
  <c r="H41" i="242" s="1"/>
  <c r="H42" i="242" s="1"/>
  <c r="H43" i="242" s="1"/>
  <c r="H44" i="242" s="1"/>
  <c r="H45" i="242" s="1"/>
  <c r="H46" i="242" s="1"/>
  <c r="H47" i="242" s="1"/>
  <c r="H48" i="242" s="1"/>
  <c r="H49" i="242" s="1"/>
  <c r="H50" i="242" s="1"/>
  <c r="H51" i="242" s="1"/>
  <c r="H52" i="242" s="1"/>
  <c r="H53" i="242" s="1"/>
  <c r="H54" i="242" s="1"/>
  <c r="H55" i="242" s="1"/>
  <c r="H56" i="242" s="1"/>
  <c r="H57" i="242" s="1"/>
  <c r="H58" i="242" s="1"/>
  <c r="H59" i="242" s="1"/>
  <c r="H60" i="242" s="1"/>
  <c r="H61" i="242" s="1"/>
  <c r="H62" i="242" s="1"/>
  <c r="H63" i="242" s="1"/>
  <c r="H25" i="236"/>
  <c r="H24" i="236"/>
  <c r="G77" i="236"/>
  <c r="G64" i="242"/>
  <c r="H26" i="239"/>
  <c r="H28" i="239" s="1"/>
  <c r="H29" i="239" s="1"/>
  <c r="H30" i="239" s="1"/>
  <c r="H31" i="239" s="1"/>
  <c r="H32" i="239" s="1"/>
  <c r="H33" i="239" s="1"/>
  <c r="H34" i="239" s="1"/>
  <c r="H35" i="239" s="1"/>
  <c r="H36" i="239" s="1"/>
  <c r="H37" i="239" s="1"/>
  <c r="H38" i="239" s="1"/>
  <c r="H39" i="239" s="1"/>
  <c r="H40" i="239" s="1"/>
  <c r="H41" i="239" s="1"/>
  <c r="H42" i="239" s="1"/>
  <c r="H43" i="239" s="1"/>
  <c r="H44" i="239" s="1"/>
  <c r="H45" i="239" s="1"/>
  <c r="H46" i="239" s="1"/>
  <c r="H47" i="239" s="1"/>
  <c r="H48" i="239" s="1"/>
  <c r="H49" i="239" s="1"/>
  <c r="H50" i="239" s="1"/>
  <c r="H51" i="239" s="1"/>
  <c r="H52" i="239" s="1"/>
  <c r="H53" i="239" s="1"/>
  <c r="H54" i="239" s="1"/>
  <c r="H55" i="239" s="1"/>
  <c r="H56" i="239" s="1"/>
  <c r="H57" i="239" s="1"/>
  <c r="H58" i="239" s="1"/>
  <c r="H59" i="239" s="1"/>
  <c r="H60" i="239" s="1"/>
  <c r="H61" i="239" s="1"/>
  <c r="H62" i="239" s="1"/>
  <c r="H63" i="239" s="1"/>
  <c r="H64" i="239" s="1"/>
  <c r="H65" i="239" s="1"/>
  <c r="H66" i="239" s="1"/>
  <c r="H67" i="239" s="1"/>
  <c r="H68" i="239" s="1"/>
  <c r="H69" i="239" s="1"/>
  <c r="H70" i="239" s="1"/>
  <c r="H71" i="239" s="1"/>
  <c r="H72" i="239" s="1"/>
  <c r="H73" i="239" s="1"/>
  <c r="H74" i="239" s="1"/>
  <c r="H75" i="239" s="1"/>
  <c r="H76" i="239" s="1"/>
  <c r="H77" i="239" s="1"/>
  <c r="H78" i="239" s="1"/>
  <c r="H79" i="239" s="1"/>
  <c r="H80" i="239" s="1"/>
  <c r="H81" i="239" s="1"/>
  <c r="H82" i="239" s="1"/>
  <c r="H83" i="239" s="1"/>
  <c r="H84" i="239" s="1"/>
  <c r="H85" i="239" s="1"/>
  <c r="H86" i="239" s="1"/>
  <c r="H87" i="239" s="1"/>
  <c r="G88" i="239"/>
  <c r="G83" i="236"/>
  <c r="G84" i="236"/>
  <c r="F88" i="236"/>
  <c r="G76" i="236"/>
  <c r="G44" i="236"/>
  <c r="G81" i="236"/>
  <c r="G85" i="236"/>
  <c r="E88" i="236"/>
  <c r="G63" i="236"/>
  <c r="G47" i="236"/>
  <c r="G31" i="236"/>
  <c r="G69" i="236"/>
  <c r="G37" i="236"/>
  <c r="G60" i="236"/>
  <c r="G49" i="236"/>
  <c r="G79" i="236"/>
  <c r="G80" i="236"/>
  <c r="G78" i="236"/>
  <c r="G82" i="236"/>
  <c r="H24" i="229"/>
  <c r="H26" i="229" s="1"/>
  <c r="H27" i="229" s="1"/>
  <c r="H28" i="229" s="1"/>
  <c r="H29" i="229" s="1"/>
  <c r="H30" i="229" s="1"/>
  <c r="H31" i="229" s="1"/>
  <c r="H32" i="229" s="1"/>
  <c r="H33" i="229" s="1"/>
  <c r="H34" i="229" s="1"/>
  <c r="H35" i="229" s="1"/>
  <c r="H36" i="229" s="1"/>
  <c r="H37" i="229" s="1"/>
  <c r="H38" i="229" s="1"/>
  <c r="H39" i="229" s="1"/>
  <c r="H40" i="229" s="1"/>
  <c r="H41" i="229" s="1"/>
  <c r="H42" i="229" s="1"/>
  <c r="H43" i="229" s="1"/>
  <c r="H44" i="229" s="1"/>
  <c r="H45" i="229" s="1"/>
  <c r="H46" i="229" s="1"/>
  <c r="H47" i="229" s="1"/>
  <c r="H48" i="229" s="1"/>
  <c r="H49" i="229" s="1"/>
  <c r="H50" i="229" s="1"/>
  <c r="H51" i="229" s="1"/>
  <c r="H52" i="229" s="1"/>
  <c r="H53" i="229" s="1"/>
  <c r="H54" i="229" s="1"/>
  <c r="H55" i="229" s="1"/>
  <c r="H56" i="229" s="1"/>
  <c r="H57" i="229" s="1"/>
  <c r="H58" i="229" s="1"/>
  <c r="H59" i="229" s="1"/>
  <c r="H60" i="229" s="1"/>
  <c r="H61" i="229" s="1"/>
  <c r="H62" i="229" s="1"/>
  <c r="H63" i="229" s="1"/>
  <c r="H64" i="229" s="1"/>
  <c r="H65" i="229" s="1"/>
  <c r="H66" i="229" s="1"/>
  <c r="H67" i="229" s="1"/>
  <c r="H68" i="229" s="1"/>
  <c r="H69" i="229" s="1"/>
  <c r="H70" i="229" s="1"/>
  <c r="H71" i="229" s="1"/>
  <c r="H72" i="229" s="1"/>
  <c r="H73" i="229" s="1"/>
  <c r="H74" i="229" s="1"/>
  <c r="H75" i="229" s="1"/>
  <c r="H76" i="229" s="1"/>
  <c r="H77" i="229" s="1"/>
  <c r="H78" i="229" s="1"/>
  <c r="H79" i="229" s="1"/>
  <c r="H80" i="229" s="1"/>
  <c r="H81" i="229" s="1"/>
  <c r="H82" i="229" s="1"/>
  <c r="H83" i="229" s="1"/>
  <c r="H84" i="229" s="1"/>
  <c r="H85" i="229" s="1"/>
  <c r="G64" i="236"/>
  <c r="G45" i="236"/>
  <c r="G29" i="236"/>
  <c r="G28" i="236"/>
  <c r="G67" i="236"/>
  <c r="G51" i="236"/>
  <c r="G35" i="236"/>
  <c r="G57" i="236"/>
  <c r="H24" i="150"/>
  <c r="H25" i="150" s="1"/>
  <c r="H26" i="150" s="1"/>
  <c r="H27" i="150" s="1"/>
  <c r="H28" i="150" s="1"/>
  <c r="H29" i="150" s="1"/>
  <c r="H31" i="150" s="1"/>
  <c r="H32" i="150" s="1"/>
  <c r="H33" i="150" s="1"/>
  <c r="H34" i="150" s="1"/>
  <c r="H35" i="150" s="1"/>
  <c r="H36" i="150" s="1"/>
  <c r="H37" i="150" s="1"/>
  <c r="H38" i="150" s="1"/>
  <c r="H39" i="150" s="1"/>
  <c r="H40" i="150" s="1"/>
  <c r="H41" i="150" s="1"/>
  <c r="H42" i="150" s="1"/>
  <c r="H43" i="150" s="1"/>
  <c r="H44" i="150" s="1"/>
  <c r="H45" i="150" s="1"/>
  <c r="H46" i="150" s="1"/>
  <c r="H47" i="150" s="1"/>
  <c r="H48" i="150" s="1"/>
  <c r="H49" i="150" s="1"/>
  <c r="H50" i="150" s="1"/>
  <c r="H51" i="150" s="1"/>
  <c r="H52" i="150" s="1"/>
  <c r="H53" i="150" s="1"/>
  <c r="H54" i="150" s="1"/>
  <c r="H55" i="150" s="1"/>
  <c r="H56" i="150" s="1"/>
  <c r="H57" i="150" s="1"/>
  <c r="H58" i="150" s="1"/>
  <c r="H59" i="150" s="1"/>
  <c r="H60" i="150" s="1"/>
  <c r="H61" i="150" s="1"/>
  <c r="G32" i="236"/>
  <c r="G48" i="236"/>
  <c r="G26" i="236"/>
  <c r="H24" i="237"/>
  <c r="H26" i="237" s="1"/>
  <c r="G75" i="236"/>
  <c r="G59" i="236"/>
  <c r="G43" i="236"/>
  <c r="G72" i="236"/>
  <c r="G40" i="236"/>
  <c r="G65" i="236"/>
  <c r="G33" i="236"/>
  <c r="G52" i="236"/>
  <c r="G71" i="236"/>
  <c r="G55" i="236"/>
  <c r="G39" i="236"/>
  <c r="G36" i="236"/>
  <c r="G61" i="236"/>
  <c r="G32" i="247"/>
  <c r="G62" i="150"/>
  <c r="E28" i="237"/>
  <c r="G27" i="237"/>
  <c r="G86" i="240"/>
  <c r="H24" i="240"/>
  <c r="H26" i="240" s="1"/>
  <c r="H27" i="240" s="1"/>
  <c r="H28" i="240" s="1"/>
  <c r="H29" i="240" s="1"/>
  <c r="H30" i="240" s="1"/>
  <c r="H31" i="240" s="1"/>
  <c r="H32" i="240" s="1"/>
  <c r="H33" i="240" s="1"/>
  <c r="H34" i="240" s="1"/>
  <c r="H35" i="240" s="1"/>
  <c r="H36" i="240" s="1"/>
  <c r="H37" i="240" s="1"/>
  <c r="H38" i="240" s="1"/>
  <c r="H39" i="240" s="1"/>
  <c r="H40" i="240" s="1"/>
  <c r="H41" i="240" s="1"/>
  <c r="H42" i="240" s="1"/>
  <c r="H43" i="240" s="1"/>
  <c r="H44" i="240" s="1"/>
  <c r="H45" i="240" s="1"/>
  <c r="H46" i="240" s="1"/>
  <c r="H47" i="240" s="1"/>
  <c r="H48" i="240" s="1"/>
  <c r="H49" i="240" s="1"/>
  <c r="H50" i="240" s="1"/>
  <c r="H51" i="240" s="1"/>
  <c r="H52" i="240" s="1"/>
  <c r="H53" i="240" s="1"/>
  <c r="H54" i="240" s="1"/>
  <c r="H55" i="240" s="1"/>
  <c r="H56" i="240" s="1"/>
  <c r="H57" i="240" s="1"/>
  <c r="H58" i="240" s="1"/>
  <c r="H59" i="240" s="1"/>
  <c r="H60" i="240" s="1"/>
  <c r="H61" i="240" s="1"/>
  <c r="H62" i="240" s="1"/>
  <c r="H63" i="240" s="1"/>
  <c r="H64" i="240" s="1"/>
  <c r="H65" i="240" s="1"/>
  <c r="H66" i="240" s="1"/>
  <c r="H67" i="240" s="1"/>
  <c r="H68" i="240" s="1"/>
  <c r="H69" i="240" s="1"/>
  <c r="H70" i="240" s="1"/>
  <c r="H71" i="240" s="1"/>
  <c r="H72" i="240" s="1"/>
  <c r="H73" i="240" s="1"/>
  <c r="H74" i="240" s="1"/>
  <c r="H75" i="240" s="1"/>
  <c r="H76" i="240" s="1"/>
  <c r="H77" i="240" s="1"/>
  <c r="H78" i="240" s="1"/>
  <c r="H79" i="240" s="1"/>
  <c r="H80" i="240" s="1"/>
  <c r="H81" i="240" s="1"/>
  <c r="H82" i="240" s="1"/>
  <c r="H83" i="240" s="1"/>
  <c r="H84" i="240" s="1"/>
  <c r="H85" i="240" s="1"/>
  <c r="G86" i="229"/>
  <c r="D55" i="222"/>
  <c r="E23" i="222"/>
  <c r="E24" i="222" s="1"/>
  <c r="E25" i="222" s="1"/>
  <c r="E26" i="222" s="1"/>
  <c r="E27" i="222" s="1"/>
  <c r="E28" i="222" s="1"/>
  <c r="E29" i="222" s="1"/>
  <c r="E30" i="222" s="1"/>
  <c r="E31" i="222" s="1"/>
  <c r="E32" i="222" s="1"/>
  <c r="E33" i="222" s="1"/>
  <c r="E34" i="222" s="1"/>
  <c r="E35" i="222" s="1"/>
  <c r="E36" i="222" s="1"/>
  <c r="E37" i="222" s="1"/>
  <c r="E38" i="222" s="1"/>
  <c r="E39" i="222" s="1"/>
  <c r="E40" i="222" s="1"/>
  <c r="E41" i="222" s="1"/>
  <c r="E42" i="222" s="1"/>
  <c r="E43" i="222" s="1"/>
  <c r="E44" i="222" s="1"/>
  <c r="E45" i="222" s="1"/>
  <c r="E46" i="222" s="1"/>
  <c r="E47" i="222" s="1"/>
  <c r="E48" i="222" s="1"/>
  <c r="E49" i="222" s="1"/>
  <c r="E50" i="222" s="1"/>
  <c r="E51" i="222" s="1"/>
  <c r="E52" i="222" s="1"/>
  <c r="E53" i="222" s="1"/>
  <c r="E54" i="222" s="1"/>
  <c r="H24" i="243" l="1"/>
  <c r="H25" i="243" s="1"/>
  <c r="H32" i="247"/>
  <c r="H27" i="225"/>
  <c r="H28" i="225" s="1"/>
  <c r="H29" i="225" s="1"/>
  <c r="H30" i="225" s="1"/>
  <c r="H31" i="225" s="1"/>
  <c r="H33" i="225" s="1"/>
  <c r="H34" i="225" s="1"/>
  <c r="H35" i="225" s="1"/>
  <c r="H36" i="225" s="1"/>
  <c r="H37" i="225" s="1"/>
  <c r="H38" i="225" s="1"/>
  <c r="H39" i="225" s="1"/>
  <c r="H40" i="225" s="1"/>
  <c r="H41" i="225" s="1"/>
  <c r="H42" i="225" s="1"/>
  <c r="H43" i="225" s="1"/>
  <c r="H44" i="225" s="1"/>
  <c r="H45" i="225" s="1"/>
  <c r="H46" i="225" s="1"/>
  <c r="H47" i="225" s="1"/>
  <c r="H48" i="225" s="1"/>
  <c r="H49" i="225" s="1"/>
  <c r="H50" i="225" s="1"/>
  <c r="H51" i="225" s="1"/>
  <c r="H52" i="225" s="1"/>
  <c r="H53" i="225" s="1"/>
  <c r="H54" i="225" s="1"/>
  <c r="H55" i="225" s="1"/>
  <c r="H56" i="225" s="1"/>
  <c r="H57" i="225" s="1"/>
  <c r="H58" i="225" s="1"/>
  <c r="H59" i="225" s="1"/>
  <c r="H60" i="225" s="1"/>
  <c r="H61" i="225" s="1"/>
  <c r="H62" i="225" s="1"/>
  <c r="H63" i="225" s="1"/>
  <c r="G64" i="225"/>
  <c r="G88" i="236"/>
  <c r="H26" i="236"/>
  <c r="H28" i="236" s="1"/>
  <c r="H29" i="236" s="1"/>
  <c r="H30" i="236" s="1"/>
  <c r="H31" i="236" s="1"/>
  <c r="H32" i="236" s="1"/>
  <c r="H33" i="236" s="1"/>
  <c r="H34" i="236" s="1"/>
  <c r="H35" i="236" s="1"/>
  <c r="H36" i="236" s="1"/>
  <c r="H37" i="236" s="1"/>
  <c r="H38" i="236" s="1"/>
  <c r="H39" i="236" s="1"/>
  <c r="H40" i="236" s="1"/>
  <c r="H41" i="236" s="1"/>
  <c r="H42" i="236" s="1"/>
  <c r="H43" i="236" s="1"/>
  <c r="H44" i="236" s="1"/>
  <c r="H45" i="236" s="1"/>
  <c r="H46" i="236" s="1"/>
  <c r="H47" i="236" s="1"/>
  <c r="H48" i="236" s="1"/>
  <c r="H49" i="236" s="1"/>
  <c r="H50" i="236" s="1"/>
  <c r="H51" i="236" s="1"/>
  <c r="H52" i="236" s="1"/>
  <c r="H53" i="236" s="1"/>
  <c r="H54" i="236" s="1"/>
  <c r="H55" i="236" s="1"/>
  <c r="H56" i="236" s="1"/>
  <c r="H57" i="236" s="1"/>
  <c r="H58" i="236" s="1"/>
  <c r="H59" i="236" s="1"/>
  <c r="H60" i="236" s="1"/>
  <c r="H61" i="236" s="1"/>
  <c r="H62" i="236" s="1"/>
  <c r="H63" i="236" s="1"/>
  <c r="H64" i="236" s="1"/>
  <c r="H65" i="236" s="1"/>
  <c r="H66" i="236" s="1"/>
  <c r="H67" i="236" s="1"/>
  <c r="H68" i="236" s="1"/>
  <c r="H69" i="236" s="1"/>
  <c r="H70" i="236" s="1"/>
  <c r="H71" i="236" s="1"/>
  <c r="H72" i="236" s="1"/>
  <c r="H73" i="236" s="1"/>
  <c r="H74" i="236" s="1"/>
  <c r="H75" i="236" s="1"/>
  <c r="H76" i="236" s="1"/>
  <c r="H77" i="236" s="1"/>
  <c r="H78" i="236" s="1"/>
  <c r="H79" i="236" s="1"/>
  <c r="H80" i="236" s="1"/>
  <c r="H81" i="236" s="1"/>
  <c r="H82" i="236" s="1"/>
  <c r="H83" i="236" s="1"/>
  <c r="H84" i="236" s="1"/>
  <c r="H85" i="236" s="1"/>
  <c r="H86" i="236" s="1"/>
  <c r="H87" i="236" s="1"/>
  <c r="G33" i="247"/>
  <c r="E29" i="237"/>
  <c r="G28" i="237"/>
  <c r="H27" i="237"/>
  <c r="H33" i="247" l="1"/>
  <c r="G34" i="247"/>
  <c r="H28" i="237"/>
  <c r="E30" i="237"/>
  <c r="G29" i="237"/>
  <c r="H34" i="247" l="1"/>
  <c r="G35" i="247"/>
  <c r="H29" i="237"/>
  <c r="E31" i="237"/>
  <c r="G30" i="237"/>
  <c r="H35" i="247" l="1"/>
  <c r="H30" i="237"/>
  <c r="G36" i="247"/>
  <c r="E32" i="237"/>
  <c r="G31" i="237"/>
  <c r="H36" i="247" l="1"/>
  <c r="H31" i="237"/>
  <c r="G37" i="247"/>
  <c r="E33" i="237"/>
  <c r="G32" i="237"/>
  <c r="H37" i="247" l="1"/>
  <c r="H32" i="237"/>
  <c r="G38" i="247"/>
  <c r="E34" i="237"/>
  <c r="G33" i="237"/>
  <c r="H38" i="247" l="1"/>
  <c r="H33" i="237"/>
  <c r="G39" i="247"/>
  <c r="E35" i="237"/>
  <c r="G34" i="237"/>
  <c r="H39" i="247" l="1"/>
  <c r="H34" i="237"/>
  <c r="G40" i="247"/>
  <c r="E36" i="237"/>
  <c r="G35" i="237"/>
  <c r="H40" i="247" l="1"/>
  <c r="H35" i="237"/>
  <c r="G41" i="247"/>
  <c r="E37" i="237"/>
  <c r="G36" i="237"/>
  <c r="H41" i="247" l="1"/>
  <c r="H36" i="237"/>
  <c r="G42" i="247"/>
  <c r="E38" i="237"/>
  <c r="G37" i="237"/>
  <c r="H42" i="247" l="1"/>
  <c r="H37" i="237"/>
  <c r="G43" i="247"/>
  <c r="E39" i="237"/>
  <c r="G38" i="237"/>
  <c r="H43" i="247" l="1"/>
  <c r="H38" i="237"/>
  <c r="G44" i="247"/>
  <c r="E40" i="237"/>
  <c r="G39" i="237"/>
  <c r="H44" i="247" l="1"/>
  <c r="H39" i="237"/>
  <c r="G45" i="247"/>
  <c r="E41" i="237"/>
  <c r="G40" i="237"/>
  <c r="H45" i="247" l="1"/>
  <c r="H40" i="237"/>
  <c r="G46" i="247"/>
  <c r="H46" i="247" s="1"/>
  <c r="E42" i="237"/>
  <c r="G41" i="237"/>
  <c r="H41" i="237" l="1"/>
  <c r="G47" i="247"/>
  <c r="H47" i="247" s="1"/>
  <c r="E43" i="237"/>
  <c r="G42" i="237"/>
  <c r="H42" i="237" l="1"/>
  <c r="G48" i="247"/>
  <c r="H48" i="247" s="1"/>
  <c r="E44" i="237"/>
  <c r="G43" i="237"/>
  <c r="H43" i="237" l="1"/>
  <c r="G49" i="247"/>
  <c r="H49" i="247" s="1"/>
  <c r="E45" i="237"/>
  <c r="G44" i="237"/>
  <c r="H44" i="237" l="1"/>
  <c r="G50" i="247"/>
  <c r="H50" i="247" s="1"/>
  <c r="E46" i="237"/>
  <c r="G45" i="237"/>
  <c r="H45" i="237" l="1"/>
  <c r="G51" i="247"/>
  <c r="H51" i="247" s="1"/>
  <c r="E47" i="237"/>
  <c r="G46" i="237"/>
  <c r="H46" i="237" l="1"/>
  <c r="G52" i="247"/>
  <c r="H52" i="247" s="1"/>
  <c r="E48" i="237"/>
  <c r="G47" i="237"/>
  <c r="H47" i="237" l="1"/>
  <c r="G53" i="247"/>
  <c r="H53" i="247" s="1"/>
  <c r="E49" i="237"/>
  <c r="G48" i="237"/>
  <c r="H48" i="237" l="1"/>
  <c r="G54" i="247"/>
  <c r="H54" i="247" s="1"/>
  <c r="E50" i="237"/>
  <c r="G49" i="237"/>
  <c r="H49" i="237" l="1"/>
  <c r="G55" i="247"/>
  <c r="H55" i="247" s="1"/>
  <c r="E51" i="237"/>
  <c r="G50" i="237"/>
  <c r="H50" i="237" l="1"/>
  <c r="G56" i="247"/>
  <c r="H56" i="247" s="1"/>
  <c r="E52" i="237"/>
  <c r="G51" i="237"/>
  <c r="H51" i="237" l="1"/>
  <c r="G57" i="247"/>
  <c r="H57" i="247" s="1"/>
  <c r="E53" i="237"/>
  <c r="G52" i="237"/>
  <c r="H52" i="237" l="1"/>
  <c r="G58" i="247"/>
  <c r="H58" i="247" s="1"/>
  <c r="E54" i="237"/>
  <c r="G53" i="237"/>
  <c r="H53" i="237" l="1"/>
  <c r="G59" i="247"/>
  <c r="H59" i="247" s="1"/>
  <c r="E55" i="237"/>
  <c r="G54" i="237"/>
  <c r="H54" i="237" l="1"/>
  <c r="G60" i="247"/>
  <c r="H60" i="247" s="1"/>
  <c r="E56" i="237"/>
  <c r="G55" i="237"/>
  <c r="H55" i="237" l="1"/>
  <c r="G61" i="247"/>
  <c r="G63" i="247" s="1"/>
  <c r="E63" i="247"/>
  <c r="E57" i="237"/>
  <c r="G56" i="237"/>
  <c r="H56" i="237" l="1"/>
  <c r="H61" i="247"/>
  <c r="H62" i="247" s="1"/>
  <c r="E58" i="237"/>
  <c r="G57" i="237"/>
  <c r="H57" i="237" s="1"/>
  <c r="E59" i="237" l="1"/>
  <c r="G58" i="237"/>
  <c r="H58" i="237" s="1"/>
  <c r="E60" i="237" l="1"/>
  <c r="G59" i="237"/>
  <c r="H59" i="237" s="1"/>
  <c r="E61" i="237" l="1"/>
  <c r="G60" i="237"/>
  <c r="H60" i="237" s="1"/>
  <c r="G61" i="237" l="1"/>
  <c r="G63" i="237" s="1"/>
  <c r="E63" i="237"/>
  <c r="H61" i="237" l="1"/>
  <c r="H62" i="237" s="1"/>
</calcChain>
</file>

<file path=xl/sharedStrings.xml><?xml version="1.0" encoding="utf-8"?>
<sst xmlns="http://schemas.openxmlformats.org/spreadsheetml/2006/main" count="2556" uniqueCount="328">
  <si>
    <t>NAME OF BUYER</t>
  </si>
  <si>
    <t>RF DATE</t>
  </si>
  <si>
    <t>PARTICULARS</t>
  </si>
  <si>
    <t>AMOUNT DUE</t>
  </si>
  <si>
    <t>MA - 1</t>
  </si>
  <si>
    <t>MA - 2</t>
  </si>
  <si>
    <t>MA - 3</t>
  </si>
  <si>
    <t>MA - 4</t>
  </si>
  <si>
    <t>MA - 5</t>
  </si>
  <si>
    <t>MA - 6</t>
  </si>
  <si>
    <t>MA - 7</t>
  </si>
  <si>
    <t>MA - 8</t>
  </si>
  <si>
    <t>MA - 9</t>
  </si>
  <si>
    <t>MA - 10</t>
  </si>
  <si>
    <t>MA - 11</t>
  </si>
  <si>
    <t>MA - 12</t>
  </si>
  <si>
    <t>TOTAL</t>
  </si>
  <si>
    <t>CONFORME:</t>
  </si>
  <si>
    <t>BUYER</t>
  </si>
  <si>
    <t>MA - 13</t>
  </si>
  <si>
    <t>MA - 14</t>
  </si>
  <si>
    <t>MA - 15</t>
  </si>
  <si>
    <t>MA - 16</t>
  </si>
  <si>
    <t>MA - 17</t>
  </si>
  <si>
    <t>MA - 18</t>
  </si>
  <si>
    <t>MA - 19</t>
  </si>
  <si>
    <t>MA - 20</t>
  </si>
  <si>
    <t>MA - 21</t>
  </si>
  <si>
    <t>MA - 22</t>
  </si>
  <si>
    <t>MA - 23</t>
  </si>
  <si>
    <t>MA - 24</t>
  </si>
  <si>
    <t>UNIT</t>
  </si>
  <si>
    <t>DATE DUE</t>
  </si>
  <si>
    <t>PAYMENT TERM</t>
  </si>
  <si>
    <t>PAYMENT NO.</t>
  </si>
  <si>
    <t>HIGHLANDS PRIME, INC.</t>
  </si>
  <si>
    <t>SCHEDULE OF PAYMENTS</t>
  </si>
  <si>
    <t>UNIT AREA  (in sq.m.)</t>
  </si>
  <si>
    <t>Reservation Fee</t>
  </si>
  <si>
    <t>Lump Sum</t>
  </si>
  <si>
    <t>Floor</t>
  </si>
  <si>
    <t>Unit Type</t>
  </si>
  <si>
    <t>2B</t>
  </si>
  <si>
    <t>2C</t>
  </si>
  <si>
    <t>2H</t>
  </si>
  <si>
    <t>2J</t>
  </si>
  <si>
    <t>3J</t>
  </si>
  <si>
    <t>5A</t>
  </si>
  <si>
    <t>MA - 25</t>
  </si>
  <si>
    <t>MA - 26</t>
  </si>
  <si>
    <t>MA - 27</t>
  </si>
  <si>
    <t>MA - 28</t>
  </si>
  <si>
    <t>MA - 29</t>
  </si>
  <si>
    <t>MA - 30</t>
  </si>
  <si>
    <t>LINDEN</t>
  </si>
  <si>
    <t>CONTRACT PRICE COMPUTATION:</t>
  </si>
  <si>
    <t>Plus: TMGC Share</t>
  </si>
  <si>
    <t>LIST PRICE (VAT In)</t>
  </si>
  <si>
    <t>Total Contract Price</t>
  </si>
  <si>
    <t>Less: TMGC Share</t>
  </si>
  <si>
    <t>Contract Price</t>
  </si>
  <si>
    <t>Unit Price (VAT In)</t>
  </si>
  <si>
    <t>REGISTRATION EXPENSES (subject to adjustment imposed by the respective government agencies):</t>
  </si>
  <si>
    <t>4. Notarial/Miscellaneous Fees = P25,000.00</t>
  </si>
  <si>
    <t>NON-MEMBER</t>
  </si>
  <si>
    <t>MEMBER</t>
  </si>
  <si>
    <t>ANNEX A</t>
  </si>
  <si>
    <r>
      <t xml:space="preserve">DIRECTION: </t>
    </r>
    <r>
      <rPr>
        <sz val="15"/>
        <color indexed="8"/>
        <rFont val="Calibri"/>
        <family val="2"/>
      </rPr>
      <t>Please input data in yellow highlighted cells only.</t>
    </r>
  </si>
  <si>
    <t>OUTSTANDING BAL.</t>
  </si>
  <si>
    <t>Spot Down Payment</t>
  </si>
  <si>
    <t>1. Doc. Stamp Tax = 1.5% of the total unit price (subject to change without prior notice).</t>
  </si>
  <si>
    <t>2. Transfer Tax = 0.75% of the total unit price (subject to change without prior notice).</t>
  </si>
  <si>
    <t>Less: Term Discount</t>
  </si>
  <si>
    <t>100% Spot Cash</t>
  </si>
  <si>
    <t>Spot Cash</t>
  </si>
  <si>
    <t xml:space="preserve">    plus 1% of the Reg. Fee as Legal Fee.</t>
  </si>
  <si>
    <t>10% Spot, 10% over 12 months, 80% Lump Sum</t>
  </si>
  <si>
    <t>List Price (VAT In)</t>
  </si>
  <si>
    <t>Net Contract Price</t>
  </si>
  <si>
    <t>10% over 6 months, 10% over 18 months, 80% Lump Sum</t>
  </si>
  <si>
    <t>DP - 1</t>
  </si>
  <si>
    <t>DP - 2</t>
  </si>
  <si>
    <t>DP - 3</t>
  </si>
  <si>
    <t>DP - 4</t>
  </si>
  <si>
    <t>DP - 5</t>
  </si>
  <si>
    <t>DP - 6</t>
  </si>
  <si>
    <t>Contract Price Computation:</t>
  </si>
  <si>
    <t>List Price (VAT in)</t>
  </si>
  <si>
    <t>Unit Price (VAT in)</t>
  </si>
  <si>
    <t xml:space="preserve">3. Registration Fee = P8,796 for the first P1.7M plus P90 for every P20,000 in excess of P1.7M; </t>
  </si>
  <si>
    <t>50% Spot, 10% over 24 months, 40% Lump Sum</t>
  </si>
  <si>
    <t>20% Spot, 10% over 24 months, 70% Lump Sum</t>
  </si>
  <si>
    <t>10% Spot, 10% over 6 months, 30% over 48 months, 50% Lump Sum</t>
  </si>
  <si>
    <t>MA - 31</t>
  </si>
  <si>
    <t>MA - 32</t>
  </si>
  <si>
    <t>MA - 33</t>
  </si>
  <si>
    <t>MA - 34</t>
  </si>
  <si>
    <t>MA - 35</t>
  </si>
  <si>
    <t>MA - 36</t>
  </si>
  <si>
    <t>MA - 37</t>
  </si>
  <si>
    <t>MA - 38</t>
  </si>
  <si>
    <t>MA - 39</t>
  </si>
  <si>
    <t>MA - 40</t>
  </si>
  <si>
    <t>MA - 41</t>
  </si>
  <si>
    <t>MA - 42</t>
  </si>
  <si>
    <t>MA - 43</t>
  </si>
  <si>
    <t>MA - 44</t>
  </si>
  <si>
    <t>MA - 45</t>
  </si>
  <si>
    <t>MA - 46</t>
  </si>
  <si>
    <t>MA - 47</t>
  </si>
  <si>
    <t>MA - 48</t>
  </si>
  <si>
    <t>MA - 49</t>
  </si>
  <si>
    <t>MA - 50</t>
  </si>
  <si>
    <t>MA - 51</t>
  </si>
  <si>
    <t>MA - 52</t>
  </si>
  <si>
    <t>MA - 53</t>
  </si>
  <si>
    <t>MA - 54</t>
  </si>
  <si>
    <t>MA - 55</t>
  </si>
  <si>
    <t>MA - 56</t>
  </si>
  <si>
    <t>MA - 57</t>
  </si>
  <si>
    <t>MA - 58</t>
  </si>
  <si>
    <t>MA - 59</t>
  </si>
  <si>
    <t>MA - 60</t>
  </si>
  <si>
    <t>Less: Addt'l. Discount</t>
  </si>
  <si>
    <t xml:space="preserve"> </t>
  </si>
  <si>
    <t>Less: Addt'l. Disc.</t>
  </si>
  <si>
    <t>Less: Year-end Disc.</t>
  </si>
  <si>
    <t>Compatibility Report for SET 2B - Linden Template effective until June 30, 2017.xls</t>
  </si>
  <si>
    <t>Run on 4/18/2017 10:23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</si>
  <si>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</si>
  <si>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</si>
  <si>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</si>
  <si>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</si>
  <si>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</si>
  <si>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Excel 97-2003</t>
  </si>
  <si>
    <t>12
Defined Names</t>
  </si>
  <si>
    <t>Some cells or styles in this workbook contain formatting that is not supported by the selected file format. These formats will be converted to the closest format available.</t>
  </si>
  <si>
    <t>2A</t>
  </si>
  <si>
    <t>2D</t>
  </si>
  <si>
    <t>HORIZON PHASE 2</t>
  </si>
  <si>
    <t>PL1</t>
  </si>
  <si>
    <t>Floor Area
in sqm +/-</t>
  </si>
  <si>
    <t>TCP*
VAT-In w/ TMGC</t>
  </si>
  <si>
    <t>GARDEN SUITES (ST. ANDREWS)</t>
  </si>
  <si>
    <t>Address</t>
  </si>
  <si>
    <t>GA</t>
  </si>
  <si>
    <t>1-Bedroom Terrace Suite</t>
  </si>
  <si>
    <t>GB</t>
  </si>
  <si>
    <t>GC</t>
  </si>
  <si>
    <t>GD</t>
  </si>
  <si>
    <t>GE</t>
  </si>
  <si>
    <t>GF</t>
  </si>
  <si>
    <t>GG</t>
  </si>
  <si>
    <t>2-Bedroom</t>
  </si>
  <si>
    <t>GH</t>
  </si>
  <si>
    <t>1-Bedroom</t>
  </si>
  <si>
    <t>GK</t>
  </si>
  <si>
    <t>GL</t>
  </si>
  <si>
    <t>GM</t>
  </si>
  <si>
    <t xml:space="preserve">2nd
</t>
  </si>
  <si>
    <t>2E</t>
  </si>
  <si>
    <t>2G</t>
  </si>
  <si>
    <t>2K</t>
  </si>
  <si>
    <t>2L</t>
  </si>
  <si>
    <t>2M</t>
  </si>
  <si>
    <t xml:space="preserve">3rd
</t>
  </si>
  <si>
    <t>3A</t>
  </si>
  <si>
    <t>3B</t>
  </si>
  <si>
    <t>3G</t>
  </si>
  <si>
    <t>3H</t>
  </si>
  <si>
    <t>3K</t>
  </si>
  <si>
    <t>3L</t>
  </si>
  <si>
    <t>3M</t>
  </si>
  <si>
    <t>5B</t>
  </si>
  <si>
    <t>5H</t>
  </si>
  <si>
    <t>5J</t>
  </si>
  <si>
    <t>5K</t>
  </si>
  <si>
    <t>5L</t>
  </si>
  <si>
    <t>5M</t>
  </si>
  <si>
    <t>PA</t>
  </si>
  <si>
    <t>PH</t>
  </si>
  <si>
    <t>PJ</t>
  </si>
  <si>
    <t>PK</t>
  </si>
  <si>
    <t>PM</t>
  </si>
  <si>
    <t>*EACH UNIT IS BUNDLED WITH ONE (1) TMGC SHARE.
The prices quoted above are inclusive of 12% VAT and TMGC SHARE price. Should the buyer be a member, the TMGC SHARE price shall be deducted from the quoted TCP.</t>
  </si>
  <si>
    <t>PARKING SLOTS (inclusive of 12% VAT)</t>
  </si>
  <si>
    <t>Less:Intro Discount</t>
  </si>
  <si>
    <t>Less: Intro Discount</t>
  </si>
  <si>
    <t>Less: Repeat Buyer Discount</t>
  </si>
  <si>
    <t>Lumpsum</t>
  </si>
  <si>
    <t>Less: Intro Disc</t>
  </si>
  <si>
    <t>Less: Term Disc</t>
  </si>
  <si>
    <t>Unit Price (VAT In, no share)</t>
  </si>
  <si>
    <t>HORIZON TERRACES - SUITES</t>
  </si>
  <si>
    <t>Unit TYPE</t>
  </si>
  <si>
    <t>Discount</t>
  </si>
  <si>
    <t>LUMPSUM</t>
  </si>
  <si>
    <t>Spot DP</t>
  </si>
  <si>
    <t>3C</t>
  </si>
  <si>
    <t>Less: Repeat Buyer Disc</t>
  </si>
  <si>
    <t>2nd</t>
  </si>
  <si>
    <t>3rd</t>
  </si>
  <si>
    <t>5th</t>
  </si>
  <si>
    <t>Penthouse</t>
  </si>
  <si>
    <t>LIST PRICE (VAT In w/ TMGC)</t>
  </si>
  <si>
    <t>10% Spot, 10% in 30 mos, 80% Lumpsum</t>
  </si>
  <si>
    <t>20% Spot, 80% over 60 months</t>
  </si>
  <si>
    <t>HORIZON TERRACES - GLENVIEW</t>
  </si>
  <si>
    <t>GARDEN SUITES (GLENVIEW)</t>
  </si>
  <si>
    <t>GARDEN FLOOR</t>
  </si>
  <si>
    <t>2-Bedroom Terrace Suite</t>
  </si>
  <si>
    <t>TCP*
VAT-In w/ TCCATH</t>
  </si>
  <si>
    <t>*EACH UNIT IS BUNDLED WITH ONE (1) TCCATH SHARE.
The prices quoted above are inclusive of 12% VAT and TCCATH SHARE price. Should the buyer be a member, the TMGC SHARE price shall be deducted from the quoted TCP.</t>
  </si>
  <si>
    <t>PB</t>
  </si>
  <si>
    <t>Plus: TCCATH Share</t>
  </si>
  <si>
    <t>Return to Data Sheet</t>
  </si>
  <si>
    <t>80% DP, 20% after 60 months or upon turnover whichever comes first</t>
  </si>
  <si>
    <t>DP</t>
  </si>
  <si>
    <t>50% DP, 50% over 60 months</t>
  </si>
  <si>
    <t>20% DP, 80% over 60 months</t>
  </si>
  <si>
    <t>LUMP SUM</t>
  </si>
  <si>
    <t>PG</t>
  </si>
  <si>
    <t>MA-1</t>
  </si>
  <si>
    <t>MA-2</t>
  </si>
  <si>
    <t>MA-3</t>
  </si>
  <si>
    <t>MA-4</t>
  </si>
  <si>
    <t>MA-5</t>
  </si>
  <si>
    <t>MA-6</t>
  </si>
  <si>
    <t>MA-7</t>
  </si>
  <si>
    <t>MA-8</t>
  </si>
  <si>
    <t>MA-9</t>
  </si>
  <si>
    <t>MA-10</t>
  </si>
  <si>
    <t>MA-11</t>
  </si>
  <si>
    <t>MA-12</t>
  </si>
  <si>
    <t>MA-13</t>
  </si>
  <si>
    <t>MA-14</t>
  </si>
  <si>
    <t>MA-15</t>
  </si>
  <si>
    <t>MA-16</t>
  </si>
  <si>
    <t>MA-17</t>
  </si>
  <si>
    <t>MA-18</t>
  </si>
  <si>
    <t>MA-19</t>
  </si>
  <si>
    <t>MA-20</t>
  </si>
  <si>
    <t>MA-21</t>
  </si>
  <si>
    <t>MA-22</t>
  </si>
  <si>
    <t>MA-23</t>
  </si>
  <si>
    <t>MA-24</t>
  </si>
  <si>
    <t>MA-25</t>
  </si>
  <si>
    <t>MA-26</t>
  </si>
  <si>
    <t>MA-27</t>
  </si>
  <si>
    <t>MA-28</t>
  </si>
  <si>
    <t>MA-29</t>
  </si>
  <si>
    <t>MA-30</t>
  </si>
  <si>
    <t>MA-31</t>
  </si>
  <si>
    <t>MA-32</t>
  </si>
  <si>
    <t>MA-33</t>
  </si>
  <si>
    <t>MA-34</t>
  </si>
  <si>
    <t>MA-35</t>
  </si>
  <si>
    <t>MA-36</t>
  </si>
  <si>
    <t>MA-37</t>
  </si>
  <si>
    <t>MA-38</t>
  </si>
  <si>
    <t>MA-39</t>
  </si>
  <si>
    <t>MA-40</t>
  </si>
  <si>
    <t>MA-41</t>
  </si>
  <si>
    <t>MA-42</t>
  </si>
  <si>
    <t>MA-43</t>
  </si>
  <si>
    <t>MA-44</t>
  </si>
  <si>
    <t>MA-45</t>
  </si>
  <si>
    <t>MA-46</t>
  </si>
  <si>
    <t>MA-47</t>
  </si>
  <si>
    <t>MA-48</t>
  </si>
  <si>
    <t>MA-49</t>
  </si>
  <si>
    <t>MA-50</t>
  </si>
  <si>
    <t>MA-51</t>
  </si>
  <si>
    <t>MA-52</t>
  </si>
  <si>
    <t>MA-53</t>
  </si>
  <si>
    <t>MA-54</t>
  </si>
  <si>
    <t>MA-55</t>
  </si>
  <si>
    <t>MA-56</t>
  </si>
  <si>
    <t>MA-57</t>
  </si>
  <si>
    <t>MA-58</t>
  </si>
  <si>
    <t>MA-59</t>
  </si>
  <si>
    <t>MA-60</t>
  </si>
  <si>
    <t>100% over 60 months</t>
  </si>
  <si>
    <t>1. Please input data in yellow highlighted cells only.</t>
  </si>
  <si>
    <t>2. From the list of payment terms below, click on the cell to navigate to selected payment term.</t>
  </si>
  <si>
    <t>Plus: Other Charges*</t>
  </si>
  <si>
    <t>% PAYMENT</t>
  </si>
  <si>
    <t>DUE DATE</t>
  </si>
  <si>
    <t>LIST PRICE</t>
  </si>
  <si>
    <t>OTHER CHARGES</t>
  </si>
  <si>
    <t>TOTAL PAYABLE</t>
  </si>
  <si>
    <t>CONTRACT BALANCE</t>
  </si>
  <si>
    <t>TOTAL CONTRACT PRICE</t>
  </si>
  <si>
    <t>HPI SALES OFFICER</t>
  </si>
  <si>
    <t>LIST PRICE (VAT-in w/ share)</t>
  </si>
  <si>
    <t>Unit Price (VAT-Ex, net of share)</t>
  </si>
  <si>
    <t>Amortization over 60 months</t>
  </si>
  <si>
    <t>Amortization over 36 months</t>
  </si>
  <si>
    <t>DP over 6 months</t>
  </si>
  <si>
    <t>Amortization over 30 months</t>
  </si>
  <si>
    <t>5% DP, 20% over 36 months, 75% Lumpsum</t>
  </si>
  <si>
    <t>10% DP, 10% over 36 months, 80% Lumpsum</t>
  </si>
  <si>
    <t>10% over 6 months, 10% over 30 months, 80% Lumpsum</t>
  </si>
  <si>
    <t>UNIT TYPE</t>
  </si>
  <si>
    <t>AREA (+/-)</t>
  </si>
  <si>
    <t>LIST PRICE (VAT-IN, W/ SHARE)</t>
  </si>
  <si>
    <t>5F</t>
  </si>
  <si>
    <t>Unit Price (VAT-In, net of share)</t>
  </si>
  <si>
    <t>Net Unit Price (VAT-In, net of share)</t>
  </si>
  <si>
    <t>Net List Price (VAT-In, with share)</t>
  </si>
  <si>
    <t>NET LIST PRICE</t>
  </si>
  <si>
    <t>Net List Price (VAT-In, no share)</t>
  </si>
  <si>
    <t>Net List Price (VAT-In, net of share)</t>
  </si>
  <si>
    <t>Notes:</t>
  </si>
  <si>
    <t>1. This computation sheet only intends to provide an indicative reservation price. Prices, terms and conditions are subject to change without prior notice.</t>
  </si>
  <si>
    <t>2. Submission of post dated checks is required.</t>
  </si>
  <si>
    <t>3. Price includes the Value-Added Tax, currently at 12%.</t>
  </si>
  <si>
    <t>4. Any government-mandated adjustments on taxes shall be applied accordingly.</t>
  </si>
  <si>
    <t>5. Should the buyer intend to avail and/or obtain financing for the payment of the Contract Price, or any part thereof, from a bank or financing institution acceptable to Highlands Prime, Inc., he shall be solely responsible for filing the requisite application form required by the bank or financial institiution, together with the necessary supporting documents for the processing of the loan proceeds to be used to finance the purchase of the property and payment of the contract price or any part thereof, is made within the due date(s) for payment under the chosen payment scheme. While Highlands Prime, Inc. acknowledges that the Bank will initially send the Deed of Undertaking and Letter of Guarantee, as the case may be, to inform Highlands PRime, Inc. of the loan approval, the proceeds shall be paid to Highlands Prime, Inc. on or before the due date stated above. In the event of a delay, penalty charges shall be applied. The Buyers are then encouraged to work on their loan paplication at least four to six months from their due date when they intend to partially or fuly pay the balance.</t>
  </si>
  <si>
    <t>6. Each unit comes with one (1) proprietary share at The Country Club at Tagaytay Highlands (TCCATH). In the interest of determining the apppropriate taxes, a value will be assigned to the club share upon final documentation. All membership applications shall be subject to the approval of the Membership Committee in accordance with the Club's rules, regulations and policies.</t>
  </si>
  <si>
    <t>7. If the buyer is an existing shareholder-member, the proprietary TCCATH share may be converted into a cash discount equivalent to P650,000.</t>
  </si>
  <si>
    <t>1BR</t>
  </si>
  <si>
    <t>2BR</t>
  </si>
  <si>
    <t>6% in 12 months, 7% in 12 months, 8% in 12 months, Lumpsum</t>
  </si>
  <si>
    <t>Amortization over 12 months</t>
  </si>
  <si>
    <t>Less :  Promo Discount</t>
  </si>
  <si>
    <t>Less:  Special Offer</t>
  </si>
  <si>
    <t>Payment Terms for 2Q 2020
Effective April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</si>
</sst>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quot;$&quot;* #,##0.00_);_(&quot;$&quot;* \(#,##0.00\);_(&quot;$&quot;* &quot;-&quot;??_);_(@_)"/>
    <numFmt numFmtId="165" formatCode="_(* #,##0_);_(* \(#,##0\);_(* &quot;-&quot;??_);_(@_)"/>
    <numFmt numFmtId="166" formatCode="0.00_)"/>
    <numFmt numFmtId="167" formatCode="[$-409]mmmm\ d\,\ yyyy;@"/>
    <numFmt numFmtId="168" formatCode="_(* #,##0.00_);_(* \(#,##0.00\);_(* \-??_);_(@_)"/>
    <numFmt numFmtId="169" formatCode="[$-409]mmmm\-yy;@"/>
    <numFmt numFmtId="170" formatCode="[$-409]d\-mmm\-yyyy;@"/>
    <numFmt numFmtId="171" formatCode="0.0%"/>
    <numFmt numFmtId="172" formatCode=";;;"/>
  </numFmts>
  <fonts count="39">
    <font>
      <sz val="11"/>
      <color theme="1"/>
      <name val="Calibri"/>
      <family val="2"/>
      <scheme val="minor"/>
    </font>
    <font>
      <sz val="11"/>
      <color indexed="8"/>
      <name val="Calibri"/>
      <family val="2"/>
    </font>
    <font>
      <sz val="10"/>
      <name val="Arial"/>
      <family val="2"/>
    </font>
    <font>
      <sz val="8"/>
      <name val="Arial"/>
      <family val="2"/>
    </font>
    <font>
      <b/>
      <i/>
      <sz val="16"/>
      <name val="Helv"/>
    </font>
    <font>
      <sz val="15"/>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sz val="9"/>
      <name val="Calibri"/>
      <family val="2"/>
      <scheme val="minor"/>
    </font>
    <font>
      <b/>
      <sz val="10"/>
      <color theme="1"/>
      <name val="Calibri"/>
      <family val="2"/>
      <scheme val="minor"/>
    </font>
    <font>
      <sz val="9"/>
      <color theme="1"/>
      <name val="Calibri"/>
      <family val="2"/>
      <scheme val="minor"/>
    </font>
    <font>
      <b/>
      <sz val="15"/>
      <color theme="1"/>
      <name val="Calibri"/>
      <family val="2"/>
      <scheme val="minor"/>
    </font>
    <font>
      <sz val="14"/>
      <name val="Calibri"/>
      <family val="2"/>
      <scheme val="minor"/>
    </font>
    <font>
      <sz val="12"/>
      <name val="Calibri"/>
      <family val="2"/>
      <scheme val="minor"/>
    </font>
    <font>
      <sz val="12"/>
      <color theme="1"/>
      <name val="Calibri"/>
      <family val="2"/>
      <scheme val="minor"/>
    </font>
    <font>
      <b/>
      <sz val="10"/>
      <name val="Calibri"/>
      <family val="2"/>
      <scheme val="minor"/>
    </font>
    <font>
      <sz val="11"/>
      <name val="Calibri"/>
      <family val="2"/>
      <scheme val="minor"/>
    </font>
    <font>
      <sz val="10"/>
      <color theme="0"/>
      <name val="Calibri"/>
      <family val="2"/>
      <scheme val="minor"/>
    </font>
    <font>
      <sz val="10"/>
      <name val="Calibri"/>
      <family val="2"/>
      <scheme val="minor"/>
    </font>
    <font>
      <b/>
      <sz val="12"/>
      <color theme="0"/>
      <name val="Century Gothic"/>
      <family val="2"/>
    </font>
    <font>
      <sz val="11"/>
      <color theme="0"/>
      <name val="Century Gothic"/>
      <family val="2"/>
    </font>
    <font>
      <sz val="9"/>
      <color theme="0"/>
      <name val="Century Gothic"/>
      <family val="2"/>
    </font>
    <font>
      <b/>
      <sz val="10"/>
      <color theme="0"/>
      <name val="Century Gothic"/>
      <family val="2"/>
    </font>
    <font>
      <sz val="10"/>
      <color theme="0"/>
      <name val="Century Gothic"/>
      <family val="2"/>
    </font>
    <font>
      <i/>
      <sz val="8"/>
      <color theme="0"/>
      <name val="Century Gothic"/>
      <family val="2"/>
    </font>
    <font>
      <i/>
      <u/>
      <sz val="10"/>
      <color theme="10"/>
      <name val="Calibri"/>
      <family val="2"/>
      <scheme val="minor"/>
    </font>
    <font>
      <b/>
      <u/>
      <sz val="18"/>
      <color theme="1"/>
      <name val="Calibri"/>
      <family val="2"/>
      <scheme val="minor"/>
    </font>
    <font>
      <sz val="15"/>
      <color theme="1"/>
      <name val="Calibri"/>
      <family val="2"/>
      <scheme val="minor"/>
    </font>
    <font>
      <b/>
      <sz val="16"/>
      <color rgb="FF0E6EB6"/>
      <name val="Cambria"/>
      <family val="1"/>
      <scheme val="major"/>
    </font>
    <font>
      <sz val="14"/>
      <color theme="1"/>
      <name val="Calibri"/>
      <family val="2"/>
      <scheme val="minor"/>
    </font>
    <font>
      <b/>
      <sz val="14"/>
      <color theme="1"/>
      <name val="Calibri"/>
      <family val="2"/>
      <scheme val="minor"/>
    </font>
    <font>
      <b/>
      <sz val="12"/>
      <name val="Calibri"/>
      <family val="2"/>
      <scheme val="minor"/>
    </font>
    <font>
      <b/>
      <sz val="10"/>
      <color theme="0"/>
      <name val="Calibri"/>
      <family val="2"/>
      <scheme val="minor"/>
    </font>
    <font>
      <b/>
      <sz val="14"/>
      <name val="Calibri"/>
      <family val="2"/>
      <scheme val="minor"/>
    </font>
    <font>
      <b/>
      <sz val="18"/>
      <color rgb="FF0E6EB6"/>
      <name val="Cambria"/>
      <family val="1"/>
      <scheme val="major"/>
    </font>
    <font>
      <u/>
      <sz val="14"/>
      <color theme="1"/>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rgb="FFACACAF"/>
        <bgColor indexed="64"/>
      </patternFill>
    </fill>
    <fill>
      <patternFill patternType="solid">
        <fgColor rgb="FFF7941D"/>
        <bgColor indexed="64"/>
      </patternFill>
    </fill>
    <fill>
      <patternFill patternType="solid">
        <fgColor rgb="FF389E8F"/>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6">
    <xf numFmtId="0" fontId="0" fillId="0" borderId="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2" fillId="0" borderId="0" applyFill="0" applyBorder="0" applyAlignment="0" applyProtection="0"/>
    <xf numFmtId="164" fontId="6" fillId="0" borderId="0" applyFont="0" applyFill="0" applyBorder="0" applyAlignment="0" applyProtection="0"/>
    <xf numFmtId="168" fontId="1" fillId="0" borderId="0"/>
    <xf numFmtId="0" fontId="1" fillId="0" borderId="0"/>
    <xf numFmtId="9" fontId="1" fillId="0" borderId="0"/>
    <xf numFmtId="38" fontId="3" fillId="2" borderId="0" applyNumberFormat="0" applyBorder="0" applyAlignment="0" applyProtection="0"/>
    <xf numFmtId="0" fontId="8" fillId="0" borderId="0" applyNumberFormat="0" applyFill="0" applyBorder="0" applyAlignment="0" applyProtection="0"/>
    <xf numFmtId="10" fontId="3" fillId="3" borderId="1" applyNumberFormat="0" applyBorder="0" applyAlignment="0" applyProtection="0"/>
    <xf numFmtId="166" fontId="4" fillId="0" borderId="0"/>
    <xf numFmtId="0" fontId="2" fillId="0" borderId="0"/>
    <xf numFmtId="0" fontId="2" fillId="0" borderId="0"/>
    <xf numFmtId="0" fontId="6" fillId="0" borderId="0"/>
    <xf numFmtId="0" fontId="6" fillId="0" borderId="0"/>
    <xf numFmtId="9" fontId="6"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cellStyleXfs>
  <cellXfs count="410">
    <xf numFmtId="0" fontId="0" fillId="0" borderId="0" xfId="0"/>
    <xf numFmtId="0" fontId="10" fillId="0" borderId="0" xfId="0" applyFont="1"/>
    <xf numFmtId="0" fontId="10" fillId="0" borderId="0" xfId="0" applyFont="1" applyAlignment="1">
      <alignment horizontal="center"/>
    </xf>
    <xf numFmtId="0" fontId="11" fillId="0" borderId="0" xfId="0" applyFont="1" applyBorder="1"/>
    <xf numFmtId="0" fontId="11" fillId="0" borderId="0" xfId="0" applyFont="1"/>
    <xf numFmtId="0" fontId="10" fillId="0" borderId="2" xfId="0" applyFont="1" applyBorder="1"/>
    <xf numFmtId="0" fontId="12" fillId="0" borderId="0" xfId="0" applyFont="1"/>
    <xf numFmtId="0" fontId="10" fillId="0" borderId="3" xfId="0" applyFont="1" applyBorder="1" applyAlignment="1">
      <alignment horizontal="center"/>
    </xf>
    <xf numFmtId="0" fontId="10" fillId="0" borderId="4" xfId="0" applyFont="1" applyBorder="1" applyAlignment="1">
      <alignment horizontal="center"/>
    </xf>
    <xf numFmtId="0" fontId="10" fillId="4" borderId="1" xfId="0" applyFont="1" applyFill="1" applyBorder="1" applyAlignment="1">
      <alignment horizontal="center"/>
    </xf>
    <xf numFmtId="169" fontId="10" fillId="0" borderId="4" xfId="0" applyNumberFormat="1" applyFont="1" applyBorder="1" applyAlignment="1">
      <alignment horizontal="center"/>
    </xf>
    <xf numFmtId="43" fontId="10" fillId="0" borderId="4" xfId="1" applyFont="1" applyBorder="1"/>
    <xf numFmtId="43" fontId="10" fillId="0" borderId="4" xfId="0" applyNumberFormat="1" applyFont="1" applyBorder="1"/>
    <xf numFmtId="43" fontId="10" fillId="0" borderId="3" xfId="1" applyFont="1" applyBorder="1"/>
    <xf numFmtId="0" fontId="10" fillId="0" borderId="5" xfId="0" applyFont="1" applyBorder="1" applyAlignment="1">
      <alignment horizontal="center"/>
    </xf>
    <xf numFmtId="169" fontId="10" fillId="0" borderId="5" xfId="0" applyNumberFormat="1" applyFont="1" applyBorder="1" applyAlignment="1">
      <alignment horizontal="center"/>
    </xf>
    <xf numFmtId="43" fontId="10" fillId="0" borderId="5" xfId="1" applyFont="1" applyBorder="1"/>
    <xf numFmtId="0" fontId="10" fillId="4" borderId="0" xfId="0" applyFont="1" applyFill="1"/>
    <xf numFmtId="170" fontId="10" fillId="4" borderId="0" xfId="0" applyNumberFormat="1" applyFont="1" applyFill="1" applyAlignment="1">
      <alignment horizontal="center"/>
    </xf>
    <xf numFmtId="0" fontId="12" fillId="4" borderId="0" xfId="0" applyFont="1" applyFill="1" applyAlignment="1">
      <alignment horizontal="center"/>
    </xf>
    <xf numFmtId="43" fontId="12" fillId="4" borderId="0" xfId="1" applyFont="1" applyFill="1"/>
    <xf numFmtId="167" fontId="10" fillId="0" borderId="0" xfId="0" applyNumberFormat="1" applyFont="1" applyAlignment="1">
      <alignment horizontal="center"/>
    </xf>
    <xf numFmtId="43" fontId="10" fillId="0" borderId="0" xfId="1" applyFont="1"/>
    <xf numFmtId="39" fontId="10" fillId="0" borderId="0" xfId="0" applyNumberFormat="1" applyFont="1"/>
    <xf numFmtId="43" fontId="10" fillId="0" borderId="2" xfId="1" applyFont="1" applyBorder="1"/>
    <xf numFmtId="39" fontId="12" fillId="0" borderId="6" xfId="0" applyNumberFormat="1" applyFont="1" applyBorder="1"/>
    <xf numFmtId="43" fontId="12" fillId="0" borderId="6" xfId="1" applyFont="1" applyBorder="1"/>
    <xf numFmtId="167" fontId="13" fillId="0" borderId="0" xfId="0" applyNumberFormat="1" applyFont="1" applyAlignment="1">
      <alignment horizontal="center"/>
    </xf>
    <xf numFmtId="0" fontId="13" fillId="0" borderId="0" xfId="0" applyFont="1" applyAlignment="1">
      <alignment horizontal="center"/>
    </xf>
    <xf numFmtId="43" fontId="13" fillId="0" borderId="0" xfId="1" applyFont="1"/>
    <xf numFmtId="0" fontId="13" fillId="0" borderId="0" xfId="0" applyFont="1"/>
    <xf numFmtId="0" fontId="14" fillId="5" borderId="0" xfId="0" applyFont="1" applyFill="1" applyProtection="1">
      <protection hidden="1"/>
    </xf>
    <xf numFmtId="0" fontId="0" fillId="0" borderId="0" xfId="0" applyAlignment="1" applyProtection="1">
      <alignment vertical="center"/>
      <protection hidden="1"/>
    </xf>
    <xf numFmtId="0" fontId="15"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10" xfId="0" applyBorder="1" applyAlignment="1" applyProtection="1">
      <alignment vertical="center"/>
      <protection hidden="1"/>
    </xf>
    <xf numFmtId="0" fontId="15" fillId="0" borderId="11" xfId="0" applyFont="1" applyBorder="1" applyAlignment="1" applyProtection="1">
      <alignment vertical="center"/>
      <protection hidden="1"/>
    </xf>
    <xf numFmtId="0" fontId="15" fillId="0" borderId="0" xfId="0" applyFont="1" applyBorder="1" applyAlignment="1" applyProtection="1">
      <alignment vertical="center"/>
      <protection hidden="1"/>
    </xf>
    <xf numFmtId="43" fontId="10" fillId="0" borderId="5" xfId="0" applyNumberFormat="1" applyFont="1" applyBorder="1"/>
    <xf numFmtId="0" fontId="10" fillId="0" borderId="0" xfId="0" applyFont="1" applyProtection="1">
      <protection hidden="1"/>
    </xf>
    <xf numFmtId="0" fontId="10" fillId="0" borderId="0" xfId="0" applyFont="1" applyAlignment="1" applyProtection="1">
      <alignment horizontal="center"/>
      <protection hidden="1"/>
    </xf>
    <xf numFmtId="0" fontId="12" fillId="0" borderId="0" xfId="0" applyFont="1" applyProtection="1">
      <protection hidden="1"/>
    </xf>
    <xf numFmtId="39" fontId="10" fillId="0" borderId="0" xfId="0" applyNumberFormat="1" applyFont="1" applyProtection="1">
      <protection hidden="1"/>
    </xf>
    <xf numFmtId="0" fontId="10" fillId="0" borderId="0" xfId="0" applyFont="1" applyProtection="1">
      <protection locked="0" hidden="1"/>
    </xf>
    <xf numFmtId="0" fontId="18" fillId="0" borderId="0" xfId="13" applyFont="1" applyProtection="1">
      <protection locked="0" hidden="1"/>
    </xf>
    <xf numFmtId="0" fontId="10" fillId="0" borderId="0" xfId="0" applyFont="1" applyAlignment="1" applyProtection="1">
      <alignment horizontal="center"/>
      <protection locked="0" hidden="1"/>
    </xf>
    <xf numFmtId="0" fontId="12" fillId="0" borderId="0" xfId="0" applyFont="1" applyProtection="1">
      <protection locked="0" hidden="1"/>
    </xf>
    <xf numFmtId="0" fontId="12" fillId="4" borderId="12" xfId="0" applyFont="1" applyFill="1" applyBorder="1" applyAlignment="1" applyProtection="1">
      <alignment horizontal="left"/>
      <protection locked="0" hidden="1"/>
    </xf>
    <xf numFmtId="0" fontId="10" fillId="0" borderId="13" xfId="0" applyFont="1" applyBorder="1" applyAlignment="1" applyProtection="1">
      <alignment horizontal="left"/>
      <protection locked="0" hidden="1"/>
    </xf>
    <xf numFmtId="0" fontId="10" fillId="0" borderId="14" xfId="0" applyFont="1" applyBorder="1" applyAlignment="1" applyProtection="1">
      <alignment horizontal="left"/>
      <protection locked="0" hidden="1"/>
    </xf>
    <xf numFmtId="39" fontId="10" fillId="0" borderId="0" xfId="0" applyNumberFormat="1" applyFont="1" applyProtection="1">
      <protection locked="0" hidden="1"/>
    </xf>
    <xf numFmtId="10" fontId="10" fillId="0" borderId="0" xfId="0" applyNumberFormat="1" applyFont="1" applyAlignment="1" applyProtection="1">
      <alignment horizontal="center"/>
      <protection locked="0" hidden="1"/>
    </xf>
    <xf numFmtId="39" fontId="10" fillId="0" borderId="2" xfId="0" applyNumberFormat="1" applyFont="1" applyBorder="1" applyProtection="1">
      <protection locked="0" hidden="1"/>
    </xf>
    <xf numFmtId="43" fontId="10" fillId="0" borderId="2" xfId="1" applyFont="1" applyBorder="1" applyProtection="1">
      <protection hidden="1"/>
    </xf>
    <xf numFmtId="0" fontId="10" fillId="0" borderId="0" xfId="0" applyFont="1" applyAlignment="1" applyProtection="1">
      <alignment horizontal="left"/>
      <protection locked="0" hidden="1"/>
    </xf>
    <xf numFmtId="43" fontId="10" fillId="0" borderId="2" xfId="1" applyFont="1" applyBorder="1" applyProtection="1">
      <protection locked="0" hidden="1"/>
    </xf>
    <xf numFmtId="43" fontId="10" fillId="0" borderId="0" xfId="1" applyFont="1" applyProtection="1">
      <protection locked="0" hidden="1"/>
    </xf>
    <xf numFmtId="39" fontId="12" fillId="0" borderId="6" xfId="0" applyNumberFormat="1" applyFont="1" applyBorder="1" applyProtection="1">
      <protection hidden="1"/>
    </xf>
    <xf numFmtId="0" fontId="10" fillId="4" borderId="1" xfId="0" applyFont="1" applyFill="1" applyBorder="1" applyAlignment="1" applyProtection="1">
      <alignment horizontal="center"/>
      <protection hidden="1"/>
    </xf>
    <xf numFmtId="0" fontId="10" fillId="0" borderId="4" xfId="0" applyFont="1" applyBorder="1" applyAlignment="1" applyProtection="1">
      <alignment horizontal="center"/>
      <protection hidden="1"/>
    </xf>
    <xf numFmtId="169" fontId="10" fillId="0" borderId="4" xfId="0" applyNumberFormat="1" applyFont="1" applyBorder="1" applyAlignment="1" applyProtection="1">
      <alignment horizontal="center"/>
      <protection hidden="1"/>
    </xf>
    <xf numFmtId="43" fontId="10" fillId="0" borderId="4" xfId="1" applyFont="1" applyBorder="1" applyProtection="1">
      <protection hidden="1"/>
    </xf>
    <xf numFmtId="43" fontId="10" fillId="0" borderId="4" xfId="0" applyNumberFormat="1" applyFont="1" applyBorder="1" applyProtection="1">
      <protection hidden="1"/>
    </xf>
    <xf numFmtId="0" fontId="10" fillId="0" borderId="5" xfId="0" applyFont="1" applyBorder="1" applyAlignment="1" applyProtection="1">
      <alignment horizontal="center"/>
      <protection hidden="1"/>
    </xf>
    <xf numFmtId="169" fontId="10" fillId="0" borderId="5" xfId="0" applyNumberFormat="1" applyFont="1" applyBorder="1" applyAlignment="1" applyProtection="1">
      <alignment horizontal="center"/>
      <protection hidden="1"/>
    </xf>
    <xf numFmtId="43" fontId="10" fillId="0" borderId="5" xfId="1" applyFont="1" applyBorder="1" applyProtection="1">
      <protection hidden="1"/>
    </xf>
    <xf numFmtId="43" fontId="10" fillId="0" borderId="5" xfId="0" applyNumberFormat="1" applyFont="1" applyBorder="1" applyProtection="1">
      <protection hidden="1"/>
    </xf>
    <xf numFmtId="0" fontId="10" fillId="4" borderId="0" xfId="0" applyFont="1" applyFill="1" applyProtection="1">
      <protection hidden="1"/>
    </xf>
    <xf numFmtId="170" fontId="10" fillId="4" borderId="0" xfId="0" applyNumberFormat="1" applyFont="1" applyFill="1" applyAlignment="1" applyProtection="1">
      <alignment horizontal="center"/>
      <protection hidden="1"/>
    </xf>
    <xf numFmtId="0" fontId="12" fillId="4" borderId="0" xfId="0" applyFont="1" applyFill="1" applyAlignment="1" applyProtection="1">
      <alignment horizontal="center"/>
      <protection hidden="1"/>
    </xf>
    <xf numFmtId="43" fontId="12" fillId="4" borderId="0" xfId="1" applyFont="1" applyFill="1" applyProtection="1">
      <protection hidden="1"/>
    </xf>
    <xf numFmtId="0" fontId="11" fillId="0" borderId="0" xfId="0" applyFont="1" applyBorder="1" applyProtection="1">
      <protection hidden="1"/>
    </xf>
    <xf numFmtId="167" fontId="13" fillId="0" borderId="0" xfId="0" applyNumberFormat="1" applyFont="1" applyAlignment="1" applyProtection="1">
      <alignment horizontal="center"/>
      <protection hidden="1"/>
    </xf>
    <xf numFmtId="0" fontId="13" fillId="0" borderId="0" xfId="0" applyFont="1" applyAlignment="1" applyProtection="1">
      <alignment horizontal="center"/>
      <protection hidden="1"/>
    </xf>
    <xf numFmtId="43" fontId="13" fillId="0" borderId="0" xfId="1" applyFont="1" applyProtection="1">
      <protection hidden="1"/>
    </xf>
    <xf numFmtId="0" fontId="13" fillId="0" borderId="0" xfId="0" applyFont="1" applyProtection="1">
      <protection hidden="1"/>
    </xf>
    <xf numFmtId="0" fontId="11" fillId="0" borderId="0" xfId="0" applyFont="1" applyProtection="1">
      <protection hidden="1"/>
    </xf>
    <xf numFmtId="0" fontId="10" fillId="0" borderId="2" xfId="0" applyFont="1" applyBorder="1" applyProtection="1">
      <protection hidden="1"/>
    </xf>
    <xf numFmtId="0" fontId="10" fillId="0" borderId="0" xfId="0" applyFont="1" applyBorder="1" applyAlignment="1" applyProtection="1">
      <alignment horizontal="left"/>
      <protection locked="0" hidden="1"/>
    </xf>
    <xf numFmtId="43" fontId="10" fillId="0" borderId="0" xfId="1" applyFont="1" applyBorder="1"/>
    <xf numFmtId="0" fontId="10" fillId="0" borderId="15" xfId="0" applyFont="1" applyBorder="1" applyAlignment="1">
      <alignment horizontal="center"/>
    </xf>
    <xf numFmtId="169" fontId="10" fillId="0" borderId="15" xfId="0" applyNumberFormat="1" applyFont="1" applyBorder="1" applyAlignment="1">
      <alignment horizontal="center"/>
    </xf>
    <xf numFmtId="43" fontId="10" fillId="0" borderId="15" xfId="1" applyFont="1" applyBorder="1"/>
    <xf numFmtId="43" fontId="10" fillId="0" borderId="15" xfId="0" applyNumberFormat="1" applyFont="1" applyBorder="1"/>
    <xf numFmtId="39" fontId="10" fillId="0" borderId="0" xfId="0" applyNumberFormat="1" applyFont="1" applyAlignment="1" applyProtection="1">
      <alignment horizontal="right"/>
      <protection locked="0" hidden="1"/>
    </xf>
    <xf numFmtId="43" fontId="10" fillId="0" borderId="2" xfId="1" applyFont="1" applyBorder="1" applyAlignment="1" applyProtection="1">
      <alignment horizontal="right"/>
      <protection locked="0" hidden="1"/>
    </xf>
    <xf numFmtId="43" fontId="12" fillId="0" borderId="6" xfId="0" applyNumberFormat="1" applyFont="1" applyBorder="1" applyAlignment="1" applyProtection="1">
      <alignment horizontal="right"/>
      <protection locked="0" hidden="1"/>
    </xf>
    <xf numFmtId="39" fontId="10" fillId="0" borderId="0" xfId="0" applyNumberFormat="1" applyFont="1" applyBorder="1" applyProtection="1">
      <protection locked="0" hidden="1"/>
    </xf>
    <xf numFmtId="43" fontId="10" fillId="0" borderId="0" xfId="1" applyFont="1" applyBorder="1" applyAlignment="1" applyProtection="1">
      <alignment horizontal="right"/>
      <protection locked="0" hidden="1"/>
    </xf>
    <xf numFmtId="43" fontId="10" fillId="0" borderId="0" xfId="1" applyFont="1" applyAlignment="1" applyProtection="1">
      <alignment horizontal="center"/>
      <protection locked="0" hidden="1"/>
    </xf>
    <xf numFmtId="43" fontId="10" fillId="0" borderId="2" xfId="1" applyFont="1" applyBorder="1" applyAlignment="1" applyProtection="1">
      <alignment horizontal="center"/>
      <protection locked="0" hidden="1"/>
    </xf>
    <xf numFmtId="43" fontId="12" fillId="0" borderId="6" xfId="1" applyFont="1" applyBorder="1" applyAlignment="1" applyProtection="1">
      <alignment horizontal="center"/>
      <protection locked="0" hidden="1"/>
    </xf>
    <xf numFmtId="0" fontId="10" fillId="0" borderId="16" xfId="0" applyFont="1" applyBorder="1" applyAlignment="1">
      <alignment horizontal="center"/>
    </xf>
    <xf numFmtId="169" fontId="10" fillId="0" borderId="16" xfId="0" applyNumberFormat="1" applyFont="1" applyBorder="1" applyAlignment="1">
      <alignment horizontal="center"/>
    </xf>
    <xf numFmtId="43" fontId="10" fillId="0" borderId="16" xfId="1" applyFont="1" applyBorder="1"/>
    <xf numFmtId="43" fontId="10" fillId="0" borderId="16" xfId="0" applyNumberFormat="1" applyFont="1" applyBorder="1"/>
    <xf numFmtId="169" fontId="10" fillId="0" borderId="3" xfId="0" applyNumberFormat="1" applyFont="1" applyBorder="1" applyAlignment="1">
      <alignment horizontal="center"/>
    </xf>
    <xf numFmtId="43" fontId="10" fillId="0" borderId="3" xfId="0" applyNumberFormat="1" applyFont="1" applyBorder="1"/>
    <xf numFmtId="39" fontId="12" fillId="0" borderId="6" xfId="0" applyNumberFormat="1" applyFont="1" applyBorder="1" applyProtection="1">
      <protection locked="0" hidden="1"/>
    </xf>
    <xf numFmtId="39" fontId="10" fillId="0" borderId="0" xfId="0" applyNumberFormat="1" applyFont="1" applyAlignment="1">
      <alignment horizontal="center"/>
    </xf>
    <xf numFmtId="0" fontId="10" fillId="0" borderId="17" xfId="0" applyFont="1" applyBorder="1" applyAlignment="1">
      <alignment horizontal="center"/>
    </xf>
    <xf numFmtId="169" fontId="10" fillId="0" borderId="17" xfId="0" applyNumberFormat="1" applyFont="1" applyBorder="1" applyAlignment="1">
      <alignment horizontal="center"/>
    </xf>
    <xf numFmtId="43" fontId="10" fillId="0" borderId="17" xfId="1" applyFont="1" applyBorder="1"/>
    <xf numFmtId="43" fontId="10" fillId="0" borderId="17" xfId="0" applyNumberFormat="1" applyFont="1" applyBorder="1"/>
    <xf numFmtId="43" fontId="10" fillId="0" borderId="0" xfId="1" applyFont="1" applyBorder="1" applyAlignment="1" applyProtection="1">
      <alignment horizontal="center"/>
      <protection locked="0" hidden="1"/>
    </xf>
    <xf numFmtId="39" fontId="10" fillId="0" borderId="0" xfId="0" applyNumberFormat="1" applyFont="1" applyAlignment="1" applyProtection="1">
      <alignment horizontal="center"/>
      <protection locked="0" hidden="1"/>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0" xfId="0" applyNumberFormat="1" applyBorder="1" applyAlignment="1">
      <alignment horizontal="center" vertical="top" wrapText="1"/>
    </xf>
    <xf numFmtId="0" fontId="10" fillId="0" borderId="0" xfId="0" applyFont="1" applyProtection="1"/>
    <xf numFmtId="0" fontId="18" fillId="0" borderId="0" xfId="13" applyFont="1" applyProtection="1"/>
    <xf numFmtId="0" fontId="10" fillId="0" borderId="0" xfId="0" applyFont="1" applyAlignment="1" applyProtection="1">
      <alignment horizontal="center"/>
    </xf>
    <xf numFmtId="0" fontId="12" fillId="0" borderId="0" xfId="0" applyFont="1" applyProtection="1"/>
    <xf numFmtId="0" fontId="12" fillId="4" borderId="12" xfId="0" applyFont="1" applyFill="1" applyBorder="1" applyAlignment="1" applyProtection="1">
      <alignment horizontal="left"/>
    </xf>
    <xf numFmtId="0" fontId="10" fillId="0" borderId="13" xfId="0" applyFont="1" applyBorder="1" applyAlignment="1" applyProtection="1">
      <alignment horizontal="left"/>
    </xf>
    <xf numFmtId="0" fontId="10" fillId="0" borderId="14" xfId="0" applyFont="1" applyBorder="1" applyAlignment="1" applyProtection="1">
      <alignment horizontal="left"/>
    </xf>
    <xf numFmtId="39" fontId="10" fillId="0" borderId="0" xfId="0" applyNumberFormat="1" applyFont="1" applyProtection="1"/>
    <xf numFmtId="43" fontId="10" fillId="0" borderId="2" xfId="1" applyFont="1" applyBorder="1" applyProtection="1"/>
    <xf numFmtId="10" fontId="10" fillId="0" borderId="0" xfId="0" applyNumberFormat="1" applyFont="1" applyAlignment="1" applyProtection="1">
      <alignment horizontal="center"/>
    </xf>
    <xf numFmtId="0" fontId="10" fillId="4" borderId="1" xfId="0" applyFont="1" applyFill="1" applyBorder="1" applyAlignment="1" applyProtection="1">
      <alignment horizontal="center"/>
    </xf>
    <xf numFmtId="0" fontId="10" fillId="4" borderId="0" xfId="0" applyFont="1" applyFill="1" applyProtection="1"/>
    <xf numFmtId="170" fontId="10" fillId="4" borderId="0" xfId="0" applyNumberFormat="1" applyFont="1" applyFill="1" applyAlignment="1" applyProtection="1">
      <alignment horizontal="center"/>
    </xf>
    <xf numFmtId="0" fontId="12" fillId="4" borderId="0" xfId="0" applyFont="1" applyFill="1" applyAlignment="1" applyProtection="1">
      <alignment horizontal="center"/>
    </xf>
    <xf numFmtId="43" fontId="12" fillId="4" borderId="0" xfId="1" applyFont="1" applyFill="1" applyProtection="1"/>
    <xf numFmtId="0" fontId="11" fillId="0" borderId="0" xfId="0" applyFont="1" applyBorder="1" applyProtection="1"/>
    <xf numFmtId="0" fontId="11" fillId="0" borderId="0" xfId="0" applyFont="1" applyProtection="1"/>
    <xf numFmtId="0" fontId="10" fillId="0" borderId="2" xfId="0" applyFont="1" applyBorder="1" applyProtection="1"/>
    <xf numFmtId="10" fontId="10" fillId="0" borderId="0" xfId="0" applyNumberFormat="1" applyFont="1" applyAlignment="1" applyProtection="1">
      <alignment horizontal="center"/>
      <protection locked="0"/>
    </xf>
    <xf numFmtId="39" fontId="10" fillId="0" borderId="2" xfId="0" applyNumberFormat="1" applyFont="1" applyBorder="1" applyProtection="1"/>
    <xf numFmtId="39" fontId="12" fillId="0" borderId="6" xfId="0" applyNumberFormat="1" applyFont="1" applyBorder="1" applyProtection="1"/>
    <xf numFmtId="167" fontId="13" fillId="0" borderId="0" xfId="0" applyNumberFormat="1" applyFont="1" applyAlignment="1" applyProtection="1">
      <alignment horizontal="center"/>
    </xf>
    <xf numFmtId="0" fontId="13" fillId="0" borderId="0" xfId="0" applyFont="1" applyAlignment="1" applyProtection="1">
      <alignment horizontal="center"/>
    </xf>
    <xf numFmtId="43" fontId="13" fillId="0" borderId="0" xfId="1" applyFont="1" applyProtection="1"/>
    <xf numFmtId="0" fontId="13" fillId="0" borderId="0" xfId="0" applyFont="1" applyProtection="1"/>
    <xf numFmtId="39" fontId="10" fillId="0" borderId="0" xfId="0" applyNumberFormat="1" applyFont="1" applyBorder="1" applyProtection="1"/>
    <xf numFmtId="0" fontId="10" fillId="0" borderId="16" xfId="0" applyFont="1" applyBorder="1" applyAlignment="1" applyProtection="1">
      <alignment horizontal="center"/>
    </xf>
    <xf numFmtId="39" fontId="10" fillId="0" borderId="0" xfId="0" applyNumberFormat="1" applyFont="1" applyAlignment="1" applyProtection="1">
      <alignment horizontal="center"/>
    </xf>
    <xf numFmtId="0" fontId="10" fillId="0" borderId="0" xfId="0" applyFont="1" applyAlignment="1" applyProtection="1">
      <alignment horizontal="left" indent="1"/>
    </xf>
    <xf numFmtId="10" fontId="12" fillId="0" borderId="0" xfId="0" applyNumberFormat="1" applyFont="1" applyAlignment="1" applyProtection="1">
      <alignment horizontal="center"/>
      <protection locked="0"/>
    </xf>
    <xf numFmtId="0" fontId="19" fillId="0" borderId="0" xfId="0" applyFont="1" applyAlignment="1" applyProtection="1">
      <alignment vertical="center"/>
      <protection hidden="1"/>
    </xf>
    <xf numFmtId="0" fontId="19" fillId="0" borderId="23" xfId="0" applyFont="1" applyBorder="1" applyAlignment="1" applyProtection="1">
      <alignment vertical="center"/>
      <protection hidden="1"/>
    </xf>
    <xf numFmtId="0" fontId="19" fillId="0" borderId="0" xfId="0" applyFont="1" applyBorder="1" applyAlignment="1" applyProtection="1">
      <alignment vertical="center"/>
      <protection hidden="1"/>
    </xf>
    <xf numFmtId="4" fontId="10" fillId="5" borderId="0" xfId="0" applyNumberFormat="1" applyFont="1" applyFill="1" applyBorder="1" applyAlignment="1" applyProtection="1">
      <alignment horizontal="left"/>
    </xf>
    <xf numFmtId="4" fontId="10" fillId="5" borderId="24" xfId="0" applyNumberFormat="1" applyFont="1" applyFill="1" applyBorder="1" applyAlignment="1" applyProtection="1">
      <alignment horizontal="left"/>
    </xf>
    <xf numFmtId="4" fontId="10" fillId="0" borderId="0" xfId="0" applyNumberFormat="1" applyFont="1" applyBorder="1" applyAlignment="1" applyProtection="1">
      <alignment horizontal="left"/>
    </xf>
    <xf numFmtId="4" fontId="10" fillId="0" borderId="24" xfId="0" applyNumberFormat="1" applyFont="1" applyBorder="1" applyAlignment="1" applyProtection="1">
      <alignment horizontal="left"/>
    </xf>
    <xf numFmtId="171" fontId="10" fillId="0" borderId="0" xfId="0" applyNumberFormat="1" applyFont="1" applyAlignment="1" applyProtection="1">
      <alignment horizontal="center"/>
      <protection locked="0"/>
    </xf>
    <xf numFmtId="39" fontId="12" fillId="0" borderId="25" xfId="0" applyNumberFormat="1" applyFont="1" applyBorder="1" applyProtection="1"/>
    <xf numFmtId="0" fontId="10" fillId="0" borderId="3" xfId="0" applyFont="1" applyBorder="1" applyAlignment="1" applyProtection="1">
      <alignment horizontal="center"/>
    </xf>
    <xf numFmtId="43" fontId="10" fillId="0" borderId="3" xfId="1" applyFont="1" applyBorder="1" applyProtection="1"/>
    <xf numFmtId="0" fontId="20" fillId="0" borderId="0" xfId="0" applyFont="1" applyAlignment="1" applyProtection="1">
      <alignment horizontal="center"/>
    </xf>
    <xf numFmtId="0" fontId="10" fillId="0" borderId="0" xfId="0" applyFont="1" applyProtection="1">
      <protection locked="0"/>
    </xf>
    <xf numFmtId="0" fontId="10" fillId="0" borderId="0" xfId="0" applyFont="1" applyAlignment="1" applyProtection="1">
      <alignment horizontal="left" indent="1"/>
      <protection locked="0"/>
    </xf>
    <xf numFmtId="172" fontId="10" fillId="0" borderId="0" xfId="0" applyNumberFormat="1" applyFont="1" applyAlignment="1" applyProtection="1">
      <alignment horizontal="center"/>
    </xf>
    <xf numFmtId="172" fontId="21" fillId="0" borderId="0" xfId="20" applyNumberFormat="1" applyFont="1" applyAlignment="1" applyProtection="1">
      <alignment horizontal="center"/>
    </xf>
    <xf numFmtId="172" fontId="10" fillId="0" borderId="0" xfId="20" applyNumberFormat="1" applyFont="1" applyAlignment="1" applyProtection="1">
      <alignment horizontal="center"/>
    </xf>
    <xf numFmtId="9" fontId="20" fillId="0" borderId="0" xfId="20" applyFont="1" applyFill="1" applyAlignment="1" applyProtection="1">
      <alignment horizontal="center"/>
    </xf>
    <xf numFmtId="43" fontId="10" fillId="0" borderId="16" xfId="1" applyFont="1" applyBorder="1" applyProtection="1"/>
    <xf numFmtId="169" fontId="10" fillId="0" borderId="16" xfId="0" applyNumberFormat="1" applyFont="1" applyBorder="1" applyAlignment="1" applyProtection="1">
      <alignment horizontal="center"/>
    </xf>
    <xf numFmtId="43" fontId="10" fillId="0" borderId="16" xfId="0" applyNumberFormat="1" applyFont="1" applyBorder="1" applyProtection="1"/>
    <xf numFmtId="169" fontId="10" fillId="0" borderId="3" xfId="0" applyNumberFormat="1" applyFont="1" applyBorder="1" applyAlignment="1" applyProtection="1">
      <alignment horizontal="center"/>
    </xf>
    <xf numFmtId="43" fontId="10" fillId="0" borderId="3" xfId="0" applyNumberFormat="1" applyFont="1" applyBorder="1" applyProtection="1"/>
    <xf numFmtId="0" fontId="10" fillId="0" borderId="5" xfId="0" applyFont="1" applyBorder="1" applyAlignment="1" applyProtection="1">
      <alignment horizontal="center"/>
    </xf>
    <xf numFmtId="43" fontId="10" fillId="0" borderId="5" xfId="1" applyFont="1" applyBorder="1" applyProtection="1"/>
    <xf numFmtId="0" fontId="10" fillId="4" borderId="3" xfId="0" applyFont="1" applyFill="1" applyBorder="1" applyAlignment="1" applyProtection="1">
      <alignment horizontal="center"/>
    </xf>
    <xf numFmtId="0" fontId="22" fillId="0" borderId="0" xfId="0" applyFont="1" applyBorder="1" applyAlignment="1">
      <alignment horizontal="left"/>
    </xf>
    <xf numFmtId="0" fontId="23" fillId="0" borderId="0" xfId="0" applyFont="1" applyBorder="1" applyAlignment="1">
      <alignment horizontal="center"/>
    </xf>
    <xf numFmtId="9" fontId="23" fillId="0" borderId="0" xfId="20" applyFont="1" applyBorder="1" applyAlignment="1">
      <alignment horizontal="center" vertical="center"/>
    </xf>
    <xf numFmtId="0" fontId="23" fillId="0" borderId="0" xfId="0" applyFont="1" applyBorder="1"/>
    <xf numFmtId="0" fontId="7" fillId="0" borderId="0" xfId="0" applyFont="1" applyBorder="1"/>
    <xf numFmtId="0" fontId="23" fillId="0" borderId="0" xfId="0" applyFont="1" applyBorder="1" applyAlignment="1">
      <alignment horizontal="left"/>
    </xf>
    <xf numFmtId="0" fontId="24" fillId="0" borderId="0" xfId="0" applyFont="1" applyBorder="1" applyAlignment="1">
      <alignment horizontal="right"/>
    </xf>
    <xf numFmtId="9" fontId="24" fillId="0" borderId="0" xfId="20" applyFont="1" applyBorder="1" applyAlignment="1">
      <alignment horizontal="right" vertical="center"/>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9" fontId="25" fillId="0" borderId="0" xfId="20" applyFont="1" applyBorder="1" applyAlignment="1">
      <alignment horizontal="center" vertical="center" wrapText="1"/>
    </xf>
    <xf numFmtId="0" fontId="26" fillId="0" borderId="0" xfId="0" applyFont="1" applyBorder="1" applyAlignment="1">
      <alignment horizontal="center" vertical="center"/>
    </xf>
    <xf numFmtId="2" fontId="23" fillId="0" borderId="0" xfId="0" applyNumberFormat="1" applyFont="1" applyBorder="1" applyAlignment="1">
      <alignment horizontal="center"/>
    </xf>
    <xf numFmtId="165" fontId="23" fillId="0" borderId="0" xfId="0" applyNumberFormat="1" applyFont="1" applyBorder="1" applyAlignment="1">
      <alignment horizontal="center"/>
    </xf>
    <xf numFmtId="0" fontId="27" fillId="0" borderId="0" xfId="0" applyFont="1" applyBorder="1" applyAlignment="1">
      <alignment horizontal="left" vertical="center" wrapText="1"/>
    </xf>
    <xf numFmtId="0" fontId="27" fillId="0" borderId="0" xfId="0" applyFont="1" applyBorder="1" applyAlignment="1">
      <alignment wrapText="1"/>
    </xf>
    <xf numFmtId="0" fontId="23" fillId="0" borderId="0" xfId="0" applyFont="1" applyBorder="1" applyAlignment="1"/>
    <xf numFmtId="9" fontId="7" fillId="0" borderId="0" xfId="20" applyFont="1" applyBorder="1" applyAlignment="1">
      <alignment vertical="center"/>
    </xf>
    <xf numFmtId="0" fontId="23" fillId="0" borderId="0" xfId="0" applyFont="1" applyBorder="1" applyAlignment="1">
      <alignment vertical="top" wrapText="1"/>
    </xf>
    <xf numFmtId="0" fontId="23" fillId="0" borderId="0" xfId="0" applyFont="1" applyBorder="1" applyAlignment="1">
      <alignment horizontal="center" vertical="top" wrapText="1"/>
    </xf>
    <xf numFmtId="4" fontId="10" fillId="5" borderId="0" xfId="0" applyNumberFormat="1" applyFont="1" applyFill="1" applyBorder="1" applyAlignment="1" applyProtection="1">
      <alignment horizontal="left"/>
    </xf>
    <xf numFmtId="39" fontId="10" fillId="0" borderId="30" xfId="0" applyNumberFormat="1" applyFont="1" applyBorder="1" applyProtection="1"/>
    <xf numFmtId="171" fontId="10" fillId="5" borderId="0" xfId="20" applyNumberFormat="1" applyFont="1" applyFill="1" applyBorder="1" applyAlignment="1" applyProtection="1">
      <alignment horizontal="center"/>
    </xf>
    <xf numFmtId="0" fontId="30" fillId="5" borderId="0" xfId="0" applyFont="1" applyFill="1" applyProtection="1">
      <protection hidden="1"/>
    </xf>
    <xf numFmtId="167" fontId="33" fillId="6" borderId="1" xfId="0" applyNumberFormat="1" applyFont="1" applyFill="1" applyBorder="1" applyAlignment="1" applyProtection="1">
      <alignment horizontal="center" vertical="center"/>
      <protection locked="0" hidden="1"/>
    </xf>
    <xf numFmtId="0" fontId="36" fillId="6" borderId="1" xfId="0" quotePrefix="1" applyFont="1" applyFill="1" applyBorder="1" applyAlignment="1" applyProtection="1">
      <alignment horizontal="center" vertical="center"/>
      <protection locked="0" hidden="1"/>
    </xf>
    <xf numFmtId="171" fontId="10" fillId="5" borderId="0" xfId="20" applyNumberFormat="1" applyFont="1" applyFill="1" applyBorder="1" applyAlignment="1" applyProtection="1">
      <alignment horizontal="center"/>
      <protection hidden="1"/>
    </xf>
    <xf numFmtId="0" fontId="10" fillId="5" borderId="0" xfId="0" applyFont="1" applyFill="1" applyProtection="1">
      <protection hidden="1"/>
    </xf>
    <xf numFmtId="0" fontId="12" fillId="5" borderId="0" xfId="0" applyFont="1" applyFill="1" applyProtection="1">
      <protection hidden="1"/>
    </xf>
    <xf numFmtId="9" fontId="12" fillId="5" borderId="0" xfId="0" applyNumberFormat="1" applyFont="1" applyFill="1" applyAlignment="1" applyProtection="1">
      <alignment horizontal="center"/>
      <protection hidden="1"/>
    </xf>
    <xf numFmtId="9" fontId="10" fillId="0" borderId="0" xfId="0" applyNumberFormat="1" applyFont="1" applyAlignment="1" applyProtection="1">
      <alignment horizontal="center"/>
      <protection hidden="1"/>
    </xf>
    <xf numFmtId="0" fontId="33" fillId="0" borderId="9" xfId="0" applyFont="1" applyBorder="1" applyAlignment="1" applyProtection="1">
      <alignment horizontal="left" vertical="center" indent="14"/>
      <protection hidden="1"/>
    </xf>
    <xf numFmtId="18" fontId="33" fillId="0" borderId="1" xfId="0" applyNumberFormat="1" applyFont="1" applyFill="1" applyBorder="1" applyAlignment="1" applyProtection="1">
      <alignment horizontal="center" vertical="center"/>
      <protection hidden="1"/>
    </xf>
    <xf numFmtId="2" fontId="33" fillId="0" borderId="1" xfId="0" applyNumberFormat="1" applyFont="1" applyFill="1" applyBorder="1" applyAlignment="1" applyProtection="1">
      <alignment horizontal="center" vertical="center"/>
      <protection hidden="1"/>
    </xf>
    <xf numFmtId="4" fontId="33" fillId="0" borderId="1" xfId="0" applyNumberFormat="1" applyFont="1" applyFill="1" applyBorder="1" applyAlignment="1" applyProtection="1">
      <alignment horizontal="center" vertical="center"/>
      <protection hidden="1"/>
    </xf>
    <xf numFmtId="0" fontId="34" fillId="8" borderId="33" xfId="0" applyFont="1" applyFill="1" applyBorder="1" applyAlignment="1" applyProtection="1">
      <alignment horizontal="center" vertical="center"/>
      <protection hidden="1"/>
    </xf>
    <xf numFmtId="170" fontId="10" fillId="5" borderId="0" xfId="0" applyNumberFormat="1" applyFont="1" applyFill="1" applyAlignment="1" applyProtection="1">
      <alignment horizontal="center"/>
      <protection hidden="1"/>
    </xf>
    <xf numFmtId="0" fontId="12" fillId="5" borderId="0" xfId="0" applyFont="1" applyFill="1" applyAlignment="1" applyProtection="1">
      <alignment horizontal="center"/>
      <protection hidden="1"/>
    </xf>
    <xf numFmtId="43" fontId="12" fillId="5" borderId="0" xfId="1" applyFont="1" applyFill="1" applyProtection="1">
      <protection hidden="1"/>
    </xf>
    <xf numFmtId="0" fontId="10" fillId="5" borderId="0" xfId="0" applyFont="1" applyFill="1" applyAlignment="1" applyProtection="1">
      <alignment horizontal="center"/>
      <protection hidden="1"/>
    </xf>
    <xf numFmtId="0" fontId="10" fillId="5" borderId="2" xfId="0" applyFont="1" applyFill="1" applyBorder="1" applyProtection="1">
      <protection hidden="1"/>
    </xf>
    <xf numFmtId="0" fontId="12" fillId="5" borderId="2" xfId="0" applyFont="1" applyFill="1" applyBorder="1" applyProtection="1">
      <protection hidden="1"/>
    </xf>
    <xf numFmtId="0" fontId="18" fillId="0" borderId="0" xfId="13" applyFont="1" applyProtection="1">
      <protection hidden="1"/>
    </xf>
    <xf numFmtId="0" fontId="12" fillId="10" borderId="12" xfId="0" applyFont="1" applyFill="1" applyBorder="1" applyAlignment="1" applyProtection="1">
      <alignment horizontal="left"/>
      <protection hidden="1"/>
    </xf>
    <xf numFmtId="0" fontId="12" fillId="10" borderId="30" xfId="0" applyFont="1" applyFill="1" applyBorder="1" applyAlignment="1" applyProtection="1">
      <alignment horizontal="left"/>
      <protection hidden="1"/>
    </xf>
    <xf numFmtId="0" fontId="10" fillId="0" borderId="13" xfId="0" applyFont="1" applyBorder="1" applyAlignment="1" applyProtection="1">
      <alignment horizontal="left"/>
      <protection hidden="1"/>
    </xf>
    <xf numFmtId="0" fontId="10" fillId="0" borderId="0" xfId="0" applyFont="1" applyBorder="1" applyAlignment="1" applyProtection="1">
      <alignment horizontal="left"/>
      <protection hidden="1"/>
    </xf>
    <xf numFmtId="0" fontId="10" fillId="5" borderId="0" xfId="0" applyFont="1" applyFill="1" applyBorder="1" applyAlignment="1" applyProtection="1">
      <alignment horizontal="left"/>
      <protection hidden="1"/>
    </xf>
    <xf numFmtId="0" fontId="10" fillId="0" borderId="24" xfId="0" applyFont="1" applyBorder="1" applyAlignment="1" applyProtection="1">
      <alignment horizontal="left"/>
      <protection hidden="1"/>
    </xf>
    <xf numFmtId="4" fontId="10" fillId="5" borderId="0" xfId="0" applyNumberFormat="1" applyFont="1" applyFill="1" applyBorder="1" applyAlignment="1" applyProtection="1">
      <alignment horizontal="left"/>
      <protection hidden="1"/>
    </xf>
    <xf numFmtId="4" fontId="10" fillId="0" borderId="0" xfId="0" applyNumberFormat="1" applyFont="1" applyBorder="1" applyAlignment="1" applyProtection="1">
      <alignment horizontal="left"/>
      <protection hidden="1"/>
    </xf>
    <xf numFmtId="4" fontId="10" fillId="0" borderId="24" xfId="0" applyNumberFormat="1" applyFont="1" applyBorder="1" applyAlignment="1" applyProtection="1">
      <alignment horizontal="left"/>
      <protection hidden="1"/>
    </xf>
    <xf numFmtId="0" fontId="10" fillId="5" borderId="13" xfId="0" applyFont="1" applyFill="1" applyBorder="1" applyAlignment="1" applyProtection="1">
      <alignment vertical="center"/>
      <protection hidden="1"/>
    </xf>
    <xf numFmtId="0" fontId="10" fillId="5" borderId="0" xfId="0" applyFont="1" applyFill="1" applyBorder="1" applyAlignment="1" applyProtection="1">
      <alignment vertical="center"/>
      <protection hidden="1"/>
    </xf>
    <xf numFmtId="0" fontId="10" fillId="0" borderId="14" xfId="0" applyFont="1" applyBorder="1" applyAlignment="1" applyProtection="1">
      <alignment horizontal="left"/>
      <protection hidden="1"/>
    </xf>
    <xf numFmtId="0" fontId="10" fillId="0" borderId="2" xfId="0" applyFont="1" applyBorder="1" applyAlignment="1" applyProtection="1">
      <alignment horizontal="left"/>
      <protection hidden="1"/>
    </xf>
    <xf numFmtId="0" fontId="20" fillId="0" borderId="0" xfId="0" applyFont="1" applyAlignment="1" applyProtection="1">
      <alignment horizontal="center"/>
      <protection hidden="1"/>
    </xf>
    <xf numFmtId="0" fontId="10" fillId="5" borderId="0" xfId="0" applyFont="1" applyFill="1" applyAlignment="1" applyProtection="1">
      <alignment horizontal="left" vertical="center" indent="1"/>
      <protection hidden="1"/>
    </xf>
    <xf numFmtId="0" fontId="10" fillId="0" borderId="0" xfId="0" applyFont="1" applyAlignment="1" applyProtection="1">
      <alignment horizontal="left" indent="1"/>
      <protection hidden="1"/>
    </xf>
    <xf numFmtId="39" fontId="10" fillId="0" borderId="0" xfId="0" applyNumberFormat="1" applyFont="1" applyBorder="1" applyProtection="1">
      <protection hidden="1"/>
    </xf>
    <xf numFmtId="39" fontId="10" fillId="5" borderId="30" xfId="0" applyNumberFormat="1" applyFont="1" applyFill="1" applyBorder="1" applyProtection="1">
      <protection hidden="1"/>
    </xf>
    <xf numFmtId="172" fontId="10" fillId="0" borderId="0" xfId="20" applyNumberFormat="1" applyFont="1" applyAlignment="1" applyProtection="1">
      <alignment horizontal="center"/>
      <protection hidden="1"/>
    </xf>
    <xf numFmtId="0" fontId="10" fillId="5" borderId="0" xfId="0" applyFont="1" applyFill="1" applyAlignment="1" applyProtection="1">
      <alignment horizontal="left" indent="1"/>
      <protection hidden="1"/>
    </xf>
    <xf numFmtId="43" fontId="10" fillId="5" borderId="2" xfId="1" applyFont="1" applyFill="1" applyBorder="1" applyProtection="1">
      <protection hidden="1"/>
    </xf>
    <xf numFmtId="0" fontId="12" fillId="5" borderId="0" xfId="0" applyFont="1" applyFill="1" applyAlignment="1" applyProtection="1">
      <alignment horizontal="left"/>
      <protection hidden="1"/>
    </xf>
    <xf numFmtId="43" fontId="12" fillId="5" borderId="30" xfId="1" applyFont="1" applyFill="1" applyBorder="1" applyProtection="1">
      <protection hidden="1"/>
    </xf>
    <xf numFmtId="0" fontId="12" fillId="5" borderId="0" xfId="0" applyFont="1" applyFill="1" applyAlignment="1" applyProtection="1">
      <alignment horizontal="left" indent="1"/>
      <protection hidden="1"/>
    </xf>
    <xf numFmtId="39" fontId="12" fillId="5" borderId="0" xfId="0" applyNumberFormat="1" applyFont="1" applyFill="1" applyProtection="1">
      <protection hidden="1"/>
    </xf>
    <xf numFmtId="39" fontId="12" fillId="5" borderId="6" xfId="0" applyNumberFormat="1" applyFont="1" applyFill="1" applyBorder="1" applyProtection="1">
      <protection hidden="1"/>
    </xf>
    <xf numFmtId="0" fontId="10" fillId="10" borderId="1" xfId="0" applyFont="1" applyFill="1" applyBorder="1" applyAlignment="1" applyProtection="1">
      <alignment horizontal="center" vertical="center"/>
      <protection hidden="1"/>
    </xf>
    <xf numFmtId="43" fontId="10" fillId="10" borderId="1" xfId="1" applyFont="1" applyFill="1" applyBorder="1" applyAlignment="1" applyProtection="1">
      <alignment horizontal="center" vertical="center"/>
      <protection hidden="1"/>
    </xf>
    <xf numFmtId="0" fontId="12" fillId="10" borderId="1" xfId="0" applyFont="1" applyFill="1" applyBorder="1" applyAlignment="1" applyProtection="1">
      <alignment horizontal="center" vertical="center"/>
      <protection hidden="1"/>
    </xf>
    <xf numFmtId="43" fontId="12" fillId="5" borderId="1" xfId="0" applyNumberFormat="1" applyFont="1" applyFill="1" applyBorder="1" applyAlignment="1" applyProtection="1">
      <alignment vertical="center"/>
      <protection hidden="1"/>
    </xf>
    <xf numFmtId="0" fontId="10" fillId="0" borderId="1" xfId="0" applyFont="1" applyBorder="1" applyAlignment="1" applyProtection="1">
      <alignment horizontal="center"/>
      <protection hidden="1"/>
    </xf>
    <xf numFmtId="169" fontId="10" fillId="0" borderId="1" xfId="0" applyNumberFormat="1" applyFont="1" applyBorder="1" applyAlignment="1" applyProtection="1">
      <alignment horizontal="center"/>
      <protection hidden="1"/>
    </xf>
    <xf numFmtId="43" fontId="10" fillId="0" borderId="1" xfId="1" applyFont="1" applyBorder="1" applyProtection="1">
      <protection hidden="1"/>
    </xf>
    <xf numFmtId="43" fontId="12" fillId="0" borderId="1" xfId="1" applyFont="1" applyBorder="1" applyProtection="1">
      <protection hidden="1"/>
    </xf>
    <xf numFmtId="43" fontId="10" fillId="0" borderId="1" xfId="0" applyNumberFormat="1" applyFont="1" applyBorder="1" applyProtection="1">
      <protection hidden="1"/>
    </xf>
    <xf numFmtId="9" fontId="10" fillId="0" borderId="1" xfId="0" applyNumberFormat="1" applyFont="1" applyBorder="1" applyAlignment="1" applyProtection="1">
      <alignment horizontal="center"/>
      <protection hidden="1"/>
    </xf>
    <xf numFmtId="43" fontId="12" fillId="10" borderId="1" xfId="1" applyFont="1" applyFill="1" applyBorder="1" applyProtection="1">
      <protection hidden="1"/>
    </xf>
    <xf numFmtId="0" fontId="12" fillId="10" borderId="1" xfId="0" applyFont="1" applyFill="1" applyBorder="1" applyProtection="1">
      <protection hidden="1"/>
    </xf>
    <xf numFmtId="0" fontId="28" fillId="0" borderId="0" xfId="13" applyFont="1" applyProtection="1">
      <protection locked="0" hidden="1"/>
    </xf>
    <xf numFmtId="0" fontId="0" fillId="0" borderId="7" xfId="0" applyBorder="1" applyAlignment="1" applyProtection="1">
      <alignment vertical="center"/>
      <protection hidden="1"/>
    </xf>
    <xf numFmtId="0" fontId="15" fillId="0" borderId="8"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0" fillId="0" borderId="9" xfId="0" applyBorder="1" applyAlignment="1" applyProtection="1">
      <alignment vertical="center"/>
      <protection hidden="1"/>
    </xf>
    <xf numFmtId="0" fontId="19" fillId="0" borderId="22" xfId="0" applyFont="1" applyBorder="1" applyAlignment="1" applyProtection="1">
      <alignment vertical="center"/>
      <protection hidden="1"/>
    </xf>
    <xf numFmtId="0" fontId="16" fillId="0" borderId="0" xfId="0" applyFont="1" applyAlignment="1" applyProtection="1">
      <alignment vertical="center"/>
      <protection hidden="1"/>
    </xf>
    <xf numFmtId="0" fontId="31" fillId="0" borderId="9" xfId="0" applyFont="1" applyFill="1" applyBorder="1" applyAlignment="1" applyProtection="1">
      <alignment horizontal="center" vertical="center"/>
      <protection hidden="1"/>
    </xf>
    <xf numFmtId="0" fontId="0" fillId="0" borderId="22" xfId="0" applyBorder="1" applyAlignment="1" applyProtection="1">
      <alignment vertical="center"/>
      <protection hidden="1"/>
    </xf>
    <xf numFmtId="0" fontId="16" fillId="0" borderId="0" xfId="13" applyFont="1" applyFill="1" applyBorder="1" applyAlignment="1" applyProtection="1">
      <alignment horizontal="center" vertical="center"/>
      <protection hidden="1"/>
    </xf>
    <xf numFmtId="0" fontId="32" fillId="0" borderId="0" xfId="0" applyFont="1" applyAlignment="1" applyProtection="1">
      <alignment vertical="center"/>
      <protection hidden="1"/>
    </xf>
    <xf numFmtId="0" fontId="15" fillId="0" borderId="0" xfId="13" applyFont="1" applyFill="1" applyBorder="1" applyAlignment="1" applyProtection="1">
      <alignment horizontal="center" vertical="center"/>
      <protection hidden="1"/>
    </xf>
    <xf numFmtId="0" fontId="32" fillId="0" borderId="0" xfId="13" applyFont="1" applyFill="1" applyBorder="1" applyAlignment="1" applyProtection="1">
      <alignment horizontal="center" vertical="center"/>
      <protection hidden="1"/>
    </xf>
    <xf numFmtId="0" fontId="7" fillId="5" borderId="0" xfId="13" applyFont="1" applyFill="1" applyBorder="1" applyAlignment="1" applyProtection="1">
      <alignment horizontal="center" vertical="center"/>
      <protection hidden="1"/>
    </xf>
    <xf numFmtId="0" fontId="38" fillId="8" borderId="35" xfId="13" applyFont="1" applyFill="1" applyBorder="1" applyAlignment="1" applyProtection="1">
      <alignment horizontal="center" vertical="center" wrapText="1"/>
      <protection locked="0" hidden="1"/>
    </xf>
    <xf numFmtId="0" fontId="38" fillId="8" borderId="35" xfId="13" applyFont="1" applyFill="1" applyBorder="1" applyAlignment="1" applyProtection="1">
      <alignment horizontal="center" vertical="center"/>
      <protection locked="0" hidden="1"/>
    </xf>
    <xf numFmtId="0" fontId="38" fillId="8" borderId="36" xfId="13" applyFont="1" applyFill="1" applyBorder="1" applyAlignment="1" applyProtection="1">
      <alignment horizontal="center" vertical="center"/>
      <protection locked="0" hidden="1"/>
    </xf>
    <xf numFmtId="0" fontId="38" fillId="8" borderId="10" xfId="13" applyFont="1" applyFill="1" applyBorder="1" applyAlignment="1" applyProtection="1">
      <alignment horizontal="center" vertical="center" wrapText="1"/>
      <protection locked="0" hidden="1"/>
    </xf>
    <xf numFmtId="0" fontId="12" fillId="10" borderId="30" xfId="0" applyFont="1" applyFill="1" applyBorder="1" applyAlignment="1" applyProtection="1">
      <alignment horizontal="left"/>
      <protection hidden="1"/>
    </xf>
    <xf numFmtId="0" fontId="10" fillId="5" borderId="0" xfId="0" applyFont="1" applyFill="1" applyBorder="1" applyAlignment="1" applyProtection="1">
      <alignment horizontal="left"/>
      <protection hidden="1"/>
    </xf>
    <xf numFmtId="4" fontId="10" fillId="0" borderId="0" xfId="0" applyNumberFormat="1" applyFont="1" applyBorder="1" applyAlignment="1" applyProtection="1">
      <alignment horizontal="left"/>
      <protection hidden="1"/>
    </xf>
    <xf numFmtId="4" fontId="10" fillId="0" borderId="24" xfId="0" applyNumberFormat="1" applyFont="1" applyBorder="1" applyAlignment="1" applyProtection="1">
      <alignment horizontal="left"/>
      <protection hidden="1"/>
    </xf>
    <xf numFmtId="39" fontId="10" fillId="0" borderId="0" xfId="0" applyNumberFormat="1" applyFont="1" applyBorder="1" applyAlignment="1" applyProtection="1">
      <alignment horizontal="left"/>
      <protection hidden="1"/>
    </xf>
    <xf numFmtId="39" fontId="10" fillId="0" borderId="24" xfId="0" applyNumberFormat="1" applyFont="1" applyBorder="1" applyAlignment="1" applyProtection="1">
      <alignment horizontal="left"/>
      <protection hidden="1"/>
    </xf>
    <xf numFmtId="4" fontId="10" fillId="5" borderId="0" xfId="0" applyNumberFormat="1" applyFont="1" applyFill="1" applyBorder="1" applyAlignment="1" applyProtection="1">
      <alignment horizontal="left"/>
      <protection hidden="1"/>
    </xf>
    <xf numFmtId="0" fontId="35" fillId="0" borderId="0" xfId="0" applyFont="1" applyAlignment="1" applyProtection="1">
      <alignment horizontal="center"/>
      <protection hidden="1"/>
    </xf>
    <xf numFmtId="0" fontId="12" fillId="0" borderId="0" xfId="0" applyFont="1" applyAlignment="1" applyProtection="1">
      <alignment horizontal="center"/>
      <protection hidden="1"/>
    </xf>
    <xf numFmtId="172" fontId="12" fillId="0" borderId="0" xfId="20" applyNumberFormat="1" applyFont="1" applyAlignment="1" applyProtection="1">
      <alignment horizontal="center"/>
      <protection hidden="1"/>
    </xf>
    <xf numFmtId="0" fontId="10" fillId="10" borderId="1" xfId="0" applyFont="1" applyFill="1" applyBorder="1" applyProtection="1">
      <protection hidden="1"/>
    </xf>
    <xf numFmtId="0" fontId="0" fillId="0" borderId="0" xfId="0" applyProtection="1">
      <protection hidden="1"/>
    </xf>
    <xf numFmtId="43" fontId="10" fillId="0" borderId="0" xfId="1" applyFont="1" applyProtection="1">
      <protection hidden="1"/>
    </xf>
    <xf numFmtId="0" fontId="9" fillId="0" borderId="0" xfId="0" applyFont="1" applyProtection="1">
      <protection hidden="1"/>
    </xf>
    <xf numFmtId="0" fontId="12" fillId="10" borderId="26" xfId="0" applyFont="1" applyFill="1" applyBorder="1" applyAlignment="1" applyProtection="1">
      <alignment horizontal="left"/>
      <protection hidden="1"/>
    </xf>
    <xf numFmtId="0" fontId="12" fillId="10" borderId="31" xfId="0" applyFont="1" applyFill="1" applyBorder="1" applyAlignment="1" applyProtection="1">
      <alignment horizontal="left"/>
      <protection hidden="1"/>
    </xf>
    <xf numFmtId="0" fontId="12" fillId="10" borderId="31" xfId="0" applyFont="1" applyFill="1" applyBorder="1" applyAlignment="1" applyProtection="1">
      <alignment horizontal="left"/>
      <protection hidden="1"/>
    </xf>
    <xf numFmtId="172" fontId="10" fillId="0" borderId="0" xfId="20" applyNumberFormat="1" applyFont="1" applyProtection="1">
      <protection hidden="1"/>
    </xf>
    <xf numFmtId="39" fontId="10" fillId="0" borderId="2" xfId="0" applyNumberFormat="1" applyFont="1" applyBorder="1" applyAlignment="1" applyProtection="1">
      <alignment horizontal="left"/>
      <protection hidden="1"/>
    </xf>
    <xf numFmtId="39" fontId="10" fillId="0" borderId="29" xfId="0" applyNumberFormat="1" applyFont="1" applyBorder="1" applyAlignment="1" applyProtection="1">
      <alignment horizontal="left"/>
      <protection hidden="1"/>
    </xf>
    <xf numFmtId="4" fontId="10" fillId="0" borderId="1" xfId="1" applyNumberFormat="1" applyFont="1" applyBorder="1" applyAlignment="1" applyProtection="1">
      <alignment horizontal="right"/>
      <protection hidden="1"/>
    </xf>
    <xf numFmtId="4" fontId="10" fillId="0" borderId="1" xfId="8" applyNumberFormat="1" applyFont="1" applyBorder="1" applyAlignment="1" applyProtection="1">
      <alignment horizontal="right"/>
      <protection hidden="1"/>
    </xf>
    <xf numFmtId="43" fontId="10" fillId="0" borderId="1" xfId="8" applyNumberFormat="1" applyFont="1" applyBorder="1" applyAlignment="1" applyProtection="1">
      <alignment horizontal="right"/>
      <protection hidden="1"/>
    </xf>
    <xf numFmtId="0" fontId="12" fillId="10" borderId="1" xfId="0" applyFont="1" applyFill="1" applyBorder="1" applyAlignment="1" applyProtection="1">
      <alignment horizontal="center"/>
      <protection hidden="1"/>
    </xf>
    <xf numFmtId="170" fontId="12" fillId="10" borderId="1" xfId="0" applyNumberFormat="1" applyFont="1" applyFill="1" applyBorder="1" applyAlignment="1" applyProtection="1">
      <alignment horizontal="center"/>
      <protection hidden="1"/>
    </xf>
    <xf numFmtId="172" fontId="21" fillId="0" borderId="0" xfId="20" applyNumberFormat="1" applyFont="1" applyAlignment="1" applyProtection="1">
      <alignment horizontal="center"/>
      <protection hidden="1"/>
    </xf>
    <xf numFmtId="43" fontId="12" fillId="5" borderId="0" xfId="1" applyFont="1" applyFill="1" applyBorder="1" applyProtection="1">
      <protection hidden="1"/>
    </xf>
    <xf numFmtId="0" fontId="10" fillId="0" borderId="1" xfId="0" applyFont="1" applyBorder="1" applyProtection="1">
      <protection hidden="1"/>
    </xf>
    <xf numFmtId="43" fontId="9" fillId="0" borderId="1" xfId="0" applyNumberFormat="1" applyFont="1" applyBorder="1" applyProtection="1">
      <protection hidden="1"/>
    </xf>
    <xf numFmtId="4" fontId="12" fillId="0" borderId="1" xfId="1" applyNumberFormat="1" applyFont="1" applyBorder="1" applyAlignment="1" applyProtection="1">
      <alignment horizontal="right"/>
      <protection hidden="1"/>
    </xf>
    <xf numFmtId="4" fontId="10" fillId="0" borderId="1" xfId="1" applyNumberFormat="1" applyFont="1" applyBorder="1" applyAlignment="1" applyProtection="1">
      <protection hidden="1"/>
    </xf>
    <xf numFmtId="43" fontId="12" fillId="0" borderId="1" xfId="0" applyNumberFormat="1" applyFont="1" applyBorder="1" applyProtection="1">
      <protection hidden="1"/>
    </xf>
    <xf numFmtId="43" fontId="10" fillId="0" borderId="24" xfId="1" applyFont="1" applyBorder="1" applyAlignment="1" applyProtection="1">
      <alignment horizontal="left"/>
      <protection hidden="1"/>
    </xf>
    <xf numFmtId="0" fontId="12" fillId="0" borderId="1" xfId="0" applyFont="1" applyBorder="1" applyProtection="1">
      <protection hidden="1"/>
    </xf>
    <xf numFmtId="43" fontId="10" fillId="10" borderId="1" xfId="0" applyNumberFormat="1" applyFont="1" applyFill="1" applyBorder="1" applyProtection="1">
      <protection hidden="1"/>
    </xf>
    <xf numFmtId="4" fontId="12" fillId="0" borderId="1" xfId="0" applyNumberFormat="1" applyFont="1" applyBorder="1" applyProtection="1">
      <protection hidden="1"/>
    </xf>
    <xf numFmtId="172" fontId="18" fillId="0" borderId="0" xfId="20" applyNumberFormat="1" applyFont="1" applyAlignment="1" applyProtection="1">
      <alignment horizontal="center"/>
      <protection hidden="1"/>
    </xf>
    <xf numFmtId="171" fontId="10" fillId="5" borderId="0" xfId="20" applyNumberFormat="1" applyFont="1" applyFill="1" applyBorder="1" applyAlignment="1" applyProtection="1">
      <alignment horizontal="center"/>
      <protection locked="0" hidden="1"/>
    </xf>
    <xf numFmtId="0" fontId="12" fillId="10" borderId="30" xfId="0" applyFont="1" applyFill="1" applyBorder="1" applyAlignment="1" applyProtection="1">
      <alignment horizontal="left"/>
      <protection hidden="1"/>
    </xf>
    <xf numFmtId="0" fontId="12" fillId="10" borderId="31" xfId="0" applyFont="1" applyFill="1" applyBorder="1" applyAlignment="1" applyProtection="1">
      <alignment horizontal="left"/>
      <protection hidden="1"/>
    </xf>
    <xf numFmtId="43" fontId="10" fillId="0" borderId="1" xfId="1" applyFont="1" applyBorder="1" applyAlignment="1" applyProtection="1">
      <alignment horizontal="right"/>
      <protection hidden="1"/>
    </xf>
    <xf numFmtId="0" fontId="8" fillId="8" borderId="10" xfId="13" applyFill="1" applyBorder="1" applyAlignment="1" applyProtection="1">
      <alignment horizontal="center" vertical="center" wrapText="1"/>
      <protection locked="0" hidden="1"/>
    </xf>
    <xf numFmtId="43" fontId="7" fillId="0" borderId="0" xfId="1" applyFont="1" applyBorder="1"/>
    <xf numFmtId="43" fontId="25" fillId="0" borderId="0" xfId="1" applyFont="1" applyBorder="1" applyAlignment="1">
      <alignment horizontal="center" vertical="center"/>
    </xf>
    <xf numFmtId="0" fontId="23" fillId="0" borderId="30" xfId="0" applyFont="1" applyBorder="1" applyAlignment="1">
      <alignment horizontal="center"/>
    </xf>
    <xf numFmtId="2" fontId="23" fillId="0" borderId="30" xfId="0" applyNumberFormat="1" applyFont="1" applyBorder="1" applyAlignment="1">
      <alignment horizontal="center"/>
    </xf>
    <xf numFmtId="165" fontId="23" fillId="0" borderId="30" xfId="0" applyNumberFormat="1" applyFont="1" applyBorder="1" applyAlignment="1">
      <alignment horizontal="center"/>
    </xf>
    <xf numFmtId="43" fontId="23" fillId="0" borderId="28" xfId="1" applyFont="1" applyBorder="1" applyAlignment="1">
      <alignment horizontal="center" vertical="center"/>
    </xf>
    <xf numFmtId="43" fontId="23" fillId="0" borderId="24" xfId="1" applyFont="1" applyBorder="1" applyAlignment="1">
      <alignment horizontal="center" vertical="center"/>
    </xf>
    <xf numFmtId="9" fontId="23" fillId="0" borderId="24" xfId="20" applyFont="1" applyBorder="1" applyAlignment="1">
      <alignment horizontal="center" vertical="center"/>
    </xf>
    <xf numFmtId="0" fontId="23" fillId="0" borderId="2" xfId="0" applyFont="1" applyBorder="1" applyAlignment="1">
      <alignment horizontal="center"/>
    </xf>
    <xf numFmtId="2" fontId="23" fillId="0" borderId="2" xfId="0" applyNumberFormat="1" applyFont="1" applyBorder="1" applyAlignment="1">
      <alignment horizontal="center"/>
    </xf>
    <xf numFmtId="165" fontId="23" fillId="0" borderId="2" xfId="0" applyNumberFormat="1" applyFont="1" applyBorder="1" applyAlignment="1">
      <alignment horizontal="center"/>
    </xf>
    <xf numFmtId="9" fontId="23" fillId="0" borderId="29" xfId="20" applyFont="1" applyBorder="1" applyAlignment="1">
      <alignment horizontal="center" vertical="center"/>
    </xf>
    <xf numFmtId="9" fontId="23" fillId="0" borderId="28" xfId="20" applyFont="1" applyBorder="1" applyAlignment="1">
      <alignment horizontal="center" vertical="center"/>
    </xf>
    <xf numFmtId="0" fontId="27" fillId="0" borderId="0" xfId="0" applyFont="1" applyBorder="1" applyAlignment="1">
      <alignment horizontal="left" vertical="center"/>
    </xf>
    <xf numFmtId="0" fontId="38" fillId="9" borderId="40" xfId="13" applyFont="1" applyFill="1" applyBorder="1" applyAlignment="1" applyProtection="1">
      <alignment horizontal="center" vertical="center" wrapText="1"/>
      <protection locked="0" hidden="1"/>
    </xf>
    <xf numFmtId="0" fontId="38" fillId="9" borderId="41" xfId="13" applyFont="1" applyFill="1" applyBorder="1" applyAlignment="1" applyProtection="1">
      <alignment horizontal="center" vertical="center" wrapText="1"/>
      <protection locked="0" hidden="1"/>
    </xf>
    <xf numFmtId="0" fontId="17" fillId="5" borderId="0" xfId="0" applyFont="1" applyFill="1" applyAlignment="1" applyProtection="1">
      <alignment horizontal="center" wrapText="1"/>
      <protection hidden="1"/>
    </xf>
    <xf numFmtId="0" fontId="30" fillId="5" borderId="0" xfId="0" applyFont="1" applyFill="1" applyAlignment="1" applyProtection="1">
      <alignment vertical="center" wrapText="1"/>
      <protection hidden="1"/>
    </xf>
    <xf numFmtId="0" fontId="37" fillId="7" borderId="32" xfId="0" applyFont="1" applyFill="1" applyBorder="1" applyAlignment="1" applyProtection="1">
      <alignment horizontal="center" vertical="center" wrapText="1"/>
      <protection hidden="1"/>
    </xf>
    <xf numFmtId="0" fontId="37" fillId="7" borderId="15" xfId="0" applyFont="1" applyFill="1" applyBorder="1" applyAlignment="1" applyProtection="1">
      <alignment horizontal="center" vertical="center" wrapText="1"/>
      <protection hidden="1"/>
    </xf>
    <xf numFmtId="0" fontId="38" fillId="9" borderId="40" xfId="13" applyFont="1" applyFill="1" applyBorder="1" applyAlignment="1" applyProtection="1">
      <alignment horizontal="center" vertical="center"/>
      <protection locked="0" hidden="1"/>
    </xf>
    <xf numFmtId="0" fontId="38" fillId="9" borderId="41" xfId="13" applyFont="1" applyFill="1" applyBorder="1" applyAlignment="1" applyProtection="1">
      <alignment horizontal="center" vertical="center"/>
      <protection locked="0" hidden="1"/>
    </xf>
    <xf numFmtId="0" fontId="34" fillId="9" borderId="33" xfId="0" applyFont="1" applyFill="1" applyBorder="1" applyAlignment="1" applyProtection="1">
      <alignment horizontal="center" vertical="center"/>
      <protection hidden="1"/>
    </xf>
    <xf numFmtId="0" fontId="34" fillId="9" borderId="34" xfId="0" applyFont="1" applyFill="1" applyBorder="1" applyAlignment="1" applyProtection="1">
      <alignment horizontal="center" vertical="center"/>
      <protection hidden="1"/>
    </xf>
    <xf numFmtId="0" fontId="38" fillId="9" borderId="38" xfId="13" applyFont="1" applyFill="1" applyBorder="1" applyAlignment="1" applyProtection="1">
      <alignment horizontal="center" vertical="center" wrapText="1"/>
      <protection locked="0" hidden="1"/>
    </xf>
    <xf numFmtId="0" fontId="38" fillId="9" borderId="39" xfId="13" applyFont="1" applyFill="1" applyBorder="1" applyAlignment="1" applyProtection="1">
      <alignment horizontal="center" vertical="center" wrapText="1"/>
      <protection locked="0" hidden="1"/>
    </xf>
    <xf numFmtId="0" fontId="38" fillId="9" borderId="36" xfId="13" applyFont="1" applyFill="1" applyBorder="1" applyAlignment="1" applyProtection="1">
      <alignment horizontal="center" vertical="center"/>
      <protection locked="0" hidden="1"/>
    </xf>
    <xf numFmtId="0" fontId="38" fillId="9" borderId="37" xfId="13" applyFont="1" applyFill="1" applyBorder="1" applyAlignment="1" applyProtection="1">
      <alignment horizontal="center" vertical="center"/>
      <protection locked="0" hidden="1"/>
    </xf>
    <xf numFmtId="0" fontId="38" fillId="9" borderId="36" xfId="13" applyFont="1" applyFill="1" applyBorder="1" applyAlignment="1" applyProtection="1">
      <alignment horizontal="center" vertical="center" wrapText="1"/>
      <protection locked="0" hidden="1"/>
    </xf>
    <xf numFmtId="0" fontId="38" fillId="9" borderId="37" xfId="13" applyFont="1" applyFill="1" applyBorder="1" applyAlignment="1" applyProtection="1">
      <alignment horizontal="center" vertical="center" wrapText="1"/>
      <protection locked="0" hidden="1"/>
    </xf>
    <xf numFmtId="0" fontId="23" fillId="0" borderId="0" xfId="0" applyFont="1" applyBorder="1" applyAlignment="1">
      <alignment horizontal="center" vertical="center" wrapText="1"/>
    </xf>
    <xf numFmtId="0" fontId="23" fillId="0" borderId="0" xfId="0" applyFont="1" applyBorder="1" applyAlignment="1">
      <alignment horizontal="center" vertical="top" wrapText="1"/>
    </xf>
    <xf numFmtId="0" fontId="26" fillId="0" borderId="0" xfId="0" applyFont="1" applyBorder="1" applyAlignment="1">
      <alignment horizontal="center" vertical="top" wrapText="1"/>
    </xf>
    <xf numFmtId="0" fontId="7" fillId="0" borderId="0" xfId="0" applyFont="1" applyBorder="1" applyAlignment="1">
      <alignment horizontal="center" vertical="center"/>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39" fontId="10" fillId="0" borderId="2" xfId="0" applyNumberFormat="1" applyFont="1" applyBorder="1" applyAlignment="1" applyProtection="1">
      <alignment horizontal="left"/>
      <protection locked="0" hidden="1"/>
    </xf>
    <xf numFmtId="39" fontId="10" fillId="0" borderId="29" xfId="0" applyNumberFormat="1" applyFont="1" applyBorder="1" applyAlignment="1" applyProtection="1">
      <alignment horizontal="left"/>
      <protection locked="0" hidden="1"/>
    </xf>
    <xf numFmtId="0" fontId="29" fillId="0" borderId="0" xfId="0" applyFont="1" applyAlignment="1" applyProtection="1">
      <alignment horizontal="center" vertical="center"/>
      <protection locked="0" hidden="1"/>
    </xf>
    <xf numFmtId="0" fontId="12" fillId="4" borderId="30" xfId="0" applyFont="1" applyFill="1" applyBorder="1" applyAlignment="1" applyProtection="1">
      <alignment horizontal="left"/>
      <protection locked="0" hidden="1"/>
    </xf>
    <xf numFmtId="0" fontId="12" fillId="4" borderId="28" xfId="0" applyFont="1" applyFill="1" applyBorder="1" applyAlignment="1" applyProtection="1">
      <alignment horizontal="left"/>
      <protection locked="0" hidden="1"/>
    </xf>
    <xf numFmtId="0" fontId="10" fillId="0" borderId="0" xfId="0" applyFont="1" applyBorder="1" applyAlignment="1" applyProtection="1">
      <alignment horizontal="left"/>
      <protection locked="0" hidden="1"/>
    </xf>
    <xf numFmtId="0" fontId="10" fillId="0" borderId="24" xfId="0" applyFont="1" applyBorder="1" applyAlignment="1" applyProtection="1">
      <alignment horizontal="left"/>
      <protection locked="0" hidden="1"/>
    </xf>
    <xf numFmtId="4" fontId="10" fillId="0" borderId="0" xfId="0" applyNumberFormat="1" applyFont="1" applyBorder="1" applyAlignment="1" applyProtection="1">
      <alignment horizontal="left"/>
      <protection locked="0" hidden="1"/>
    </xf>
    <xf numFmtId="4" fontId="10" fillId="0" borderId="24" xfId="0" applyNumberFormat="1" applyFont="1" applyBorder="1" applyAlignment="1" applyProtection="1">
      <alignment horizontal="left"/>
      <protection locked="0" hidden="1"/>
    </xf>
    <xf numFmtId="39" fontId="10" fillId="0" borderId="0" xfId="0" applyNumberFormat="1" applyFont="1" applyBorder="1" applyAlignment="1" applyProtection="1">
      <alignment horizontal="left"/>
      <protection locked="0" hidden="1"/>
    </xf>
    <xf numFmtId="39" fontId="10" fillId="0" borderId="24" xfId="0" applyNumberFormat="1" applyFont="1" applyBorder="1" applyAlignment="1" applyProtection="1">
      <alignment horizontal="left"/>
      <protection locked="0" hidden="1"/>
    </xf>
    <xf numFmtId="39" fontId="10" fillId="0" borderId="2" xfId="0" applyNumberFormat="1" applyFont="1" applyBorder="1" applyAlignment="1" applyProtection="1">
      <alignment horizontal="left"/>
    </xf>
    <xf numFmtId="39" fontId="10" fillId="0" borderId="29" xfId="0" applyNumberFormat="1" applyFont="1" applyBorder="1" applyAlignment="1" applyProtection="1">
      <alignment horizontal="left"/>
    </xf>
    <xf numFmtId="0" fontId="29" fillId="0" borderId="0" xfId="0" applyFont="1" applyAlignment="1" applyProtection="1">
      <alignment horizontal="center" vertical="center"/>
    </xf>
    <xf numFmtId="0" fontId="12" fillId="4" borderId="30" xfId="0" applyFont="1" applyFill="1" applyBorder="1" applyAlignment="1" applyProtection="1">
      <alignment horizontal="left"/>
    </xf>
    <xf numFmtId="0" fontId="12" fillId="4" borderId="28" xfId="0" applyFont="1" applyFill="1" applyBorder="1" applyAlignment="1" applyProtection="1">
      <alignment horizontal="left"/>
    </xf>
    <xf numFmtId="0" fontId="10" fillId="5" borderId="0" xfId="0" applyFont="1" applyFill="1" applyBorder="1" applyAlignment="1" applyProtection="1">
      <alignment horizontal="left"/>
    </xf>
    <xf numFmtId="0" fontId="10" fillId="5" borderId="24" xfId="0" applyFont="1" applyFill="1" applyBorder="1" applyAlignment="1" applyProtection="1">
      <alignment horizontal="left"/>
    </xf>
    <xf numFmtId="4" fontId="10" fillId="5" borderId="0" xfId="0" applyNumberFormat="1" applyFont="1" applyFill="1" applyBorder="1" applyAlignment="1" applyProtection="1">
      <alignment horizontal="left"/>
    </xf>
    <xf numFmtId="4" fontId="10" fillId="5" borderId="24" xfId="0" applyNumberFormat="1" applyFont="1" applyFill="1" applyBorder="1" applyAlignment="1" applyProtection="1">
      <alignment horizontal="left"/>
    </xf>
    <xf numFmtId="39" fontId="10" fillId="5" borderId="0" xfId="0" applyNumberFormat="1" applyFont="1" applyFill="1" applyBorder="1" applyAlignment="1" applyProtection="1">
      <alignment horizontal="left"/>
    </xf>
    <xf numFmtId="39" fontId="10" fillId="5" borderId="24" xfId="0" applyNumberFormat="1" applyFont="1" applyFill="1" applyBorder="1" applyAlignment="1" applyProtection="1">
      <alignment horizontal="left"/>
    </xf>
    <xf numFmtId="4" fontId="10" fillId="0" borderId="0" xfId="0" applyNumberFormat="1" applyFont="1" applyBorder="1" applyAlignment="1" applyProtection="1">
      <alignment horizontal="left"/>
    </xf>
    <xf numFmtId="4" fontId="10" fillId="0" borderId="24" xfId="0" applyNumberFormat="1" applyFont="1" applyBorder="1" applyAlignment="1" applyProtection="1">
      <alignment horizontal="left"/>
    </xf>
    <xf numFmtId="39" fontId="10" fillId="0" borderId="0" xfId="0" applyNumberFormat="1" applyFont="1" applyBorder="1" applyAlignment="1" applyProtection="1">
      <alignment horizontal="left"/>
    </xf>
    <xf numFmtId="39" fontId="10" fillId="0" borderId="24" xfId="0" applyNumberFormat="1" applyFont="1" applyBorder="1" applyAlignment="1" applyProtection="1">
      <alignment horizontal="left"/>
    </xf>
    <xf numFmtId="0" fontId="10" fillId="5" borderId="0" xfId="0" applyFont="1" applyFill="1" applyAlignment="1" applyProtection="1">
      <alignment wrapText="1"/>
      <protection hidden="1"/>
    </xf>
    <xf numFmtId="0" fontId="10" fillId="5" borderId="30" xfId="0" applyFont="1" applyFill="1" applyBorder="1" applyAlignment="1" applyProtection="1">
      <alignment horizontal="center"/>
      <protection hidden="1"/>
    </xf>
    <xf numFmtId="0" fontId="29" fillId="0" borderId="0" xfId="0" applyFont="1" applyAlignment="1" applyProtection="1">
      <alignment horizontal="center" vertical="center"/>
      <protection hidden="1"/>
    </xf>
    <xf numFmtId="0" fontId="12" fillId="10" borderId="30" xfId="0" applyFont="1" applyFill="1" applyBorder="1" applyAlignment="1" applyProtection="1">
      <alignment horizontal="left"/>
      <protection hidden="1"/>
    </xf>
    <xf numFmtId="0" fontId="12" fillId="10" borderId="28" xfId="0" applyFont="1" applyFill="1" applyBorder="1" applyAlignment="1" applyProtection="1">
      <alignment horizontal="left"/>
      <protection hidden="1"/>
    </xf>
    <xf numFmtId="0" fontId="10" fillId="5" borderId="0" xfId="0" applyFont="1" applyFill="1" applyBorder="1" applyAlignment="1" applyProtection="1">
      <alignment horizontal="left"/>
      <protection hidden="1"/>
    </xf>
    <xf numFmtId="4" fontId="10" fillId="0" borderId="0" xfId="0" applyNumberFormat="1" applyFont="1" applyBorder="1" applyAlignment="1" applyProtection="1">
      <alignment horizontal="left"/>
      <protection hidden="1"/>
    </xf>
    <xf numFmtId="4" fontId="10" fillId="0" borderId="24" xfId="0" applyNumberFormat="1" applyFont="1" applyBorder="1" applyAlignment="1" applyProtection="1">
      <alignment horizontal="left"/>
      <protection hidden="1"/>
    </xf>
    <xf numFmtId="39" fontId="10" fillId="0" borderId="0" xfId="0" applyNumberFormat="1" applyFont="1" applyBorder="1" applyAlignment="1" applyProtection="1">
      <alignment horizontal="left"/>
      <protection hidden="1"/>
    </xf>
    <xf numFmtId="39" fontId="10" fillId="0" borderId="24" xfId="0" applyNumberFormat="1" applyFont="1" applyBorder="1" applyAlignment="1" applyProtection="1">
      <alignment horizontal="left"/>
      <protection hidden="1"/>
    </xf>
    <xf numFmtId="0" fontId="12" fillId="10" borderId="1" xfId="0" applyFont="1" applyFill="1" applyBorder="1" applyAlignment="1" applyProtection="1">
      <alignment horizontal="right" indent="2"/>
      <protection hidden="1"/>
    </xf>
    <xf numFmtId="0" fontId="12" fillId="0" borderId="1" xfId="0" applyFont="1" applyFill="1" applyBorder="1" applyAlignment="1" applyProtection="1">
      <alignment vertical="center"/>
      <protection hidden="1"/>
    </xf>
    <xf numFmtId="39" fontId="10" fillId="0" borderId="2" xfId="0" applyNumberFormat="1" applyFont="1" applyBorder="1" applyAlignment="1" applyProtection="1">
      <alignment horizontal="left" wrapText="1"/>
      <protection hidden="1"/>
    </xf>
    <xf numFmtId="39" fontId="10" fillId="0" borderId="29" xfId="0" applyNumberFormat="1" applyFont="1" applyBorder="1" applyAlignment="1" applyProtection="1">
      <alignment horizontal="left" wrapText="1"/>
      <protection hidden="1"/>
    </xf>
    <xf numFmtId="0" fontId="10" fillId="5" borderId="0" xfId="0" applyFont="1" applyFill="1" applyAlignment="1" applyProtection="1">
      <alignment horizontal="left" wrapText="1"/>
      <protection hidden="1"/>
    </xf>
    <xf numFmtId="170" fontId="12" fillId="10" borderId="1" xfId="0" applyNumberFormat="1" applyFont="1" applyFill="1" applyBorder="1" applyAlignment="1" applyProtection="1">
      <alignment horizontal="right" indent="2"/>
      <protection hidden="1"/>
    </xf>
    <xf numFmtId="0" fontId="10" fillId="5" borderId="24" xfId="0" applyFont="1" applyFill="1" applyBorder="1" applyAlignment="1" applyProtection="1">
      <alignment horizontal="left"/>
      <protection hidden="1"/>
    </xf>
    <xf numFmtId="4" fontId="10" fillId="5" borderId="0" xfId="0" applyNumberFormat="1" applyFont="1" applyFill="1" applyBorder="1" applyAlignment="1" applyProtection="1">
      <alignment horizontal="left"/>
      <protection hidden="1"/>
    </xf>
    <xf numFmtId="4" fontId="10" fillId="5" borderId="24" xfId="0" applyNumberFormat="1" applyFont="1" applyFill="1" applyBorder="1" applyAlignment="1" applyProtection="1">
      <alignment horizontal="left"/>
      <protection hidden="1"/>
    </xf>
    <xf numFmtId="39" fontId="10" fillId="0" borderId="2" xfId="0" applyNumberFormat="1" applyFont="1" applyBorder="1" applyAlignment="1" applyProtection="1">
      <protection hidden="1"/>
    </xf>
    <xf numFmtId="39" fontId="10" fillId="0" borderId="29" xfId="0" applyNumberFormat="1" applyFont="1" applyBorder="1" applyAlignment="1" applyProtection="1">
      <protection hidden="1"/>
    </xf>
    <xf numFmtId="0" fontId="12" fillId="10" borderId="31" xfId="0" applyFont="1" applyFill="1" applyBorder="1" applyAlignment="1" applyProtection="1">
      <alignment horizontal="left"/>
      <protection hidden="1"/>
    </xf>
    <xf numFmtId="0" fontId="12" fillId="10" borderId="27" xfId="0" applyFont="1" applyFill="1" applyBorder="1" applyAlignment="1" applyProtection="1">
      <alignment horizontal="left"/>
      <protection hidden="1"/>
    </xf>
    <xf numFmtId="0" fontId="10" fillId="5" borderId="30" xfId="0" applyFont="1" applyFill="1" applyBorder="1" applyAlignment="1" applyProtection="1">
      <alignment horizontal="left"/>
      <protection hidden="1"/>
    </xf>
    <xf numFmtId="0" fontId="10" fillId="5" borderId="28" xfId="0" applyFont="1" applyFill="1" applyBorder="1" applyAlignment="1" applyProtection="1">
      <alignment horizontal="left"/>
      <protection hidden="1"/>
    </xf>
    <xf numFmtId="39" fontId="10" fillId="0" borderId="2" xfId="0" applyNumberFormat="1" applyFont="1" applyBorder="1" applyAlignment="1" applyProtection="1">
      <alignment horizontal="left"/>
      <protection hidden="1"/>
    </xf>
    <xf numFmtId="39" fontId="10" fillId="0" borderId="29" xfId="0" applyNumberFormat="1" applyFont="1" applyBorder="1" applyAlignment="1" applyProtection="1">
      <alignment horizontal="left"/>
      <protection hidden="1"/>
    </xf>
    <xf numFmtId="0" fontId="12" fillId="0" borderId="26" xfId="0" applyFont="1" applyFill="1" applyBorder="1" applyAlignment="1" applyProtection="1">
      <alignment vertical="center"/>
      <protection hidden="1"/>
    </xf>
    <xf numFmtId="0" fontId="12" fillId="0" borderId="31" xfId="0" applyFont="1" applyFill="1" applyBorder="1" applyAlignment="1" applyProtection="1">
      <alignment vertical="center"/>
      <protection hidden="1"/>
    </xf>
    <xf numFmtId="0" fontId="12" fillId="0" borderId="27" xfId="0" applyFont="1" applyFill="1" applyBorder="1" applyAlignment="1" applyProtection="1">
      <alignment vertical="center"/>
      <protection hidden="1"/>
    </xf>
    <xf numFmtId="0" fontId="12" fillId="10" borderId="26" xfId="0" applyFont="1" applyFill="1" applyBorder="1" applyAlignment="1" applyProtection="1">
      <alignment horizontal="right" indent="2"/>
      <protection hidden="1"/>
    </xf>
    <xf numFmtId="0" fontId="12" fillId="10" borderId="31" xfId="0" applyFont="1" applyFill="1" applyBorder="1" applyAlignment="1" applyProtection="1">
      <alignment horizontal="right" indent="2"/>
      <protection hidden="1"/>
    </xf>
    <xf numFmtId="0" fontId="12" fillId="10" borderId="27" xfId="0" applyFont="1" applyFill="1" applyBorder="1" applyAlignment="1" applyProtection="1">
      <alignment horizontal="right" indent="2"/>
      <protection hidden="1"/>
    </xf>
    <xf numFmtId="0" fontId="10" fillId="5" borderId="13" xfId="0" applyFont="1" applyFill="1" applyBorder="1" applyAlignment="1" applyProtection="1">
      <alignment horizontal="left" vertical="center"/>
      <protection hidden="1"/>
    </xf>
    <xf numFmtId="0" fontId="10" fillId="5" borderId="0" xfId="0" applyFont="1" applyFill="1" applyBorder="1" applyAlignment="1" applyProtection="1">
      <alignment horizontal="left" vertical="center"/>
      <protection hidden="1"/>
    </xf>
    <xf numFmtId="43" fontId="29" fillId="0" borderId="0" xfId="1" applyFont="1" applyAlignment="1" applyProtection="1">
      <alignment horizontal="center" vertical="center"/>
      <protection hidden="1"/>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Comma 5" xfId="7" xr:uid="{00000000-0005-0000-0000-000006000000}"/>
    <cellStyle name="Currency" xfId="8" builtinId="4"/>
    <cellStyle name="Excel Built-in Comma" xfId="9" xr:uid="{00000000-0005-0000-0000-000008000000}"/>
    <cellStyle name="Excel Built-in Normal" xfId="10" xr:uid="{00000000-0005-0000-0000-000009000000}"/>
    <cellStyle name="Excel Built-in Percent" xfId="11" xr:uid="{00000000-0005-0000-0000-00000A000000}"/>
    <cellStyle name="Grey" xfId="12" xr:uid="{00000000-0005-0000-0000-00000B000000}"/>
    <cellStyle name="Hyperlink" xfId="13" builtinId="8"/>
    <cellStyle name="Input [yellow]" xfId="14" xr:uid="{00000000-0005-0000-0000-00000D000000}"/>
    <cellStyle name="Normal" xfId="0" builtinId="0"/>
    <cellStyle name="Normal - Style1" xfId="15" xr:uid="{00000000-0005-0000-0000-00000F000000}"/>
    <cellStyle name="Normal 2" xfId="16" xr:uid="{00000000-0005-0000-0000-000010000000}"/>
    <cellStyle name="Normal 2 2" xfId="17" xr:uid="{00000000-0005-0000-0000-000011000000}"/>
    <cellStyle name="Normal 3" xfId="18" xr:uid="{00000000-0005-0000-0000-000012000000}"/>
    <cellStyle name="Normal 4" xfId="19" xr:uid="{00000000-0005-0000-0000-000013000000}"/>
    <cellStyle name="Percent" xfId="20" builtinId="5"/>
    <cellStyle name="Percent [2]" xfId="21" xr:uid="{00000000-0005-0000-0000-000015000000}"/>
    <cellStyle name="Percent 2" xfId="22" xr:uid="{00000000-0005-0000-0000-000016000000}"/>
    <cellStyle name="Percent 2 2" xfId="23" xr:uid="{00000000-0005-0000-0000-000017000000}"/>
    <cellStyle name="Percent 3" xfId="24" xr:uid="{00000000-0005-0000-0000-000018000000}"/>
    <cellStyle name="Percent 4" xfId="25" xr:uid="{00000000-0005-0000-0000-000019000000}"/>
  </cellStyles>
  <dxfs count="0"/>
  <tableStyles count="0" defaultTableStyle="TableStyleMedium2" defaultPivotStyle="PivotStyleLight16"/>
  <colors>
    <mruColors>
      <color rgb="FFF7941D"/>
      <color rgb="FF389E8F"/>
      <color rgb="FF0E6E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0" Type="http://schemas.openxmlformats.org/officeDocument/2006/relationships/worksheet" Target="worksheets/sheet20.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619125</xdr:colOff>
      <xdr:row>3</xdr:row>
      <xdr:rowOff>0</xdr:rowOff>
    </xdr:from>
    <xdr:to>
      <xdr:col>1</xdr:col>
      <xdr:colOff>619125</xdr:colOff>
      <xdr:row>5</xdr:row>
      <xdr:rowOff>123825</xdr:rowOff>
    </xdr:to>
    <xdr:pic>
      <xdr:nvPicPr>
        <xdr:cNvPr id="472954" name="Picture 1">
          <a:extLst>
            <a:ext uri="{FF2B5EF4-FFF2-40B4-BE49-F238E27FC236}">
              <a16:creationId xmlns:a16="http://schemas.microsoft.com/office/drawing/2014/main" id="{00000000-0008-0000-0000-00007A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84772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3</xdr:row>
      <xdr:rowOff>0</xdr:rowOff>
    </xdr:from>
    <xdr:to>
      <xdr:col>1</xdr:col>
      <xdr:colOff>1047750</xdr:colOff>
      <xdr:row>5</xdr:row>
      <xdr:rowOff>171450</xdr:rowOff>
    </xdr:to>
    <xdr:pic>
      <xdr:nvPicPr>
        <xdr:cNvPr id="472955" name="Picture 1">
          <a:extLst>
            <a:ext uri="{FF2B5EF4-FFF2-40B4-BE49-F238E27FC236}">
              <a16:creationId xmlns:a16="http://schemas.microsoft.com/office/drawing/2014/main" id="{00000000-0008-0000-0000-00007B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4772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3</xdr:row>
      <xdr:rowOff>0</xdr:rowOff>
    </xdr:from>
    <xdr:to>
      <xdr:col>1</xdr:col>
      <xdr:colOff>619125</xdr:colOff>
      <xdr:row>5</xdr:row>
      <xdr:rowOff>123825</xdr:rowOff>
    </xdr:to>
    <xdr:pic>
      <xdr:nvPicPr>
        <xdr:cNvPr id="472956" name="Picture 1">
          <a:extLst>
            <a:ext uri="{FF2B5EF4-FFF2-40B4-BE49-F238E27FC236}">
              <a16:creationId xmlns:a16="http://schemas.microsoft.com/office/drawing/2014/main" id="{00000000-0008-0000-0000-00007C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84772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3</xdr:row>
      <xdr:rowOff>0</xdr:rowOff>
    </xdr:from>
    <xdr:to>
      <xdr:col>1</xdr:col>
      <xdr:colOff>1047750</xdr:colOff>
      <xdr:row>5</xdr:row>
      <xdr:rowOff>171450</xdr:rowOff>
    </xdr:to>
    <xdr:pic>
      <xdr:nvPicPr>
        <xdr:cNvPr id="472957" name="Picture 1">
          <a:extLst>
            <a:ext uri="{FF2B5EF4-FFF2-40B4-BE49-F238E27FC236}">
              <a16:creationId xmlns:a16="http://schemas.microsoft.com/office/drawing/2014/main" id="{00000000-0008-0000-0000-00007D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4772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3</xdr:row>
      <xdr:rowOff>142875</xdr:rowOff>
    </xdr:from>
    <xdr:to>
      <xdr:col>1</xdr:col>
      <xdr:colOff>619125</xdr:colOff>
      <xdr:row>5</xdr:row>
      <xdr:rowOff>247650</xdr:rowOff>
    </xdr:to>
    <xdr:pic>
      <xdr:nvPicPr>
        <xdr:cNvPr id="472958" name="Picture 1">
          <a:extLst>
            <a:ext uri="{FF2B5EF4-FFF2-40B4-BE49-F238E27FC236}">
              <a16:creationId xmlns:a16="http://schemas.microsoft.com/office/drawing/2014/main" id="{00000000-0008-0000-0000-00007E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97155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3</xdr:row>
      <xdr:rowOff>47625</xdr:rowOff>
    </xdr:from>
    <xdr:to>
      <xdr:col>1</xdr:col>
      <xdr:colOff>1047750</xdr:colOff>
      <xdr:row>5</xdr:row>
      <xdr:rowOff>219075</xdr:rowOff>
    </xdr:to>
    <xdr:pic>
      <xdr:nvPicPr>
        <xdr:cNvPr id="472959" name="Picture 1">
          <a:extLst>
            <a:ext uri="{FF2B5EF4-FFF2-40B4-BE49-F238E27FC236}">
              <a16:creationId xmlns:a16="http://schemas.microsoft.com/office/drawing/2014/main" id="{00000000-0008-0000-0000-00007F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95350"/>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60" name="Picture 1">
          <a:extLst>
            <a:ext uri="{FF2B5EF4-FFF2-40B4-BE49-F238E27FC236}">
              <a16:creationId xmlns:a16="http://schemas.microsoft.com/office/drawing/2014/main" id="{00000000-0008-0000-0000-000080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61" name="Picture 1">
          <a:extLst>
            <a:ext uri="{FF2B5EF4-FFF2-40B4-BE49-F238E27FC236}">
              <a16:creationId xmlns:a16="http://schemas.microsoft.com/office/drawing/2014/main" id="{00000000-0008-0000-0000-000081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62" name="Picture 1">
          <a:extLst>
            <a:ext uri="{FF2B5EF4-FFF2-40B4-BE49-F238E27FC236}">
              <a16:creationId xmlns:a16="http://schemas.microsoft.com/office/drawing/2014/main" id="{00000000-0008-0000-0000-000082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63" name="Picture 1">
          <a:extLst>
            <a:ext uri="{FF2B5EF4-FFF2-40B4-BE49-F238E27FC236}">
              <a16:creationId xmlns:a16="http://schemas.microsoft.com/office/drawing/2014/main" id="{00000000-0008-0000-0000-000083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64" name="Picture 1">
          <a:extLst>
            <a:ext uri="{FF2B5EF4-FFF2-40B4-BE49-F238E27FC236}">
              <a16:creationId xmlns:a16="http://schemas.microsoft.com/office/drawing/2014/main" id="{00000000-0008-0000-0000-000084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65" name="Picture 1">
          <a:extLst>
            <a:ext uri="{FF2B5EF4-FFF2-40B4-BE49-F238E27FC236}">
              <a16:creationId xmlns:a16="http://schemas.microsoft.com/office/drawing/2014/main" id="{00000000-0008-0000-0000-000085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66" name="Picture 1">
          <a:extLst>
            <a:ext uri="{FF2B5EF4-FFF2-40B4-BE49-F238E27FC236}">
              <a16:creationId xmlns:a16="http://schemas.microsoft.com/office/drawing/2014/main" id="{00000000-0008-0000-0000-000086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67" name="Picture 1">
          <a:extLst>
            <a:ext uri="{FF2B5EF4-FFF2-40B4-BE49-F238E27FC236}">
              <a16:creationId xmlns:a16="http://schemas.microsoft.com/office/drawing/2014/main" id="{00000000-0008-0000-0000-000087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68" name="Picture 1">
          <a:extLst>
            <a:ext uri="{FF2B5EF4-FFF2-40B4-BE49-F238E27FC236}">
              <a16:creationId xmlns:a16="http://schemas.microsoft.com/office/drawing/2014/main" id="{00000000-0008-0000-0000-000088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69" name="Picture 1">
          <a:extLst>
            <a:ext uri="{FF2B5EF4-FFF2-40B4-BE49-F238E27FC236}">
              <a16:creationId xmlns:a16="http://schemas.microsoft.com/office/drawing/2014/main" id="{00000000-0008-0000-0000-000089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70" name="Picture 1">
          <a:extLst>
            <a:ext uri="{FF2B5EF4-FFF2-40B4-BE49-F238E27FC236}">
              <a16:creationId xmlns:a16="http://schemas.microsoft.com/office/drawing/2014/main" id="{00000000-0008-0000-0000-00008A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71" name="Picture 1">
          <a:extLst>
            <a:ext uri="{FF2B5EF4-FFF2-40B4-BE49-F238E27FC236}">
              <a16:creationId xmlns:a16="http://schemas.microsoft.com/office/drawing/2014/main" id="{00000000-0008-0000-0000-00008B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72" name="Picture 1">
          <a:extLst>
            <a:ext uri="{FF2B5EF4-FFF2-40B4-BE49-F238E27FC236}">
              <a16:creationId xmlns:a16="http://schemas.microsoft.com/office/drawing/2014/main" id="{00000000-0008-0000-0000-00008C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73" name="Picture 1">
          <a:extLst>
            <a:ext uri="{FF2B5EF4-FFF2-40B4-BE49-F238E27FC236}">
              <a16:creationId xmlns:a16="http://schemas.microsoft.com/office/drawing/2014/main" id="{00000000-0008-0000-0000-00008D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74" name="Picture 1">
          <a:extLst>
            <a:ext uri="{FF2B5EF4-FFF2-40B4-BE49-F238E27FC236}">
              <a16:creationId xmlns:a16="http://schemas.microsoft.com/office/drawing/2014/main" id="{00000000-0008-0000-0000-00008E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75" name="Picture 1">
          <a:extLst>
            <a:ext uri="{FF2B5EF4-FFF2-40B4-BE49-F238E27FC236}">
              <a16:creationId xmlns:a16="http://schemas.microsoft.com/office/drawing/2014/main" id="{00000000-0008-0000-0000-00008F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76" name="Picture 1">
          <a:extLst>
            <a:ext uri="{FF2B5EF4-FFF2-40B4-BE49-F238E27FC236}">
              <a16:creationId xmlns:a16="http://schemas.microsoft.com/office/drawing/2014/main" id="{00000000-0008-0000-0000-000090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1047750</xdr:colOff>
      <xdr:row>15</xdr:row>
      <xdr:rowOff>0</xdr:rowOff>
    </xdr:from>
    <xdr:to>
      <xdr:col>2</xdr:col>
      <xdr:colOff>1047750</xdr:colOff>
      <xdr:row>16</xdr:row>
      <xdr:rowOff>344581</xdr:rowOff>
    </xdr:to>
    <xdr:pic>
      <xdr:nvPicPr>
        <xdr:cNvPr id="472977" name="Picture 1">
          <a:extLst>
            <a:ext uri="{FF2B5EF4-FFF2-40B4-BE49-F238E27FC236}">
              <a16:creationId xmlns:a16="http://schemas.microsoft.com/office/drawing/2014/main" id="{00000000-0008-0000-0000-000091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2289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78" name="Picture 1">
          <a:extLst>
            <a:ext uri="{FF2B5EF4-FFF2-40B4-BE49-F238E27FC236}">
              <a16:creationId xmlns:a16="http://schemas.microsoft.com/office/drawing/2014/main" id="{00000000-0008-0000-0000-000092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1484780</xdr:colOff>
      <xdr:row>15</xdr:row>
      <xdr:rowOff>0</xdr:rowOff>
    </xdr:from>
    <xdr:to>
      <xdr:col>2</xdr:col>
      <xdr:colOff>1484780</xdr:colOff>
      <xdr:row>16</xdr:row>
      <xdr:rowOff>344581</xdr:rowOff>
    </xdr:to>
    <xdr:pic>
      <xdr:nvPicPr>
        <xdr:cNvPr id="472979" name="Picture 1">
          <a:extLst>
            <a:ext uri="{FF2B5EF4-FFF2-40B4-BE49-F238E27FC236}">
              <a16:creationId xmlns:a16="http://schemas.microsoft.com/office/drawing/2014/main" id="{00000000-0008-0000-0000-000093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5485280" y="3664324"/>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15</xdr:row>
      <xdr:rowOff>0</xdr:rowOff>
    </xdr:from>
    <xdr:to>
      <xdr:col>2</xdr:col>
      <xdr:colOff>619125</xdr:colOff>
      <xdr:row>16</xdr:row>
      <xdr:rowOff>296956</xdr:rowOff>
    </xdr:to>
    <xdr:pic>
      <xdr:nvPicPr>
        <xdr:cNvPr id="472980" name="Picture 1">
          <a:extLst>
            <a:ext uri="{FF2B5EF4-FFF2-40B4-BE49-F238E27FC236}">
              <a16:creationId xmlns:a16="http://schemas.microsoft.com/office/drawing/2014/main" id="{00000000-0008-0000-0000-000094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228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72839</xdr:colOff>
      <xdr:row>21</xdr:row>
      <xdr:rowOff>280147</xdr:rowOff>
    </xdr:from>
    <xdr:to>
      <xdr:col>3</xdr:col>
      <xdr:colOff>72839</xdr:colOff>
      <xdr:row>22</xdr:row>
      <xdr:rowOff>355786</xdr:rowOff>
    </xdr:to>
    <xdr:pic>
      <xdr:nvPicPr>
        <xdr:cNvPr id="472981" name="Picture 1">
          <a:extLst>
            <a:ext uri="{FF2B5EF4-FFF2-40B4-BE49-F238E27FC236}">
              <a16:creationId xmlns:a16="http://schemas.microsoft.com/office/drawing/2014/main" id="{00000000-0008-0000-0000-000095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7412692" y="6364941"/>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1538008</xdr:colOff>
      <xdr:row>13</xdr:row>
      <xdr:rowOff>67236</xdr:rowOff>
    </xdr:from>
    <xdr:to>
      <xdr:col>1</xdr:col>
      <xdr:colOff>1538008</xdr:colOff>
      <xdr:row>15</xdr:row>
      <xdr:rowOff>61633</xdr:rowOff>
    </xdr:to>
    <xdr:pic>
      <xdr:nvPicPr>
        <xdr:cNvPr id="472982" name="Picture 1">
          <a:extLst>
            <a:ext uri="{FF2B5EF4-FFF2-40B4-BE49-F238E27FC236}">
              <a16:creationId xmlns:a16="http://schemas.microsoft.com/office/drawing/2014/main" id="{00000000-0008-0000-0000-000096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773332" y="3249707"/>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1058956</xdr:colOff>
      <xdr:row>15</xdr:row>
      <xdr:rowOff>11206</xdr:rowOff>
    </xdr:from>
    <xdr:to>
      <xdr:col>1</xdr:col>
      <xdr:colOff>1058956</xdr:colOff>
      <xdr:row>16</xdr:row>
      <xdr:rowOff>355787</xdr:rowOff>
    </xdr:to>
    <xdr:pic>
      <xdr:nvPicPr>
        <xdr:cNvPr id="472983" name="Picture 1">
          <a:extLst>
            <a:ext uri="{FF2B5EF4-FFF2-40B4-BE49-F238E27FC236}">
              <a16:creationId xmlns:a16="http://schemas.microsoft.com/office/drawing/2014/main" id="{00000000-0008-0000-0000-00009737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4779309" y="367553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472025</xdr:colOff>
      <xdr:row>4</xdr:row>
      <xdr:rowOff>201707</xdr:rowOff>
    </xdr:from>
    <xdr:to>
      <xdr:col>1</xdr:col>
      <xdr:colOff>3209359</xdr:colOff>
      <xdr:row>6</xdr:row>
      <xdr:rowOff>336180</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10007" t="27290" r="10356" b="26900"/>
        <a:stretch/>
      </xdr:blipFill>
      <xdr:spPr bwMode="auto">
        <a:xfrm>
          <a:off x="819407" y="1411942"/>
          <a:ext cx="2737334" cy="885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123263</xdr:colOff>
      <xdr:row>6</xdr:row>
      <xdr:rowOff>257735</xdr:rowOff>
    </xdr:from>
    <xdr:ext cx="3470950" cy="362984"/>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470645" y="2218764"/>
          <a:ext cx="3470950" cy="362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solidFill>
                <a:srgbClr val="0E6EB6"/>
              </a:solidFill>
              <a:latin typeface="+mj-lt"/>
            </a:rPr>
            <a:t>GLENVIEW</a:t>
          </a:r>
          <a:r>
            <a:rPr lang="en-US" sz="1800" b="1" baseline="0">
              <a:solidFill>
                <a:srgbClr val="0E6EB6"/>
              </a:solidFill>
              <a:latin typeface="+mj-lt"/>
            </a:rPr>
            <a:t> </a:t>
          </a:r>
          <a:r>
            <a:rPr lang="en-US" sz="1800" b="1">
              <a:solidFill>
                <a:srgbClr val="0E6EB6"/>
              </a:solidFill>
              <a:latin typeface="+mj-lt"/>
            </a:rPr>
            <a:t>(GARDEN SUITES 2)</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8786" name="Picture 2">
          <a:extLst>
            <a:ext uri="{FF2B5EF4-FFF2-40B4-BE49-F238E27FC236}">
              <a16:creationId xmlns:a16="http://schemas.microsoft.com/office/drawing/2014/main" id="{00000000-0008-0000-0B00-0000228F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9808" name="Picture 2">
          <a:extLst>
            <a:ext uri="{FF2B5EF4-FFF2-40B4-BE49-F238E27FC236}">
              <a16:creationId xmlns:a16="http://schemas.microsoft.com/office/drawing/2014/main" id="{00000000-0008-0000-0C00-00002093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312041" name="Picture 2">
          <a:extLst>
            <a:ext uri="{FF2B5EF4-FFF2-40B4-BE49-F238E27FC236}">
              <a16:creationId xmlns:a16="http://schemas.microsoft.com/office/drawing/2014/main" id="{00000000-0008-0000-0D00-0000E9C2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314083" name="Picture 2">
          <a:extLst>
            <a:ext uri="{FF2B5EF4-FFF2-40B4-BE49-F238E27FC236}">
              <a16:creationId xmlns:a16="http://schemas.microsoft.com/office/drawing/2014/main" id="{00000000-0008-0000-0E00-0000E3CA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1304925</xdr:colOff>
      <xdr:row>3</xdr:row>
      <xdr:rowOff>142875</xdr:rowOff>
    </xdr:to>
    <xdr:pic>
      <xdr:nvPicPr>
        <xdr:cNvPr id="426470" name="Picture 1">
          <a:extLst>
            <a:ext uri="{FF2B5EF4-FFF2-40B4-BE49-F238E27FC236}">
              <a16:creationId xmlns:a16="http://schemas.microsoft.com/office/drawing/2014/main" id="{00000000-0008-0000-0F00-0000E68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14" t="13245" r="8646" b="14067"/>
        <a:stretch>
          <a:fillRect/>
        </a:stretch>
      </xdr:blipFill>
      <xdr:spPr bwMode="auto">
        <a:xfrm>
          <a:off x="85725" y="28575"/>
          <a:ext cx="1219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1285875</xdr:colOff>
      <xdr:row>3</xdr:row>
      <xdr:rowOff>142875</xdr:rowOff>
    </xdr:to>
    <xdr:pic>
      <xdr:nvPicPr>
        <xdr:cNvPr id="427486" name="Picture 1">
          <a:extLst>
            <a:ext uri="{FF2B5EF4-FFF2-40B4-BE49-F238E27FC236}">
              <a16:creationId xmlns:a16="http://schemas.microsoft.com/office/drawing/2014/main" id="{00000000-0008-0000-1000-0000DE85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14" t="13245" r="8646" b="14067"/>
        <a:stretch>
          <a:fillRect/>
        </a:stretch>
      </xdr:blipFill>
      <xdr:spPr bwMode="auto">
        <a:xfrm>
          <a:off x="66675" y="28575"/>
          <a:ext cx="1219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1304925</xdr:colOff>
      <xdr:row>3</xdr:row>
      <xdr:rowOff>142875</xdr:rowOff>
    </xdr:to>
    <xdr:pic>
      <xdr:nvPicPr>
        <xdr:cNvPr id="428508" name="Picture 1">
          <a:extLst>
            <a:ext uri="{FF2B5EF4-FFF2-40B4-BE49-F238E27FC236}">
              <a16:creationId xmlns:a16="http://schemas.microsoft.com/office/drawing/2014/main" id="{00000000-0008-0000-1100-0000DC89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14" t="13245" r="8646" b="14067"/>
        <a:stretch>
          <a:fillRect/>
        </a:stretch>
      </xdr:blipFill>
      <xdr:spPr bwMode="auto">
        <a:xfrm>
          <a:off x="85725" y="28575"/>
          <a:ext cx="1219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0</xdr:col>
      <xdr:colOff>1266825</xdr:colOff>
      <xdr:row>3</xdr:row>
      <xdr:rowOff>133350</xdr:rowOff>
    </xdr:to>
    <xdr:pic>
      <xdr:nvPicPr>
        <xdr:cNvPr id="429547" name="Picture 1">
          <a:extLst>
            <a:ext uri="{FF2B5EF4-FFF2-40B4-BE49-F238E27FC236}">
              <a16:creationId xmlns:a16="http://schemas.microsoft.com/office/drawing/2014/main" id="{00000000-0008-0000-1200-0000EB8D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14" t="13245" r="8646" b="14067"/>
        <a:stretch>
          <a:fillRect/>
        </a:stretch>
      </xdr:blipFill>
      <xdr:spPr bwMode="auto">
        <a:xfrm>
          <a:off x="47625" y="19050"/>
          <a:ext cx="1219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733425</xdr:colOff>
      <xdr:row>3</xdr:row>
      <xdr:rowOff>5210</xdr:rowOff>
    </xdr:to>
    <xdr:pic>
      <xdr:nvPicPr>
        <xdr:cNvPr id="3" name="Picture 1">
          <a:extLst>
            <a:ext uri="{FF2B5EF4-FFF2-40B4-BE49-F238E27FC236}">
              <a16:creationId xmlns:a16="http://schemas.microsoft.com/office/drawing/2014/main" id="{00000000-0008-0000-1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66675"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xdr:col>
      <xdr:colOff>666750</xdr:colOff>
      <xdr:row>3</xdr:row>
      <xdr:rowOff>5210</xdr:rowOff>
    </xdr:to>
    <xdr:pic>
      <xdr:nvPicPr>
        <xdr:cNvPr id="3" name="Picture 1">
          <a:extLst>
            <a:ext uri="{FF2B5EF4-FFF2-40B4-BE49-F238E27FC236}">
              <a16:creationId xmlns:a16="http://schemas.microsoft.com/office/drawing/2014/main" id="{00000000-0008-0000-1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57150"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4700" name="Picture 2">
          <a:extLst>
            <a:ext uri="{FF2B5EF4-FFF2-40B4-BE49-F238E27FC236}">
              <a16:creationId xmlns:a16="http://schemas.microsoft.com/office/drawing/2014/main" id="{00000000-0008-0000-0300-00002C7F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2</xdr:col>
      <xdr:colOff>9525</xdr:colOff>
      <xdr:row>2</xdr:row>
      <xdr:rowOff>186185</xdr:rowOff>
    </xdr:to>
    <xdr:pic>
      <xdr:nvPicPr>
        <xdr:cNvPr id="3" name="Picture 1">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85725" y="952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xdr:col>
      <xdr:colOff>685800</xdr:colOff>
      <xdr:row>3</xdr:row>
      <xdr:rowOff>5210</xdr:rowOff>
    </xdr:to>
    <xdr:pic>
      <xdr:nvPicPr>
        <xdr:cNvPr id="4" name="Picture 1">
          <a:extLst>
            <a:ext uri="{FF2B5EF4-FFF2-40B4-BE49-F238E27FC236}">
              <a16:creationId xmlns:a16="http://schemas.microsoft.com/office/drawing/2014/main" id="{00000000-0008-0000-16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57150"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2</xdr:col>
      <xdr:colOff>0</xdr:colOff>
      <xdr:row>2</xdr:row>
      <xdr:rowOff>186185</xdr:rowOff>
    </xdr:to>
    <xdr:pic>
      <xdr:nvPicPr>
        <xdr:cNvPr id="3" name="Picture 1">
          <a:extLst>
            <a:ext uri="{FF2B5EF4-FFF2-40B4-BE49-F238E27FC236}">
              <a16:creationId xmlns:a16="http://schemas.microsoft.com/office/drawing/2014/main" id="{00000000-0008-0000-1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76200" y="952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9525</xdr:rowOff>
    </xdr:from>
    <xdr:to>
      <xdr:col>1</xdr:col>
      <xdr:colOff>704850</xdr:colOff>
      <xdr:row>2</xdr:row>
      <xdr:rowOff>157610</xdr:rowOff>
    </xdr:to>
    <xdr:pic>
      <xdr:nvPicPr>
        <xdr:cNvPr id="4" name="Picture 1">
          <a:extLst>
            <a:ext uri="{FF2B5EF4-FFF2-40B4-BE49-F238E27FC236}">
              <a16:creationId xmlns:a16="http://schemas.microsoft.com/office/drawing/2014/main" id="{00000000-0008-0000-18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04775" y="952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666750</xdr:colOff>
      <xdr:row>3</xdr:row>
      <xdr:rowOff>14735</xdr:rowOff>
    </xdr:to>
    <xdr:pic>
      <xdr:nvPicPr>
        <xdr:cNvPr id="4" name="Picture 1">
          <a:extLst>
            <a:ext uri="{FF2B5EF4-FFF2-40B4-BE49-F238E27FC236}">
              <a16:creationId xmlns:a16="http://schemas.microsoft.com/office/drawing/2014/main" id="{00000000-0008-0000-19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2857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666750</xdr:colOff>
      <xdr:row>3</xdr:row>
      <xdr:rowOff>14735</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2857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57979</xdr:colOff>
      <xdr:row>0</xdr:row>
      <xdr:rowOff>16565</xdr:rowOff>
    </xdr:from>
    <xdr:to>
      <xdr:col>1</xdr:col>
      <xdr:colOff>684558</xdr:colOff>
      <xdr:row>2</xdr:row>
      <xdr:rowOff>157196</xdr:rowOff>
    </xdr:to>
    <xdr:pic>
      <xdr:nvPicPr>
        <xdr:cNvPr id="4" name="Picture 1">
          <a:extLst>
            <a:ext uri="{FF2B5EF4-FFF2-40B4-BE49-F238E27FC236}">
              <a16:creationId xmlns:a16="http://schemas.microsoft.com/office/drawing/2014/main" id="{00000000-0008-0000-1B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57979" y="1656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704850</xdr:colOff>
      <xdr:row>2</xdr:row>
      <xdr:rowOff>148085</xdr:rowOff>
    </xdr:to>
    <xdr:pic>
      <xdr:nvPicPr>
        <xdr:cNvPr id="4" name="Picture 1">
          <a:extLst>
            <a:ext uri="{FF2B5EF4-FFF2-40B4-BE49-F238E27FC236}">
              <a16:creationId xmlns:a16="http://schemas.microsoft.com/office/drawing/2014/main" id="{00000000-0008-0000-1C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1</xdr:col>
      <xdr:colOff>704850</xdr:colOff>
      <xdr:row>2</xdr:row>
      <xdr:rowOff>176660</xdr:rowOff>
    </xdr:to>
    <xdr:pic>
      <xdr:nvPicPr>
        <xdr:cNvPr id="3" name="Picture 1">
          <a:extLst>
            <a:ext uri="{FF2B5EF4-FFF2-40B4-BE49-F238E27FC236}">
              <a16:creationId xmlns:a16="http://schemas.microsoft.com/office/drawing/2014/main" id="{00000000-0008-0000-1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8572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xdr:col>
      <xdr:colOff>695325</xdr:colOff>
      <xdr:row>2</xdr:row>
      <xdr:rowOff>167135</xdr:rowOff>
    </xdr:to>
    <xdr:pic>
      <xdr:nvPicPr>
        <xdr:cNvPr id="3" name="Picture 1">
          <a:extLst>
            <a:ext uri="{FF2B5EF4-FFF2-40B4-BE49-F238E27FC236}">
              <a16:creationId xmlns:a16="http://schemas.microsoft.com/office/drawing/2014/main" id="{00000000-0008-0000-1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66675" y="7620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5722" name="Picture 2">
          <a:extLst>
            <a:ext uri="{FF2B5EF4-FFF2-40B4-BE49-F238E27FC236}">
              <a16:creationId xmlns:a16="http://schemas.microsoft.com/office/drawing/2014/main" id="{00000000-0008-0000-0400-00002A83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1</xdr:col>
      <xdr:colOff>676275</xdr:colOff>
      <xdr:row>2</xdr:row>
      <xdr:rowOff>176660</xdr:rowOff>
    </xdr:to>
    <xdr:pic>
      <xdr:nvPicPr>
        <xdr:cNvPr id="3" name="Picture 1">
          <a:extLst>
            <a:ext uri="{FF2B5EF4-FFF2-40B4-BE49-F238E27FC236}">
              <a16:creationId xmlns:a16="http://schemas.microsoft.com/office/drawing/2014/main" id="{00000000-0008-0000-1F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8572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85725</xdr:colOff>
      <xdr:row>0</xdr:row>
      <xdr:rowOff>9525</xdr:rowOff>
    </xdr:from>
    <xdr:to>
      <xdr:col>2</xdr:col>
      <xdr:colOff>9525</xdr:colOff>
      <xdr:row>2</xdr:row>
      <xdr:rowOff>157610</xdr:rowOff>
    </xdr:to>
    <xdr:pic>
      <xdr:nvPicPr>
        <xdr:cNvPr id="4" name="Picture 1">
          <a:extLst>
            <a:ext uri="{FF2B5EF4-FFF2-40B4-BE49-F238E27FC236}">
              <a16:creationId xmlns:a16="http://schemas.microsoft.com/office/drawing/2014/main" id="{00000000-0008-0000-2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85725" y="952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1</xdr:col>
      <xdr:colOff>695325</xdr:colOff>
      <xdr:row>3</xdr:row>
      <xdr:rowOff>5210</xdr:rowOff>
    </xdr:to>
    <xdr:pic>
      <xdr:nvPicPr>
        <xdr:cNvPr id="4" name="Picture 1">
          <a:extLst>
            <a:ext uri="{FF2B5EF4-FFF2-40B4-BE49-F238E27FC236}">
              <a16:creationId xmlns:a16="http://schemas.microsoft.com/office/drawing/2014/main" id="{00000000-0008-0000-2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76200"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1</xdr:col>
      <xdr:colOff>695325</xdr:colOff>
      <xdr:row>3</xdr:row>
      <xdr:rowOff>5210</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76200"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44742" name="Picture 2">
          <a:extLst>
            <a:ext uri="{FF2B5EF4-FFF2-40B4-BE49-F238E27FC236}">
              <a16:creationId xmlns:a16="http://schemas.microsoft.com/office/drawing/2014/main" id="{00000000-0008-0000-0500-000046C9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7790" name="Picture 2">
          <a:extLst>
            <a:ext uri="{FF2B5EF4-FFF2-40B4-BE49-F238E27FC236}">
              <a16:creationId xmlns:a16="http://schemas.microsoft.com/office/drawing/2014/main" id="{00000000-0008-0000-0600-00003E8B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62941" name="Picture 2">
          <a:extLst>
            <a:ext uri="{FF2B5EF4-FFF2-40B4-BE49-F238E27FC236}">
              <a16:creationId xmlns:a16="http://schemas.microsoft.com/office/drawing/2014/main" id="{00000000-0008-0000-0700-00005D10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63960" name="Picture 2">
          <a:extLst>
            <a:ext uri="{FF2B5EF4-FFF2-40B4-BE49-F238E27FC236}">
              <a16:creationId xmlns:a16="http://schemas.microsoft.com/office/drawing/2014/main" id="{00000000-0008-0000-0800-00005814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64981" name="Picture 2">
          <a:extLst>
            <a:ext uri="{FF2B5EF4-FFF2-40B4-BE49-F238E27FC236}">
              <a16:creationId xmlns:a16="http://schemas.microsoft.com/office/drawing/2014/main" id="{00000000-0008-0000-0900-00005518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65998" name="Picture 2">
          <a:extLst>
            <a:ext uri="{FF2B5EF4-FFF2-40B4-BE49-F238E27FC236}">
              <a16:creationId xmlns:a16="http://schemas.microsoft.com/office/drawing/2014/main" id="{00000000-0008-0000-0A00-00004E1C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ranti/2SER09071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eraclene.Frio/Desktop/Kaye%20HPI%20files/Documents/HPI%20Tagaytay%20Highlands/Midlands/HORIZON%20Phase%202/Horizon%20Phase%202/Sales/Pricelist/Pricelist%20Historical%20Horizon%20Terraces%20-%20suites%202%20sol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Heraclene.Frio/Downloads/Horizon%20Terraces%20GLENVIEW%20EffectiveNov%2012%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ata/4%20NUVALI%20VESTA/VP/Concept%20Approval%20FS/Vesta%2020090706%20Con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4.32/Shared%20Folder/Users/Elizabeth%20Carascoso/Desktop/KT%20Bartolome/fr%20Project%20Director/fr%20DEM/Woodridge%20Place%20Ph2_Initial%20runs%20(Linden%20&amp;%20Mahogany)%20adjusted%20201009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Serendra/Sales/Invento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a/Sime%20Darby/Financials/2007.08.08/SZ%20Conso%208.8.07%20JD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eraclene.frio/Documents/HPI%20Tagaytay%20Highlands/Midlands/HORIZON%20Phase%202/Horizon%20Phase%202/PD/Pricing%20Strategy/Copy%20of%20FROM%20IGF_Horizon%20Phase%202%20Pricing%20rev%2018%20May%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eraclene.Frio/AppData/Local/Microsoft/Windows/INetCache/Content.Outlook/UIVFZ5LF/Copy%20of%20Pricelist_Horizon%20Terraces_sales%20roll%20out%20May%2031%202017_for%20Sales%20Admi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rvin.faustino/AppData/Local/Microsoft/Windows/Temporary%20Internet%20Files/Content.Outlook/2YKKGQVW/Condo%202%20study%20-%20Jul30%202018%20vs%20Condo%201-Marv%20v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eraclene.Frio/Desktop/Kaye%20HPI%20files/Documents/HPI%20Tagaytay%20Highlands/Midlands/HORIZON%20Phase%202/Horizon%20Phase%202/Sales/Pricelist/HT%20Historical%20Pricelist%20as%20%20of%202020%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PR"/>
      <sheetName val="GL"/>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TES1"/>
      <sheetName val="VILLAS 2"/>
      <sheetName val="SUITES2"/>
      <sheetName val="Pool size"/>
      <sheetName val="summary available"/>
    </sheetNames>
    <sheetDataSet>
      <sheetData sheetId="0"/>
      <sheetData sheetId="1"/>
      <sheetData sheetId="2">
        <row r="18">
          <cell r="F18">
            <v>44.59</v>
          </cell>
        </row>
        <row r="49">
          <cell r="E49" t="str">
            <v>1-Bedroom</v>
          </cell>
          <cell r="F49">
            <v>44.59</v>
          </cell>
        </row>
      </sheetData>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 "/>
      <sheetName val=" Glenview PL"/>
      <sheetName val="Cash_Non-mem"/>
      <sheetName val="Cash_Mem"/>
      <sheetName val="Deferred Cash_Non-mem"/>
      <sheetName val="Deferred Cash_Mem"/>
      <sheetName val="INST1_Non-mem"/>
      <sheetName val="INST1_Mem"/>
      <sheetName val="INST2_Non-mem"/>
      <sheetName val="INST2_Mem"/>
      <sheetName val="Promo Term 1_Non-mem"/>
      <sheetName val="Promo Term 1_Mem"/>
      <sheetName val="Promo Term 2_Non-mem"/>
      <sheetName val="Promo Term 2_Mem"/>
      <sheetName val="INST1_Non mem"/>
      <sheetName val="INST1_Member"/>
      <sheetName val="INST2_Non-member"/>
      <sheetName val="INST2_Member"/>
      <sheetName val="CASH TERM_Member"/>
      <sheetName val="DP term1_Member"/>
      <sheetName val="DP term2_Member"/>
      <sheetName val="DP term3_Member"/>
      <sheetName val="NO DP term1_Member"/>
      <sheetName val="NO DP term 2_Member"/>
      <sheetName val="CASH TERM_Non-Member"/>
      <sheetName val="DP Term1_Non-member"/>
      <sheetName val="DP Term2_Non-mem"/>
      <sheetName val="DP Term3_Non-mem"/>
      <sheetName val="NO DP term1_Non-mem"/>
      <sheetName val="NO DP term2_Non-mem"/>
      <sheetName val="Compatibility Report"/>
    </sheetNames>
    <sheetDataSet>
      <sheetData sheetId="0">
        <row r="7">
          <cell r="C7" t="str">
            <v xml:space="preserve"> </v>
          </cell>
        </row>
        <row r="9">
          <cell r="C9">
            <v>43781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Up"/>
      <sheetName val="data"/>
      <sheetName val="GAE8'97"/>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14.2017"/>
      <sheetName val="Pricing-Kaye"/>
      <sheetName val="Summary"/>
      <sheetName val="Parking Price"/>
      <sheetName val="Pricing Detail"/>
      <sheetName val="TH"/>
      <sheetName val="Price Chart"/>
      <sheetName val="Pricing SUMMARY (VAT-Ex)"/>
      <sheetName val="Pricing SUMMARY-VATIn"/>
      <sheetName val="Summary (VAT-IN)"/>
      <sheetName val="Units-Parking"/>
      <sheetName val="GFA"/>
      <sheetName val="cost"/>
      <sheetName val="P&amp;L per phase"/>
      <sheetName val="P&amp;L"/>
      <sheetName val="condo 1"/>
      <sheetName val="P&amp;L presentation"/>
      <sheetName val="sales assumption"/>
      <sheetName val="Financial assumptions"/>
      <sheetName val="Payment terms"/>
      <sheetName val="Pricing SUMMARY (VAT-Ex) (2)"/>
      <sheetName val="garden suites"/>
      <sheetName val="garden villas"/>
      <sheetName val="Sheet3"/>
      <sheetName val="min max ave"/>
      <sheetName val="DATA SHEET"/>
      <sheetName val="INST1_Mem"/>
      <sheetName val="INST1_Non-Mem"/>
      <sheetName val="INST2_Non-mem"/>
      <sheetName val="INST2_Mem"/>
      <sheetName val="No DP_Term1_Non-mem"/>
      <sheetName val="No DP_Term1_M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7">
          <cell r="D7" t="str">
            <v>GA</v>
          </cell>
          <cell r="E7" t="str">
            <v>1-Bedroom Terrace Suite</v>
          </cell>
          <cell r="F7">
            <v>67.900000000000006</v>
          </cell>
          <cell r="G7">
            <v>10061680</v>
          </cell>
          <cell r="L7">
            <v>8313494.0000000009</v>
          </cell>
          <cell r="M7">
            <v>8314000</v>
          </cell>
          <cell r="N7">
            <v>997680</v>
          </cell>
          <cell r="O7">
            <v>9311680</v>
          </cell>
          <cell r="P7">
            <v>750000</v>
          </cell>
          <cell r="R7">
            <v>249420</v>
          </cell>
          <cell r="S7">
            <v>161291.6</v>
          </cell>
          <cell r="T7">
            <v>7903288.4000000004</v>
          </cell>
          <cell r="U7">
            <v>79032.884000000005</v>
          </cell>
        </row>
        <row r="8">
          <cell r="D8" t="str">
            <v>GB</v>
          </cell>
          <cell r="E8" t="str">
            <v>1-Bedroom Terrace Suite</v>
          </cell>
          <cell r="F8">
            <v>67.900000000000006</v>
          </cell>
          <cell r="G8">
            <v>9150000</v>
          </cell>
          <cell r="L8">
            <v>7499646.0000000009</v>
          </cell>
          <cell r="M8">
            <v>7500000</v>
          </cell>
          <cell r="N8">
            <v>900000</v>
          </cell>
          <cell r="O8">
            <v>8400000</v>
          </cell>
          <cell r="P8">
            <v>750000</v>
          </cell>
          <cell r="R8">
            <v>225000</v>
          </cell>
          <cell r="S8">
            <v>145500</v>
          </cell>
          <cell r="T8">
            <v>7129500</v>
          </cell>
          <cell r="U8">
            <v>71295</v>
          </cell>
        </row>
        <row r="9">
          <cell r="D9" t="str">
            <v>GC</v>
          </cell>
          <cell r="E9" t="str">
            <v>1-Bedroom Terrace Suite</v>
          </cell>
          <cell r="F9">
            <v>67.900000000000006</v>
          </cell>
          <cell r="G9">
            <v>9150000</v>
          </cell>
          <cell r="L9">
            <v>7499646.0000000009</v>
          </cell>
          <cell r="M9">
            <v>7500000</v>
          </cell>
          <cell r="N9">
            <v>900000</v>
          </cell>
          <cell r="O9">
            <v>8400000</v>
          </cell>
          <cell r="P9">
            <v>750000</v>
          </cell>
          <cell r="R9">
            <v>225000</v>
          </cell>
          <cell r="S9">
            <v>145500</v>
          </cell>
          <cell r="T9">
            <v>7129500</v>
          </cell>
          <cell r="U9">
            <v>71295</v>
          </cell>
        </row>
        <row r="10">
          <cell r="D10" t="str">
            <v>GD</v>
          </cell>
          <cell r="E10" t="str">
            <v>1-Bedroom Terrace Suite</v>
          </cell>
          <cell r="F10">
            <v>67.900000000000006</v>
          </cell>
          <cell r="G10">
            <v>9150000</v>
          </cell>
          <cell r="L10">
            <v>7499646.0000000009</v>
          </cell>
          <cell r="M10">
            <v>7500000</v>
          </cell>
          <cell r="N10">
            <v>900000</v>
          </cell>
          <cell r="O10">
            <v>8400000</v>
          </cell>
          <cell r="P10">
            <v>750000</v>
          </cell>
          <cell r="R10">
            <v>225000</v>
          </cell>
          <cell r="S10">
            <v>145500</v>
          </cell>
          <cell r="T10">
            <v>7129500</v>
          </cell>
          <cell r="U10">
            <v>71295</v>
          </cell>
        </row>
        <row r="11">
          <cell r="D11" t="str">
            <v>GE</v>
          </cell>
          <cell r="E11" t="str">
            <v>1-Bedroom Terrace Suite</v>
          </cell>
          <cell r="F11">
            <v>67.900000000000006</v>
          </cell>
          <cell r="G11">
            <v>9150000</v>
          </cell>
          <cell r="L11">
            <v>7499646.0000000009</v>
          </cell>
          <cell r="M11">
            <v>7500000</v>
          </cell>
          <cell r="N11">
            <v>900000</v>
          </cell>
          <cell r="O11">
            <v>8400000</v>
          </cell>
          <cell r="P11">
            <v>750000</v>
          </cell>
          <cell r="R11">
            <v>225000</v>
          </cell>
          <cell r="S11">
            <v>145500</v>
          </cell>
          <cell r="T11">
            <v>7129500</v>
          </cell>
          <cell r="U11">
            <v>71295</v>
          </cell>
        </row>
        <row r="12">
          <cell r="D12" t="str">
            <v>GF</v>
          </cell>
          <cell r="E12" t="str">
            <v>1-Bedroom Terrace Suite</v>
          </cell>
          <cell r="F12">
            <v>67.900000000000006</v>
          </cell>
          <cell r="G12">
            <v>10617200</v>
          </cell>
          <cell r="L12">
            <v>8809822</v>
          </cell>
          <cell r="M12">
            <v>8810000</v>
          </cell>
          <cell r="N12">
            <v>1057200</v>
          </cell>
          <cell r="O12">
            <v>9867200</v>
          </cell>
          <cell r="P12">
            <v>750000</v>
          </cell>
          <cell r="R12">
            <v>264300</v>
          </cell>
          <cell r="S12">
            <v>170914</v>
          </cell>
          <cell r="T12">
            <v>8374786</v>
          </cell>
          <cell r="U12">
            <v>83747.86</v>
          </cell>
        </row>
        <row r="13">
          <cell r="D13" t="str">
            <v>GG</v>
          </cell>
          <cell r="E13" t="str">
            <v>2-Bedroom</v>
          </cell>
          <cell r="F13">
            <v>65.599999999999994</v>
          </cell>
          <cell r="G13">
            <v>9934000</v>
          </cell>
          <cell r="L13">
            <v>8199999.9999999991</v>
          </cell>
          <cell r="M13">
            <v>8200000</v>
          </cell>
          <cell r="N13">
            <v>984000</v>
          </cell>
          <cell r="O13">
            <v>9184000</v>
          </cell>
          <cell r="P13">
            <v>750000</v>
          </cell>
          <cell r="R13">
            <v>246000</v>
          </cell>
          <cell r="S13">
            <v>159080</v>
          </cell>
          <cell r="T13">
            <v>7794920</v>
          </cell>
          <cell r="U13">
            <v>77949.2</v>
          </cell>
        </row>
        <row r="14">
          <cell r="D14" t="str">
            <v>GH</v>
          </cell>
          <cell r="E14" t="str">
            <v>1-Bedroom</v>
          </cell>
          <cell r="F14">
            <v>43.12</v>
          </cell>
          <cell r="G14">
            <v>6546000</v>
          </cell>
          <cell r="L14">
            <v>5174400</v>
          </cell>
          <cell r="M14">
            <v>5175000</v>
          </cell>
          <cell r="N14">
            <v>621000</v>
          </cell>
          <cell r="O14">
            <v>5796000</v>
          </cell>
          <cell r="P14">
            <v>750000</v>
          </cell>
          <cell r="R14">
            <v>155250</v>
          </cell>
          <cell r="S14">
            <v>100395</v>
          </cell>
          <cell r="T14">
            <v>4919355</v>
          </cell>
          <cell r="U14">
            <v>49193.55</v>
          </cell>
        </row>
        <row r="15">
          <cell r="D15" t="str">
            <v>GK</v>
          </cell>
          <cell r="E15" t="str">
            <v>1-Bedroom</v>
          </cell>
          <cell r="F15">
            <v>49.85</v>
          </cell>
          <cell r="G15">
            <v>7114960</v>
          </cell>
          <cell r="L15">
            <v>5682900</v>
          </cell>
          <cell r="M15">
            <v>5683000</v>
          </cell>
          <cell r="N15">
            <v>681960</v>
          </cell>
          <cell r="O15">
            <v>6364960</v>
          </cell>
          <cell r="P15">
            <v>750000</v>
          </cell>
          <cell r="R15">
            <v>170490</v>
          </cell>
          <cell r="S15">
            <v>110250.2</v>
          </cell>
          <cell r="T15">
            <v>5402259.7999999998</v>
          </cell>
          <cell r="U15">
            <v>54022.597999999998</v>
          </cell>
        </row>
        <row r="16">
          <cell r="D16" t="str">
            <v>GL</v>
          </cell>
          <cell r="E16" t="str">
            <v>1-Bedroom</v>
          </cell>
          <cell r="F16">
            <v>43.12</v>
          </cell>
          <cell r="G16">
            <v>6546000</v>
          </cell>
          <cell r="L16">
            <v>5174400</v>
          </cell>
          <cell r="M16">
            <v>5175000</v>
          </cell>
          <cell r="N16">
            <v>621000</v>
          </cell>
          <cell r="O16">
            <v>5796000</v>
          </cell>
          <cell r="P16">
            <v>750000</v>
          </cell>
          <cell r="R16">
            <v>155250</v>
          </cell>
          <cell r="S16">
            <v>100395</v>
          </cell>
          <cell r="T16">
            <v>4919355</v>
          </cell>
          <cell r="U16">
            <v>49193.55</v>
          </cell>
        </row>
        <row r="17">
          <cell r="D17" t="str">
            <v>GM</v>
          </cell>
          <cell r="E17" t="str">
            <v>2-Bedroom</v>
          </cell>
          <cell r="F17">
            <v>65.599999999999994</v>
          </cell>
          <cell r="G17">
            <v>9566640</v>
          </cell>
          <cell r="L17">
            <v>7871999.9999999991</v>
          </cell>
          <cell r="M17">
            <v>7872000</v>
          </cell>
          <cell r="N17">
            <v>944640</v>
          </cell>
          <cell r="O17">
            <v>8816640</v>
          </cell>
          <cell r="P17">
            <v>750000</v>
          </cell>
          <cell r="R17">
            <v>236160</v>
          </cell>
          <cell r="S17">
            <v>152716.80000000002</v>
          </cell>
          <cell r="T17">
            <v>7483123.2000000002</v>
          </cell>
          <cell r="U17">
            <v>74831.232000000004</v>
          </cell>
        </row>
        <row r="18">
          <cell r="D18" t="str">
            <v>2A</v>
          </cell>
          <cell r="E18" t="str">
            <v>2-Bedroom</v>
          </cell>
          <cell r="F18">
            <v>68.349999999999994</v>
          </cell>
          <cell r="G18">
            <v>12233360</v>
          </cell>
          <cell r="L18">
            <v>10252500</v>
          </cell>
          <cell r="M18">
            <v>10253000</v>
          </cell>
          <cell r="N18">
            <v>1230360</v>
          </cell>
          <cell r="O18">
            <v>11483360</v>
          </cell>
          <cell r="P18">
            <v>750000</v>
          </cell>
          <cell r="R18">
            <v>307590</v>
          </cell>
          <cell r="S18">
            <v>198908.2</v>
          </cell>
          <cell r="T18">
            <v>9746501.8000000007</v>
          </cell>
          <cell r="U18">
            <v>97465.018000000011</v>
          </cell>
        </row>
        <row r="19">
          <cell r="D19" t="str">
            <v>2B</v>
          </cell>
          <cell r="E19" t="str">
            <v>1-Bedroom</v>
          </cell>
          <cell r="F19">
            <v>43.12</v>
          </cell>
          <cell r="G19">
            <v>7657040</v>
          </cell>
          <cell r="L19">
            <v>6166160</v>
          </cell>
          <cell r="M19">
            <v>6167000</v>
          </cell>
          <cell r="N19">
            <v>740040</v>
          </cell>
          <cell r="O19">
            <v>6907040</v>
          </cell>
          <cell r="P19">
            <v>750000</v>
          </cell>
          <cell r="R19">
            <v>185010</v>
          </cell>
          <cell r="S19">
            <v>119639.8</v>
          </cell>
          <cell r="T19">
            <v>5862350.2000000002</v>
          </cell>
          <cell r="U19">
            <v>58623.502</v>
          </cell>
        </row>
        <row r="20">
          <cell r="D20" t="str">
            <v>2C</v>
          </cell>
          <cell r="E20" t="str">
            <v>1-Bedroom</v>
          </cell>
          <cell r="F20">
            <v>43.12</v>
          </cell>
          <cell r="G20">
            <v>7657040</v>
          </cell>
          <cell r="L20">
            <v>6166160</v>
          </cell>
          <cell r="M20">
            <v>6167000</v>
          </cell>
          <cell r="N20">
            <v>740040</v>
          </cell>
          <cell r="O20">
            <v>6907040</v>
          </cell>
          <cell r="P20">
            <v>750000</v>
          </cell>
          <cell r="R20">
            <v>185010</v>
          </cell>
          <cell r="S20">
            <v>119639.8</v>
          </cell>
          <cell r="T20">
            <v>5862350.2000000002</v>
          </cell>
          <cell r="U20">
            <v>58623.502</v>
          </cell>
        </row>
        <row r="21">
          <cell r="D21" t="str">
            <v>2D</v>
          </cell>
          <cell r="E21" t="str">
            <v>1-Bedroom</v>
          </cell>
          <cell r="F21">
            <v>43.12</v>
          </cell>
          <cell r="G21">
            <v>7657040</v>
          </cell>
          <cell r="L21">
            <v>6166160</v>
          </cell>
          <cell r="M21">
            <v>6167000</v>
          </cell>
          <cell r="N21">
            <v>740040</v>
          </cell>
          <cell r="O21">
            <v>6907040</v>
          </cell>
          <cell r="P21">
            <v>750000</v>
          </cell>
          <cell r="R21">
            <v>185010</v>
          </cell>
          <cell r="S21">
            <v>119639.8</v>
          </cell>
          <cell r="T21">
            <v>5862350.2000000002</v>
          </cell>
          <cell r="U21">
            <v>58623.502</v>
          </cell>
        </row>
        <row r="22">
          <cell r="D22" t="str">
            <v>2E</v>
          </cell>
          <cell r="E22" t="str">
            <v>2-Bedroom</v>
          </cell>
          <cell r="F22">
            <v>68.349999999999994</v>
          </cell>
          <cell r="G22">
            <v>12846000</v>
          </cell>
          <cell r="L22">
            <v>10799300</v>
          </cell>
          <cell r="M22">
            <v>10800000</v>
          </cell>
          <cell r="N22">
            <v>1296000</v>
          </cell>
          <cell r="O22">
            <v>12096000</v>
          </cell>
          <cell r="P22">
            <v>750000</v>
          </cell>
          <cell r="R22">
            <v>324000</v>
          </cell>
          <cell r="S22">
            <v>209520</v>
          </cell>
          <cell r="T22">
            <v>10266480</v>
          </cell>
          <cell r="U22">
            <v>102664.8</v>
          </cell>
        </row>
        <row r="23">
          <cell r="D23" t="str">
            <v>2G</v>
          </cell>
          <cell r="E23" t="str">
            <v>2-Bedroom</v>
          </cell>
          <cell r="F23">
            <v>65.599999999999994</v>
          </cell>
          <cell r="G23">
            <v>11624080</v>
          </cell>
          <cell r="L23">
            <v>9708799.9999999981</v>
          </cell>
          <cell r="M23">
            <v>9709000</v>
          </cell>
          <cell r="N23">
            <v>1165080</v>
          </cell>
          <cell r="O23">
            <v>10874080</v>
          </cell>
          <cell r="P23">
            <v>750000</v>
          </cell>
          <cell r="R23">
            <v>291270</v>
          </cell>
          <cell r="S23">
            <v>188354.6</v>
          </cell>
          <cell r="T23">
            <v>9229375.4000000004</v>
          </cell>
          <cell r="U23">
            <v>92293.754000000001</v>
          </cell>
        </row>
        <row r="24">
          <cell r="D24" t="str">
            <v>2H</v>
          </cell>
          <cell r="E24" t="str">
            <v>1-Bedroom</v>
          </cell>
          <cell r="F24">
            <v>43.12</v>
          </cell>
          <cell r="G24">
            <v>6642320</v>
          </cell>
          <cell r="L24">
            <v>5260640</v>
          </cell>
          <cell r="M24">
            <v>5261000</v>
          </cell>
          <cell r="N24">
            <v>631320</v>
          </cell>
          <cell r="O24">
            <v>5892320</v>
          </cell>
          <cell r="P24">
            <v>750000</v>
          </cell>
          <cell r="R24">
            <v>157830</v>
          </cell>
          <cell r="S24">
            <v>102063.40000000001</v>
          </cell>
          <cell r="T24">
            <v>5001106.5999999996</v>
          </cell>
          <cell r="U24">
            <v>50011.065999999999</v>
          </cell>
        </row>
        <row r="25">
          <cell r="D25" t="str">
            <v>2J</v>
          </cell>
          <cell r="E25" t="str">
            <v>1-Bedroom</v>
          </cell>
          <cell r="F25">
            <v>49.85</v>
          </cell>
          <cell r="G25">
            <v>7226960</v>
          </cell>
          <cell r="L25">
            <v>5782600</v>
          </cell>
          <cell r="M25">
            <v>5783000</v>
          </cell>
          <cell r="N25">
            <v>693960</v>
          </cell>
          <cell r="O25">
            <v>6476960</v>
          </cell>
          <cell r="P25">
            <v>750000</v>
          </cell>
          <cell r="R25">
            <v>173490</v>
          </cell>
          <cell r="S25">
            <v>112190.2</v>
          </cell>
          <cell r="T25">
            <v>5497319.7999999998</v>
          </cell>
          <cell r="U25">
            <v>54973.197999999997</v>
          </cell>
        </row>
        <row r="26">
          <cell r="D26" t="str">
            <v>2K</v>
          </cell>
          <cell r="E26" t="str">
            <v>1-Bedroom</v>
          </cell>
          <cell r="F26">
            <v>49.85</v>
          </cell>
          <cell r="G26">
            <v>7226960</v>
          </cell>
          <cell r="L26">
            <v>5782600</v>
          </cell>
          <cell r="M26">
            <v>5783000</v>
          </cell>
          <cell r="N26">
            <v>693960</v>
          </cell>
          <cell r="O26">
            <v>6476960</v>
          </cell>
          <cell r="P26">
            <v>750000</v>
          </cell>
          <cell r="R26">
            <v>173490</v>
          </cell>
          <cell r="S26">
            <v>112190.2</v>
          </cell>
          <cell r="T26">
            <v>5497319.7999999998</v>
          </cell>
          <cell r="U26">
            <v>54973.197999999997</v>
          </cell>
        </row>
        <row r="27">
          <cell r="D27" t="str">
            <v>2L</v>
          </cell>
          <cell r="E27" t="str">
            <v>1-Bedroom</v>
          </cell>
          <cell r="F27">
            <v>43.12</v>
          </cell>
          <cell r="G27">
            <v>6642320</v>
          </cell>
          <cell r="L27">
            <v>5260640</v>
          </cell>
          <cell r="M27">
            <v>5261000</v>
          </cell>
          <cell r="N27">
            <v>631320</v>
          </cell>
          <cell r="O27">
            <v>5892320</v>
          </cell>
          <cell r="P27">
            <v>750000</v>
          </cell>
          <cell r="R27">
            <v>157830</v>
          </cell>
          <cell r="S27">
            <v>102063.40000000001</v>
          </cell>
          <cell r="T27">
            <v>5001106.5999999996</v>
          </cell>
          <cell r="U27">
            <v>50011.065999999999</v>
          </cell>
        </row>
        <row r="28">
          <cell r="D28" t="str">
            <v>2M</v>
          </cell>
          <cell r="E28" t="str">
            <v>2-Bedroom</v>
          </cell>
          <cell r="F28">
            <v>65.599999999999994</v>
          </cell>
          <cell r="G28">
            <v>11256720</v>
          </cell>
          <cell r="L28">
            <v>9380799.9999999981</v>
          </cell>
          <cell r="M28">
            <v>9381000</v>
          </cell>
          <cell r="N28">
            <v>1125720</v>
          </cell>
          <cell r="O28">
            <v>10506720</v>
          </cell>
          <cell r="P28">
            <v>750000</v>
          </cell>
          <cell r="R28">
            <v>281430</v>
          </cell>
          <cell r="S28">
            <v>181991.4</v>
          </cell>
          <cell r="T28">
            <v>8917578.5999999996</v>
          </cell>
          <cell r="U28">
            <v>89175.785999999993</v>
          </cell>
        </row>
        <row r="29">
          <cell r="D29" t="str">
            <v>3A</v>
          </cell>
          <cell r="E29" t="str">
            <v>2-Bedroom</v>
          </cell>
          <cell r="F29">
            <v>68.349999999999994</v>
          </cell>
          <cell r="G29">
            <v>12462960</v>
          </cell>
          <cell r="L29">
            <v>10457550</v>
          </cell>
          <cell r="M29">
            <v>10458000</v>
          </cell>
          <cell r="N29">
            <v>1254960</v>
          </cell>
          <cell r="O29">
            <v>11712960</v>
          </cell>
          <cell r="P29">
            <v>750000</v>
          </cell>
          <cell r="R29">
            <v>313740</v>
          </cell>
          <cell r="S29">
            <v>202885.2</v>
          </cell>
          <cell r="T29">
            <v>9941374.8000000007</v>
          </cell>
          <cell r="U29">
            <v>99413.748000000007</v>
          </cell>
        </row>
        <row r="30">
          <cell r="D30" t="str">
            <v>3B</v>
          </cell>
          <cell r="E30" t="str">
            <v>1-Bedroom</v>
          </cell>
          <cell r="F30">
            <v>43.12</v>
          </cell>
          <cell r="G30">
            <v>7801520</v>
          </cell>
          <cell r="L30">
            <v>6295520</v>
          </cell>
          <cell r="M30">
            <v>6296000</v>
          </cell>
          <cell r="N30">
            <v>755520</v>
          </cell>
          <cell r="O30">
            <v>7051520</v>
          </cell>
          <cell r="P30">
            <v>750000</v>
          </cell>
          <cell r="R30">
            <v>188880</v>
          </cell>
          <cell r="S30">
            <v>122142.40000000001</v>
          </cell>
          <cell r="T30">
            <v>5984977.5999999996</v>
          </cell>
          <cell r="U30">
            <v>59849.775999999998</v>
          </cell>
        </row>
        <row r="31">
          <cell r="D31" t="str">
            <v>3C</v>
          </cell>
          <cell r="E31" t="str">
            <v>1-Bedroom</v>
          </cell>
          <cell r="F31">
            <v>43.12</v>
          </cell>
          <cell r="G31">
            <v>7801520</v>
          </cell>
          <cell r="L31">
            <v>6295520</v>
          </cell>
          <cell r="M31">
            <v>6296000</v>
          </cell>
          <cell r="N31">
            <v>755520</v>
          </cell>
          <cell r="O31">
            <v>7051520</v>
          </cell>
          <cell r="P31">
            <v>750000</v>
          </cell>
          <cell r="R31">
            <v>188880</v>
          </cell>
          <cell r="S31">
            <v>122142.40000000001</v>
          </cell>
          <cell r="T31">
            <v>5984977.5999999996</v>
          </cell>
          <cell r="U31">
            <v>59849.775999999998</v>
          </cell>
        </row>
        <row r="32">
          <cell r="D32" t="str">
            <v>3D</v>
          </cell>
          <cell r="E32" t="str">
            <v>1-Bedroom</v>
          </cell>
          <cell r="F32">
            <v>43.12</v>
          </cell>
          <cell r="G32">
            <v>7801520</v>
          </cell>
          <cell r="L32">
            <v>6295520</v>
          </cell>
          <cell r="M32">
            <v>6296000</v>
          </cell>
          <cell r="N32">
            <v>755520</v>
          </cell>
          <cell r="O32">
            <v>7051520</v>
          </cell>
          <cell r="P32">
            <v>750000</v>
          </cell>
          <cell r="R32">
            <v>188880</v>
          </cell>
          <cell r="S32">
            <v>122142.40000000001</v>
          </cell>
          <cell r="T32">
            <v>5984977.5999999996</v>
          </cell>
          <cell r="U32">
            <v>59849.775999999998</v>
          </cell>
        </row>
        <row r="33">
          <cell r="D33" t="str">
            <v>3E</v>
          </cell>
          <cell r="E33" t="str">
            <v>2-Bedroom</v>
          </cell>
          <cell r="F33">
            <v>68.349999999999994</v>
          </cell>
          <cell r="G33">
            <v>13075600</v>
          </cell>
          <cell r="L33">
            <v>11004349.999999998</v>
          </cell>
          <cell r="M33">
            <v>11005000</v>
          </cell>
          <cell r="N33">
            <v>1320600</v>
          </cell>
          <cell r="O33">
            <v>12325600</v>
          </cell>
          <cell r="P33">
            <v>750000</v>
          </cell>
          <cell r="R33">
            <v>330150</v>
          </cell>
          <cell r="S33">
            <v>213497</v>
          </cell>
          <cell r="T33">
            <v>10461353</v>
          </cell>
          <cell r="U33">
            <v>104613.53</v>
          </cell>
        </row>
        <row r="34">
          <cell r="D34" t="str">
            <v>3G</v>
          </cell>
          <cell r="E34" t="str">
            <v>2-Bedroom</v>
          </cell>
          <cell r="F34">
            <v>65.599999999999994</v>
          </cell>
          <cell r="G34">
            <v>11770800</v>
          </cell>
          <cell r="L34">
            <v>9840000</v>
          </cell>
          <cell r="M34">
            <v>9840000</v>
          </cell>
          <cell r="N34">
            <v>1180800</v>
          </cell>
          <cell r="O34">
            <v>11020800</v>
          </cell>
          <cell r="P34">
            <v>750000</v>
          </cell>
          <cell r="R34">
            <v>295200</v>
          </cell>
          <cell r="S34">
            <v>190896</v>
          </cell>
          <cell r="T34">
            <v>9353904</v>
          </cell>
          <cell r="U34">
            <v>93539.040000000008</v>
          </cell>
        </row>
        <row r="35">
          <cell r="D35" t="str">
            <v>3H</v>
          </cell>
          <cell r="E35" t="str">
            <v>1-Bedroom</v>
          </cell>
          <cell r="F35">
            <v>43.12</v>
          </cell>
          <cell r="G35">
            <v>6738640</v>
          </cell>
          <cell r="L35">
            <v>5346880</v>
          </cell>
          <cell r="M35">
            <v>5347000</v>
          </cell>
          <cell r="N35">
            <v>641640</v>
          </cell>
          <cell r="O35">
            <v>5988640</v>
          </cell>
          <cell r="P35">
            <v>750000</v>
          </cell>
          <cell r="R35">
            <v>160410</v>
          </cell>
          <cell r="S35">
            <v>103731.8</v>
          </cell>
          <cell r="T35">
            <v>5082858.2</v>
          </cell>
          <cell r="U35">
            <v>50828.582000000002</v>
          </cell>
        </row>
        <row r="36">
          <cell r="D36" t="str">
            <v>3J</v>
          </cell>
          <cell r="E36" t="str">
            <v>1-Bedroom</v>
          </cell>
          <cell r="F36">
            <v>49.85</v>
          </cell>
          <cell r="G36">
            <v>7338960</v>
          </cell>
          <cell r="L36">
            <v>5882300</v>
          </cell>
          <cell r="M36">
            <v>5883000</v>
          </cell>
          <cell r="N36">
            <v>705960</v>
          </cell>
          <cell r="O36">
            <v>6588960</v>
          </cell>
          <cell r="P36">
            <v>750000</v>
          </cell>
          <cell r="R36">
            <v>176490</v>
          </cell>
          <cell r="S36">
            <v>114130.2</v>
          </cell>
          <cell r="T36">
            <v>5592379.7999999998</v>
          </cell>
          <cell r="U36">
            <v>55923.798000000003</v>
          </cell>
        </row>
        <row r="37">
          <cell r="D37" t="str">
            <v>3K</v>
          </cell>
          <cell r="E37" t="str">
            <v>1-Bedroom</v>
          </cell>
          <cell r="F37">
            <v>49.85</v>
          </cell>
          <cell r="G37">
            <v>7338960</v>
          </cell>
          <cell r="L37">
            <v>5882300</v>
          </cell>
          <cell r="M37">
            <v>5883000</v>
          </cell>
          <cell r="N37">
            <v>705960</v>
          </cell>
          <cell r="O37">
            <v>6588960</v>
          </cell>
          <cell r="P37">
            <v>750000</v>
          </cell>
          <cell r="R37">
            <v>176490</v>
          </cell>
          <cell r="S37">
            <v>114130.2</v>
          </cell>
          <cell r="T37">
            <v>5592379.7999999998</v>
          </cell>
          <cell r="U37">
            <v>55923.798000000003</v>
          </cell>
        </row>
        <row r="38">
          <cell r="D38" t="str">
            <v>3L</v>
          </cell>
          <cell r="E38" t="str">
            <v>1-Bedroom</v>
          </cell>
          <cell r="F38">
            <v>43.12</v>
          </cell>
          <cell r="G38">
            <v>6738640</v>
          </cell>
          <cell r="L38">
            <v>5346880</v>
          </cell>
          <cell r="M38">
            <v>5347000</v>
          </cell>
          <cell r="N38">
            <v>641640</v>
          </cell>
          <cell r="O38">
            <v>5988640</v>
          </cell>
          <cell r="P38">
            <v>750000</v>
          </cell>
          <cell r="R38">
            <v>160410</v>
          </cell>
          <cell r="S38">
            <v>103731.8</v>
          </cell>
          <cell r="T38">
            <v>5082858.2</v>
          </cell>
          <cell r="U38">
            <v>50828.582000000002</v>
          </cell>
        </row>
        <row r="39">
          <cell r="D39" t="str">
            <v>3M</v>
          </cell>
          <cell r="E39" t="str">
            <v>2-Bedroom</v>
          </cell>
          <cell r="F39">
            <v>65.599999999999994</v>
          </cell>
          <cell r="G39">
            <v>11403440</v>
          </cell>
          <cell r="L39">
            <v>9511999.9999999981</v>
          </cell>
          <cell r="M39">
            <v>9512000</v>
          </cell>
          <cell r="N39">
            <v>1141440</v>
          </cell>
          <cell r="O39">
            <v>10653440</v>
          </cell>
          <cell r="P39">
            <v>750000</v>
          </cell>
          <cell r="R39">
            <v>285360</v>
          </cell>
          <cell r="S39">
            <v>184532.80000000002</v>
          </cell>
          <cell r="T39">
            <v>9042107.1999999993</v>
          </cell>
          <cell r="U39">
            <v>90421.072</v>
          </cell>
        </row>
        <row r="40">
          <cell r="D40" t="str">
            <v>5A</v>
          </cell>
          <cell r="E40" t="str">
            <v>2-Bedroom</v>
          </cell>
          <cell r="F40">
            <v>68.349999999999994</v>
          </cell>
          <cell r="G40">
            <v>12692560</v>
          </cell>
          <cell r="L40">
            <v>10662600</v>
          </cell>
          <cell r="M40">
            <v>10663000</v>
          </cell>
          <cell r="N40">
            <v>1279560</v>
          </cell>
          <cell r="O40">
            <v>11942560</v>
          </cell>
          <cell r="P40">
            <v>750000</v>
          </cell>
          <cell r="R40">
            <v>319890</v>
          </cell>
          <cell r="S40">
            <v>206862.2</v>
          </cell>
          <cell r="T40">
            <v>10136247.800000001</v>
          </cell>
          <cell r="U40">
            <v>101362.478</v>
          </cell>
        </row>
        <row r="41">
          <cell r="D41" t="str">
            <v>5B</v>
          </cell>
          <cell r="E41" t="str">
            <v>1-Bedroom</v>
          </cell>
          <cell r="F41">
            <v>43.12</v>
          </cell>
          <cell r="G41">
            <v>7946000</v>
          </cell>
          <cell r="L41">
            <v>6424880</v>
          </cell>
          <cell r="M41">
            <v>6425000</v>
          </cell>
          <cell r="N41">
            <v>771000</v>
          </cell>
          <cell r="O41">
            <v>7196000</v>
          </cell>
          <cell r="P41">
            <v>750000</v>
          </cell>
          <cell r="R41">
            <v>192750</v>
          </cell>
          <cell r="S41">
            <v>124645</v>
          </cell>
          <cell r="T41">
            <v>6107605</v>
          </cell>
          <cell r="U41">
            <v>61076.05</v>
          </cell>
        </row>
        <row r="42">
          <cell r="D42" t="str">
            <v>5C</v>
          </cell>
          <cell r="E42" t="str">
            <v>1-Bedroom</v>
          </cell>
          <cell r="F42">
            <v>43.12</v>
          </cell>
          <cell r="G42">
            <v>7946000</v>
          </cell>
          <cell r="L42">
            <v>6424880</v>
          </cell>
          <cell r="M42">
            <v>6425000</v>
          </cell>
          <cell r="N42">
            <v>771000</v>
          </cell>
          <cell r="O42">
            <v>7196000</v>
          </cell>
          <cell r="P42">
            <v>750000</v>
          </cell>
          <cell r="R42">
            <v>192750</v>
          </cell>
          <cell r="S42">
            <v>124645</v>
          </cell>
          <cell r="T42">
            <v>6107605</v>
          </cell>
          <cell r="U42">
            <v>61076.05</v>
          </cell>
        </row>
        <row r="43">
          <cell r="D43" t="str">
            <v>5D</v>
          </cell>
          <cell r="E43" t="str">
            <v>1-Bedroom</v>
          </cell>
          <cell r="F43">
            <v>43.12</v>
          </cell>
          <cell r="G43">
            <v>7946000</v>
          </cell>
          <cell r="L43">
            <v>6424880</v>
          </cell>
          <cell r="M43">
            <v>6425000</v>
          </cell>
          <cell r="N43">
            <v>771000</v>
          </cell>
          <cell r="O43">
            <v>7196000</v>
          </cell>
          <cell r="P43">
            <v>750000</v>
          </cell>
          <cell r="R43">
            <v>192750</v>
          </cell>
          <cell r="S43">
            <v>124645</v>
          </cell>
          <cell r="T43">
            <v>6107605</v>
          </cell>
          <cell r="U43">
            <v>61076.05</v>
          </cell>
        </row>
        <row r="44">
          <cell r="D44" t="str">
            <v>5E</v>
          </cell>
          <cell r="E44" t="str">
            <v>2-Bedroom</v>
          </cell>
          <cell r="F44">
            <v>68.349999999999994</v>
          </cell>
          <cell r="G44">
            <v>13305200</v>
          </cell>
          <cell r="L44">
            <v>11209399.999999998</v>
          </cell>
          <cell r="M44">
            <v>11210000</v>
          </cell>
          <cell r="N44">
            <v>1345200</v>
          </cell>
          <cell r="O44">
            <v>12555200</v>
          </cell>
          <cell r="P44">
            <v>750000</v>
          </cell>
          <cell r="R44">
            <v>336300</v>
          </cell>
          <cell r="S44">
            <v>217474</v>
          </cell>
          <cell r="T44">
            <v>10656226</v>
          </cell>
          <cell r="U44">
            <v>106562.26000000001</v>
          </cell>
        </row>
        <row r="45">
          <cell r="D45" t="str">
            <v>5G</v>
          </cell>
          <cell r="E45" t="str">
            <v>2-Bedroom</v>
          </cell>
          <cell r="F45">
            <v>65.599999999999994</v>
          </cell>
          <cell r="G45">
            <v>11918640</v>
          </cell>
          <cell r="L45">
            <v>9971200</v>
          </cell>
          <cell r="M45">
            <v>9972000</v>
          </cell>
          <cell r="N45">
            <v>1196640</v>
          </cell>
          <cell r="O45">
            <v>11168640</v>
          </cell>
          <cell r="P45">
            <v>750000</v>
          </cell>
          <cell r="R45">
            <v>299160</v>
          </cell>
          <cell r="S45">
            <v>193456.80000000002</v>
          </cell>
          <cell r="T45">
            <v>9479383.1999999993</v>
          </cell>
          <cell r="U45">
            <v>94793.831999999995</v>
          </cell>
        </row>
        <row r="46">
          <cell r="D46" t="str">
            <v>5H</v>
          </cell>
          <cell r="E46" t="str">
            <v>1-Bedroom</v>
          </cell>
          <cell r="F46">
            <v>43.12</v>
          </cell>
          <cell r="G46">
            <v>6836080</v>
          </cell>
          <cell r="L46">
            <v>5433120</v>
          </cell>
          <cell r="M46">
            <v>5434000</v>
          </cell>
          <cell r="N46">
            <v>652080</v>
          </cell>
          <cell r="O46">
            <v>6086080</v>
          </cell>
          <cell r="P46">
            <v>750000</v>
          </cell>
          <cell r="R46">
            <v>163020</v>
          </cell>
          <cell r="S46">
            <v>105419.6</v>
          </cell>
          <cell r="T46">
            <v>5165560.4000000004</v>
          </cell>
          <cell r="U46">
            <v>51655.604000000007</v>
          </cell>
        </row>
        <row r="47">
          <cell r="D47" t="str">
            <v>5J</v>
          </cell>
          <cell r="E47" t="str">
            <v>1-Bedroom</v>
          </cell>
          <cell r="F47">
            <v>49.85</v>
          </cell>
          <cell r="G47">
            <v>7449840</v>
          </cell>
          <cell r="L47">
            <v>5982000</v>
          </cell>
          <cell r="M47">
            <v>5982000</v>
          </cell>
          <cell r="N47">
            <v>717840</v>
          </cell>
          <cell r="O47">
            <v>6699840</v>
          </cell>
          <cell r="P47">
            <v>750000</v>
          </cell>
          <cell r="R47">
            <v>179460</v>
          </cell>
          <cell r="S47">
            <v>116050.8</v>
          </cell>
          <cell r="T47">
            <v>5686489.2000000002</v>
          </cell>
          <cell r="U47">
            <v>56864.892</v>
          </cell>
        </row>
        <row r="48">
          <cell r="D48" t="str">
            <v>5K</v>
          </cell>
          <cell r="E48" t="str">
            <v>1-Bedroom</v>
          </cell>
          <cell r="F48">
            <v>49.85</v>
          </cell>
          <cell r="G48">
            <v>7449840</v>
          </cell>
          <cell r="L48">
            <v>5982000</v>
          </cell>
          <cell r="M48">
            <v>5982000</v>
          </cell>
          <cell r="N48">
            <v>717840</v>
          </cell>
          <cell r="O48">
            <v>6699840</v>
          </cell>
          <cell r="P48">
            <v>750000</v>
          </cell>
          <cell r="R48">
            <v>179460</v>
          </cell>
          <cell r="S48">
            <v>116050.8</v>
          </cell>
          <cell r="T48">
            <v>5686489.2000000002</v>
          </cell>
          <cell r="U48">
            <v>56864.892</v>
          </cell>
        </row>
        <row r="49">
          <cell r="D49" t="str">
            <v>5L</v>
          </cell>
          <cell r="E49" t="str">
            <v>1-Bedroom</v>
          </cell>
          <cell r="F49">
            <v>43.12</v>
          </cell>
          <cell r="G49">
            <v>6836080</v>
          </cell>
          <cell r="L49">
            <v>5433120</v>
          </cell>
          <cell r="M49">
            <v>5434000</v>
          </cell>
          <cell r="N49">
            <v>652080</v>
          </cell>
          <cell r="O49">
            <v>6086080</v>
          </cell>
          <cell r="P49">
            <v>750000</v>
          </cell>
          <cell r="R49">
            <v>163020</v>
          </cell>
          <cell r="S49">
            <v>105419.6</v>
          </cell>
          <cell r="T49">
            <v>5165560.4000000004</v>
          </cell>
          <cell r="U49">
            <v>51655.604000000007</v>
          </cell>
        </row>
        <row r="50">
          <cell r="D50" t="str">
            <v>5M</v>
          </cell>
          <cell r="E50" t="str">
            <v>2-Bedroom</v>
          </cell>
          <cell r="F50">
            <v>65.599999999999994</v>
          </cell>
          <cell r="G50">
            <v>11551280</v>
          </cell>
          <cell r="L50">
            <v>9643199.9999999981</v>
          </cell>
          <cell r="M50">
            <v>9644000</v>
          </cell>
          <cell r="N50">
            <v>1157280</v>
          </cell>
          <cell r="O50">
            <v>10801280</v>
          </cell>
          <cell r="P50">
            <v>750000</v>
          </cell>
          <cell r="R50">
            <v>289320</v>
          </cell>
          <cell r="S50">
            <v>187093.6</v>
          </cell>
          <cell r="T50">
            <v>9167586.4000000004</v>
          </cell>
          <cell r="U50">
            <v>91675.864000000001</v>
          </cell>
        </row>
        <row r="51">
          <cell r="D51">
            <v>91675.8125</v>
          </cell>
          <cell r="E51">
            <v>91675.8125</v>
          </cell>
          <cell r="F51">
            <v>91675.8125</v>
          </cell>
          <cell r="G51" t="str">
            <v>PL1</v>
          </cell>
          <cell r="L51">
            <v>91675.8125</v>
          </cell>
          <cell r="M51">
            <v>91675.8125</v>
          </cell>
          <cell r="N51">
            <v>91675.8125</v>
          </cell>
          <cell r="O51">
            <v>91675.8125</v>
          </cell>
          <cell r="P51">
            <v>91675.8125</v>
          </cell>
        </row>
        <row r="52">
          <cell r="D52" t="str">
            <v>Address</v>
          </cell>
          <cell r="E52" t="str">
            <v>Unit Type</v>
          </cell>
          <cell r="F52" t="str">
            <v>Floor Area
in sqm +/-</v>
          </cell>
          <cell r="G52" t="str">
            <v>TCP*
VAT-In w/ TMGC</v>
          </cell>
          <cell r="L52">
            <v>91675.8125</v>
          </cell>
          <cell r="M52">
            <v>91675.8125</v>
          </cell>
          <cell r="N52">
            <v>91675.8125</v>
          </cell>
          <cell r="O52">
            <v>91675.8125</v>
          </cell>
          <cell r="P52">
            <v>91675.8125</v>
          </cell>
        </row>
        <row r="53">
          <cell r="D53" t="str">
            <v>PA</v>
          </cell>
          <cell r="E53" t="str">
            <v>2-Bedroom</v>
          </cell>
          <cell r="F53">
            <v>68.349999999999994</v>
          </cell>
          <cell r="G53">
            <v>12922160</v>
          </cell>
          <cell r="L53">
            <v>10867649.999999998</v>
          </cell>
          <cell r="M53">
            <v>10868000</v>
          </cell>
          <cell r="N53">
            <v>1304160</v>
          </cell>
          <cell r="O53">
            <v>12172160</v>
          </cell>
          <cell r="P53">
            <v>750000</v>
          </cell>
          <cell r="R53">
            <v>326040</v>
          </cell>
          <cell r="S53">
            <v>210839.2</v>
          </cell>
          <cell r="T53">
            <v>10331120.800000001</v>
          </cell>
          <cell r="U53">
            <v>103311.20800000001</v>
          </cell>
        </row>
        <row r="54">
          <cell r="D54" t="str">
            <v>PB</v>
          </cell>
          <cell r="E54" t="str">
            <v>1-Bedroom</v>
          </cell>
          <cell r="F54">
            <v>43.12</v>
          </cell>
          <cell r="G54">
            <v>8091600</v>
          </cell>
          <cell r="L54">
            <v>6554240</v>
          </cell>
          <cell r="M54">
            <v>6555000</v>
          </cell>
          <cell r="N54">
            <v>786600</v>
          </cell>
          <cell r="O54">
            <v>7341600</v>
          </cell>
          <cell r="P54">
            <v>750000</v>
          </cell>
          <cell r="R54">
            <v>196650</v>
          </cell>
          <cell r="S54">
            <v>127167</v>
          </cell>
          <cell r="T54">
            <v>6231183</v>
          </cell>
          <cell r="U54">
            <v>62311.83</v>
          </cell>
        </row>
        <row r="55">
          <cell r="D55" t="str">
            <v>PC</v>
          </cell>
          <cell r="E55" t="str">
            <v>1-Bedroom</v>
          </cell>
          <cell r="F55">
            <v>43.12</v>
          </cell>
          <cell r="G55">
            <v>8091600</v>
          </cell>
          <cell r="L55">
            <v>6554240</v>
          </cell>
          <cell r="M55">
            <v>6555000</v>
          </cell>
          <cell r="N55">
            <v>786600</v>
          </cell>
          <cell r="O55">
            <v>7341600</v>
          </cell>
          <cell r="P55">
            <v>750000</v>
          </cell>
          <cell r="R55">
            <v>196650</v>
          </cell>
          <cell r="S55">
            <v>127167</v>
          </cell>
          <cell r="T55">
            <v>6231183</v>
          </cell>
          <cell r="U55">
            <v>62311.83</v>
          </cell>
        </row>
        <row r="56">
          <cell r="D56" t="str">
            <v>PD</v>
          </cell>
          <cell r="E56" t="str">
            <v>1-Bedroom</v>
          </cell>
          <cell r="F56">
            <v>43.12</v>
          </cell>
          <cell r="G56">
            <v>8091600</v>
          </cell>
          <cell r="L56">
            <v>6554240</v>
          </cell>
          <cell r="M56">
            <v>6555000</v>
          </cell>
          <cell r="N56">
            <v>786600</v>
          </cell>
          <cell r="O56">
            <v>7341600</v>
          </cell>
          <cell r="P56">
            <v>750000</v>
          </cell>
          <cell r="R56">
            <v>196650</v>
          </cell>
          <cell r="S56">
            <v>127167</v>
          </cell>
          <cell r="T56">
            <v>6231183</v>
          </cell>
          <cell r="U56">
            <v>62311.83</v>
          </cell>
        </row>
        <row r="57">
          <cell r="D57" t="str">
            <v>PE</v>
          </cell>
          <cell r="E57" t="str">
            <v>2-Bedroom</v>
          </cell>
          <cell r="F57">
            <v>68.349999999999994</v>
          </cell>
          <cell r="G57">
            <v>13534800</v>
          </cell>
          <cell r="L57">
            <v>11414449.999999998</v>
          </cell>
          <cell r="M57">
            <v>11415000</v>
          </cell>
          <cell r="N57">
            <v>1369800</v>
          </cell>
          <cell r="O57">
            <v>12784800</v>
          </cell>
          <cell r="P57">
            <v>750000</v>
          </cell>
          <cell r="R57">
            <v>342450</v>
          </cell>
          <cell r="S57">
            <v>221451</v>
          </cell>
          <cell r="T57">
            <v>10851099</v>
          </cell>
          <cell r="U57">
            <v>108510.99</v>
          </cell>
        </row>
        <row r="58">
          <cell r="D58" t="str">
            <v>PG</v>
          </cell>
          <cell r="E58" t="str">
            <v>2-Bedroom</v>
          </cell>
          <cell r="F58">
            <v>65.599999999999994</v>
          </cell>
          <cell r="G58">
            <v>12065360</v>
          </cell>
          <cell r="L58">
            <v>10102400</v>
          </cell>
          <cell r="M58">
            <v>10103000</v>
          </cell>
          <cell r="N58">
            <v>1212360</v>
          </cell>
          <cell r="O58">
            <v>11315360</v>
          </cell>
          <cell r="P58">
            <v>750000</v>
          </cell>
          <cell r="R58">
            <v>303090</v>
          </cell>
          <cell r="S58">
            <v>195998.2</v>
          </cell>
          <cell r="T58">
            <v>9603911.8000000007</v>
          </cell>
          <cell r="U58">
            <v>96039.118000000002</v>
          </cell>
        </row>
        <row r="59">
          <cell r="D59" t="str">
            <v>PH</v>
          </cell>
          <cell r="E59" t="str">
            <v>1-Bedroom</v>
          </cell>
          <cell r="F59">
            <v>43.12</v>
          </cell>
          <cell r="G59">
            <v>6932400</v>
          </cell>
          <cell r="L59">
            <v>5519360</v>
          </cell>
          <cell r="M59">
            <v>5520000</v>
          </cell>
          <cell r="N59">
            <v>662400</v>
          </cell>
          <cell r="O59">
            <v>6182400</v>
          </cell>
          <cell r="P59">
            <v>750000</v>
          </cell>
          <cell r="R59">
            <v>165600</v>
          </cell>
          <cell r="S59">
            <v>107088</v>
          </cell>
          <cell r="T59">
            <v>5247312</v>
          </cell>
          <cell r="U59">
            <v>52473.120000000003</v>
          </cell>
        </row>
        <row r="60">
          <cell r="D60" t="str">
            <v>PJ</v>
          </cell>
          <cell r="E60" t="str">
            <v>1-Bedroom</v>
          </cell>
          <cell r="F60">
            <v>49.85</v>
          </cell>
          <cell r="G60">
            <v>7561840</v>
          </cell>
          <cell r="L60">
            <v>6081700</v>
          </cell>
          <cell r="M60">
            <v>6082000</v>
          </cell>
          <cell r="N60">
            <v>729840</v>
          </cell>
          <cell r="O60">
            <v>6811840</v>
          </cell>
          <cell r="P60">
            <v>750000</v>
          </cell>
          <cell r="R60">
            <v>182460</v>
          </cell>
          <cell r="S60">
            <v>117990.8</v>
          </cell>
          <cell r="T60">
            <v>5781549.2000000002</v>
          </cell>
          <cell r="U60">
            <v>57815.492000000006</v>
          </cell>
        </row>
        <row r="61">
          <cell r="D61" t="str">
            <v>PK</v>
          </cell>
          <cell r="E61" t="str">
            <v>1-Bedroom</v>
          </cell>
          <cell r="F61">
            <v>49.85</v>
          </cell>
          <cell r="G61">
            <v>7561840</v>
          </cell>
          <cell r="L61">
            <v>6081700</v>
          </cell>
          <cell r="M61">
            <v>6082000</v>
          </cell>
          <cell r="N61">
            <v>729840</v>
          </cell>
          <cell r="O61">
            <v>6811840</v>
          </cell>
          <cell r="P61">
            <v>750000</v>
          </cell>
          <cell r="R61">
            <v>182460</v>
          </cell>
          <cell r="S61">
            <v>117990.8</v>
          </cell>
          <cell r="T61">
            <v>5781549.2000000002</v>
          </cell>
          <cell r="U61">
            <v>57815.492000000006</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den suites"/>
      <sheetName val="garden villas"/>
    </sheetNames>
    <sheetDataSet>
      <sheetData sheetId="0" refreshError="1">
        <row r="7">
          <cell r="G7">
            <v>10061680</v>
          </cell>
        </row>
        <row r="8">
          <cell r="G8">
            <v>9150000</v>
          </cell>
        </row>
        <row r="9">
          <cell r="G9">
            <v>9150000</v>
          </cell>
        </row>
        <row r="10">
          <cell r="G10">
            <v>9150000</v>
          </cell>
        </row>
        <row r="11">
          <cell r="G11">
            <v>9150000</v>
          </cell>
        </row>
        <row r="12">
          <cell r="G12">
            <v>10617200</v>
          </cell>
        </row>
        <row r="13">
          <cell r="G13">
            <v>9934000</v>
          </cell>
        </row>
        <row r="14">
          <cell r="G14">
            <v>6546000</v>
          </cell>
        </row>
        <row r="15">
          <cell r="G15">
            <v>7114960</v>
          </cell>
        </row>
        <row r="16">
          <cell r="G16">
            <v>6546000</v>
          </cell>
        </row>
        <row r="17">
          <cell r="G17">
            <v>9566640</v>
          </cell>
        </row>
        <row r="18">
          <cell r="G18">
            <v>12233360</v>
          </cell>
        </row>
        <row r="19">
          <cell r="G19">
            <v>7657040</v>
          </cell>
        </row>
        <row r="20">
          <cell r="G20">
            <v>7657040</v>
          </cell>
        </row>
        <row r="21">
          <cell r="G21">
            <v>7657040</v>
          </cell>
        </row>
        <row r="22">
          <cell r="G22">
            <v>12846000</v>
          </cell>
        </row>
        <row r="23">
          <cell r="G23">
            <v>11624080</v>
          </cell>
        </row>
        <row r="24">
          <cell r="G24">
            <v>6642320</v>
          </cell>
        </row>
        <row r="25">
          <cell r="G25">
            <v>7226960</v>
          </cell>
        </row>
        <row r="26">
          <cell r="G26">
            <v>7226960</v>
          </cell>
        </row>
        <row r="27">
          <cell r="G27">
            <v>6642320</v>
          </cell>
        </row>
        <row r="28">
          <cell r="G28">
            <v>11256720</v>
          </cell>
        </row>
        <row r="29">
          <cell r="G29">
            <v>12462960</v>
          </cell>
        </row>
        <row r="30">
          <cell r="G30">
            <v>7801520</v>
          </cell>
        </row>
        <row r="34">
          <cell r="G34">
            <v>11770800</v>
          </cell>
        </row>
        <row r="35">
          <cell r="G35">
            <v>6738640</v>
          </cell>
        </row>
        <row r="36">
          <cell r="G36">
            <v>7338960</v>
          </cell>
        </row>
        <row r="37">
          <cell r="G37">
            <v>7338960</v>
          </cell>
        </row>
        <row r="38">
          <cell r="G38">
            <v>6738640</v>
          </cell>
        </row>
        <row r="39">
          <cell r="G39">
            <v>11403440</v>
          </cell>
        </row>
        <row r="40">
          <cell r="G40">
            <v>12692560</v>
          </cell>
        </row>
        <row r="41">
          <cell r="G41">
            <v>7946000</v>
          </cell>
        </row>
        <row r="46">
          <cell r="G46">
            <v>6836080</v>
          </cell>
        </row>
        <row r="47">
          <cell r="G47">
            <v>7449840</v>
          </cell>
        </row>
        <row r="48">
          <cell r="G48">
            <v>7449840</v>
          </cell>
        </row>
        <row r="49">
          <cell r="G49">
            <v>6836080</v>
          </cell>
        </row>
        <row r="50">
          <cell r="G50">
            <v>11551280</v>
          </cell>
        </row>
        <row r="51">
          <cell r="G51">
            <v>12922160</v>
          </cell>
        </row>
        <row r="57">
          <cell r="G57">
            <v>6932400</v>
          </cell>
        </row>
        <row r="58">
          <cell r="G58">
            <v>7561840</v>
          </cell>
        </row>
        <row r="59">
          <cell r="G59">
            <v>7561840</v>
          </cell>
        </row>
        <row r="61">
          <cell r="F61">
            <v>65.599999999999994</v>
          </cell>
          <cell r="G61">
            <v>11698000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den suites (sales monitorin)"/>
      <sheetName val="by type"/>
      <sheetName val="Condo 2 pricing study"/>
      <sheetName val="P&amp;L"/>
      <sheetName val="C2 Pricing summary"/>
      <sheetName val="C1 pricing available"/>
      <sheetName val="Sheet1"/>
      <sheetName val="Condo 2 pricing"/>
      <sheetName val="by view"/>
      <sheetName val="C2 vs C1 pricing"/>
      <sheetName val="C2 vs C1 product"/>
      <sheetName val="for memo"/>
      <sheetName val="PRICELIST"/>
      <sheetName val="Payment terms"/>
      <sheetName val="Area"/>
      <sheetName val="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F11">
            <v>67.900000000000006</v>
          </cell>
        </row>
        <row r="12">
          <cell r="F12">
            <v>67.900000000000006</v>
          </cell>
        </row>
        <row r="13">
          <cell r="F13">
            <v>67.900000000000006</v>
          </cell>
        </row>
        <row r="15">
          <cell r="F15">
            <v>101.86</v>
          </cell>
        </row>
        <row r="20">
          <cell r="F20">
            <v>48.15</v>
          </cell>
        </row>
        <row r="21">
          <cell r="F21">
            <v>48.15</v>
          </cell>
        </row>
        <row r="28">
          <cell r="F28">
            <v>48.15</v>
          </cell>
        </row>
        <row r="44">
          <cell r="F44">
            <v>48.15</v>
          </cell>
        </row>
      </sheetData>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ANDREWS (Suites 1)"/>
      <sheetName val="GLENDALE (Villas 2)"/>
      <sheetName val="GLENVIEW Suites 2"/>
      <sheetName val="Glenview availability"/>
      <sheetName val="WESTCHASE (Suites 3)"/>
      <sheetName val="SUNNYVALE (Villas 3)"/>
      <sheetName val="Availability chart"/>
    </sheetNames>
    <sheetDataSet>
      <sheetData sheetId="0"/>
      <sheetData sheetId="1"/>
      <sheetData sheetId="2">
        <row r="10">
          <cell r="G10">
            <v>9291920</v>
          </cell>
        </row>
        <row r="11">
          <cell r="G11">
            <v>8851760</v>
          </cell>
        </row>
        <row r="12">
          <cell r="G12">
            <v>8851760</v>
          </cell>
        </row>
        <row r="13">
          <cell r="G13">
            <v>8851760</v>
          </cell>
        </row>
        <row r="14">
          <cell r="G14">
            <v>14110160</v>
          </cell>
        </row>
        <row r="17">
          <cell r="M17">
            <v>6802200</v>
          </cell>
        </row>
        <row r="19">
          <cell r="G19">
            <v>8267120</v>
          </cell>
        </row>
        <row r="20">
          <cell r="G20">
            <v>8267120</v>
          </cell>
        </row>
        <row r="21">
          <cell r="G21">
            <v>8267120</v>
          </cell>
        </row>
        <row r="27">
          <cell r="G27">
            <v>8767760</v>
          </cell>
        </row>
        <row r="39">
          <cell r="M39">
            <v>7677800</v>
          </cell>
        </row>
        <row r="43">
          <cell r="G43">
            <v>10157680</v>
          </cell>
        </row>
        <row r="48">
          <cell r="G48">
            <v>7112400</v>
          </cell>
        </row>
      </sheetData>
      <sheetData sheetId="3"/>
      <sheetData sheetId="4">
        <row r="10">
          <cell r="G10">
            <v>9868600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E6EB6"/>
  </sheetPr>
  <dimension ref="A1:L29"/>
  <sheetViews>
    <sheetView showGridLines="0" tabSelected="1" zoomScale="85" zoomScaleNormal="85" workbookViewId="0">
      <selection activeCell="C19" sqref="C19:D19"/>
    </sheetView>
  </sheetViews>
  <sheetFormatPr baseColWidth="10" defaultColWidth="0" defaultRowHeight="19" zeroHeight="1"/>
  <cols>
    <col min="1" max="1" width="5.1640625" style="32" customWidth="1"/>
    <col min="2" max="2" width="56.5" style="32" customWidth="1"/>
    <col min="3" max="3" width="50" style="33" customWidth="1"/>
    <col min="4" max="4" width="4.83203125" style="144" customWidth="1"/>
    <col min="5" max="5" width="5.5" style="144" customWidth="1"/>
    <col min="6" max="7" width="30.6640625" style="144" hidden="1" customWidth="1"/>
    <col min="8" max="8" width="30.1640625" style="144" hidden="1" customWidth="1"/>
    <col min="9" max="11" width="0" style="144" hidden="1" customWidth="1"/>
    <col min="12" max="16384" width="9.1640625" style="32" hidden="1"/>
  </cols>
  <sheetData>
    <row r="1" spans="2:12" ht="48.75" customHeight="1">
      <c r="B1" s="31" t="s">
        <v>67</v>
      </c>
    </row>
    <row r="2" spans="2:12" ht="18.75" customHeight="1">
      <c r="B2" s="193" t="s">
        <v>283</v>
      </c>
      <c r="C2" s="193"/>
      <c r="D2" s="33"/>
    </row>
    <row r="3" spans="2:12" ht="18.75" customHeight="1">
      <c r="B3" s="328" t="s">
        <v>284</v>
      </c>
      <c r="C3" s="328"/>
      <c r="D3" s="328"/>
      <c r="E3" s="328"/>
      <c r="F3" s="328"/>
    </row>
    <row r="4" spans="2:12" ht="9.75" customHeight="1" thickBot="1"/>
    <row r="5" spans="2:12">
      <c r="B5" s="252"/>
      <c r="C5" s="253"/>
      <c r="D5" s="254"/>
      <c r="E5" s="146"/>
    </row>
    <row r="6" spans="2:12" ht="40.5" customHeight="1">
      <c r="B6" s="255"/>
      <c r="C6" s="329" t="s">
        <v>327</v>
      </c>
      <c r="D6" s="256"/>
      <c r="E6" s="146"/>
      <c r="H6" s="257"/>
    </row>
    <row r="7" spans="2:12" ht="43.5" customHeight="1">
      <c r="B7" s="258"/>
      <c r="C7" s="330"/>
      <c r="D7" s="256"/>
      <c r="E7" s="146"/>
    </row>
    <row r="8" spans="2:12" ht="18.75" customHeight="1">
      <c r="B8" s="201" t="s">
        <v>1</v>
      </c>
      <c r="C8" s="194">
        <f ca="1">+TODAY()</f>
        <v>43973</v>
      </c>
      <c r="D8" s="256"/>
      <c r="E8" s="146"/>
    </row>
    <row r="9" spans="2:12" ht="18.75" customHeight="1">
      <c r="B9" s="201" t="s">
        <v>0</v>
      </c>
      <c r="C9" s="195" t="s">
        <v>124</v>
      </c>
      <c r="D9" s="256"/>
      <c r="E9" s="146"/>
    </row>
    <row r="10" spans="2:12" ht="18.75" customHeight="1">
      <c r="B10" s="201" t="s">
        <v>31</v>
      </c>
      <c r="C10" s="195" t="s">
        <v>147</v>
      </c>
      <c r="D10" s="256"/>
      <c r="E10" s="146"/>
    </row>
    <row r="11" spans="2:12">
      <c r="B11" s="201" t="s">
        <v>303</v>
      </c>
      <c r="C11" s="202" t="str">
        <f>+VLOOKUP($C$10,' Glenview PL'!$C:$F,2,FALSE)</f>
        <v>1-Bedroom Terrace Suite</v>
      </c>
      <c r="D11" s="259"/>
      <c r="E11" s="256"/>
      <c r="L11" s="144"/>
    </row>
    <row r="12" spans="2:12">
      <c r="B12" s="201" t="s">
        <v>304</v>
      </c>
      <c r="C12" s="203">
        <f>+VLOOKUP($C$10,' Glenview PL'!$C:$F,3,FALSE)</f>
        <v>67.900000000000006</v>
      </c>
      <c r="D12" s="259"/>
      <c r="E12" s="256"/>
      <c r="L12" s="144"/>
    </row>
    <row r="13" spans="2:12">
      <c r="B13" s="201" t="s">
        <v>305</v>
      </c>
      <c r="C13" s="204">
        <f>+VLOOKUP($C$10,' Glenview PL'!$C:$F,4,FALSE)</f>
        <v>8851760</v>
      </c>
      <c r="D13" s="259"/>
      <c r="E13" s="256"/>
      <c r="L13" s="144"/>
    </row>
    <row r="14" spans="2:12" ht="20" thickBot="1">
      <c r="B14" s="35"/>
      <c r="C14" s="36"/>
      <c r="D14" s="145"/>
      <c r="E14" s="146"/>
    </row>
    <row r="15" spans="2:12">
      <c r="B15" s="34"/>
      <c r="C15" s="37"/>
      <c r="D15" s="146"/>
      <c r="E15" s="146"/>
      <c r="H15" s="146"/>
    </row>
    <row r="16" spans="2:12" ht="14.25" customHeight="1" thickBot="1">
      <c r="B16" s="327"/>
      <c r="C16" s="327"/>
      <c r="E16" s="146"/>
      <c r="H16" s="260"/>
    </row>
    <row r="17" spans="2:11" s="261" customFormat="1" ht="35.25" customHeight="1" thickBot="1">
      <c r="B17" s="205" t="s">
        <v>64</v>
      </c>
      <c r="C17" s="333" t="s">
        <v>65</v>
      </c>
      <c r="D17" s="334"/>
      <c r="F17" s="33"/>
      <c r="G17" s="33"/>
      <c r="H17" s="262"/>
      <c r="I17" s="33"/>
      <c r="J17" s="33"/>
      <c r="K17" s="33"/>
    </row>
    <row r="18" spans="2:11" s="261" customFormat="1" ht="35.25" customHeight="1">
      <c r="B18" s="265" t="s">
        <v>216</v>
      </c>
      <c r="C18" s="335" t="s">
        <v>216</v>
      </c>
      <c r="D18" s="336"/>
    </row>
    <row r="19" spans="2:11" s="261" customFormat="1" ht="35.25" customHeight="1">
      <c r="B19" s="266" t="s">
        <v>218</v>
      </c>
      <c r="C19" s="337" t="s">
        <v>218</v>
      </c>
      <c r="D19" s="338"/>
    </row>
    <row r="20" spans="2:11" s="261" customFormat="1" ht="35.25" customHeight="1">
      <c r="B20" s="266" t="s">
        <v>219</v>
      </c>
      <c r="C20" s="337" t="s">
        <v>219</v>
      </c>
      <c r="D20" s="338"/>
    </row>
    <row r="21" spans="2:11" s="261" customFormat="1" ht="35.25" customHeight="1">
      <c r="B21" s="266" t="s">
        <v>301</v>
      </c>
      <c r="C21" s="337" t="s">
        <v>301</v>
      </c>
      <c r="D21" s="338"/>
    </row>
    <row r="22" spans="2:11" s="261" customFormat="1" ht="35.25" customHeight="1">
      <c r="B22" s="267" t="s">
        <v>300</v>
      </c>
      <c r="C22" s="337" t="s">
        <v>300</v>
      </c>
      <c r="D22" s="338"/>
    </row>
    <row r="23" spans="2:11" s="261" customFormat="1" ht="35.25" customHeight="1">
      <c r="B23" s="265" t="s">
        <v>302</v>
      </c>
      <c r="C23" s="339" t="s">
        <v>302</v>
      </c>
      <c r="D23" s="340"/>
      <c r="H23" s="263"/>
    </row>
    <row r="24" spans="2:11" s="261" customFormat="1" ht="35.25" customHeight="1" thickBot="1">
      <c r="B24" s="268" t="s">
        <v>282</v>
      </c>
      <c r="C24" s="331" t="s">
        <v>282</v>
      </c>
      <c r="D24" s="332"/>
      <c r="H24" s="263"/>
    </row>
    <row r="25" spans="2:11" s="261" customFormat="1" ht="35.25" customHeight="1" thickBot="1">
      <c r="B25" s="310" t="s">
        <v>323</v>
      </c>
      <c r="C25" s="325" t="s">
        <v>323</v>
      </c>
      <c r="D25" s="326"/>
      <c r="H25" s="263"/>
    </row>
    <row r="26" spans="2:11" ht="15">
      <c r="B26" s="264"/>
      <c r="C26" s="264"/>
      <c r="H26" s="146"/>
    </row>
    <row r="27" spans="2:11" hidden="1"/>
    <row r="28" spans="2:11" ht="15" hidden="1">
      <c r="B28" s="264"/>
      <c r="C28" s="264"/>
    </row>
    <row r="29" spans="2:11" ht="15" hidden="1">
      <c r="B29" s="144"/>
      <c r="C29" s="144"/>
    </row>
  </sheetData>
  <sheetProtection password="CAF1" sheet="1" selectLockedCells="1"/>
  <mergeCells count="12">
    <mergeCell ref="C25:D25"/>
    <mergeCell ref="B16:C16"/>
    <mergeCell ref="B3:F3"/>
    <mergeCell ref="C6:C7"/>
    <mergeCell ref="C24:D24"/>
    <mergeCell ref="C17:D17"/>
    <mergeCell ref="C18:D18"/>
    <mergeCell ref="C19:D19"/>
    <mergeCell ref="C20:D20"/>
    <mergeCell ref="C21:D21"/>
    <mergeCell ref="C22:D22"/>
    <mergeCell ref="C23:D23"/>
  </mergeCells>
  <hyperlinks>
    <hyperlink ref="C19" location="'DP term1_Member'!Print_Area" display="50% DP, 50% over 60 months" xr:uid="{00000000-0004-0000-0000-000000000000}"/>
    <hyperlink ref="B19" location="'DP Term1_Non-member'!A1" display="50% DP, 50% over 60 months" xr:uid="{00000000-0004-0000-0000-000001000000}"/>
    <hyperlink ref="C20" location="'DP term2_Member'!A1" display="20% DP, 80% over 60 months" xr:uid="{00000000-0004-0000-0000-000002000000}"/>
    <hyperlink ref="B20" location="'DP Term2_Non-mem'!A1" display="20% DP, 80% over 60 months" xr:uid="{00000000-0004-0000-0000-000003000000}"/>
    <hyperlink ref="C18" location="'CASH TERM_Member'!Print_Area" display="80% DP, 20% after 60 months or upon turnover whichever comes first" xr:uid="{00000000-0004-0000-0000-000004000000}"/>
    <hyperlink ref="B18" location="'CASH TERM_Non-Member'!A1" display="80% DP, 20% after 60 months or upon turnover whichever comes first" xr:uid="{00000000-0004-0000-0000-000005000000}"/>
    <hyperlink ref="C21" location="'DP term3_Member'!A1" display="10% DP, 10% in 36 months, 80% LS" xr:uid="{00000000-0004-0000-0000-000006000000}"/>
    <hyperlink ref="B21" location="'DP Term3_Non-mem'!A1" display="10% DP, 10% over 36 months, 80% Lumpsum" xr:uid="{00000000-0004-0000-0000-000007000000}"/>
    <hyperlink ref="C23" location="'NO DP term_Member'!A1" display="20% over 36 months, 80% LS" xr:uid="{00000000-0004-0000-0000-000008000000}"/>
    <hyperlink ref="B23" location="'NO DP term1_Non-mem'!A1" display="10% over 6 months, 10% over 30 months, 80% Lumpsum" xr:uid="{00000000-0004-0000-0000-000009000000}"/>
    <hyperlink ref="B24" location="'NO DP term2_Non-mem'!A1" display="100% over 60 months" xr:uid="{00000000-0004-0000-0000-00000A000000}"/>
    <hyperlink ref="C24" location="'NO DP term 2_Member'!Print_Area" display="100% over 60 months" xr:uid="{00000000-0004-0000-0000-00000B000000}"/>
    <hyperlink ref="B22" location="'DP Term4_Non-mem'!A1" display="5% DP, 20% over 36 months, 75% Lumpsum" xr:uid="{00000000-0004-0000-0000-00000C000000}"/>
    <hyperlink ref="C18:D18" location="'CASH TERM_Member'!A1" display="80% DP, 20% after 60 months or upon turnover whichever comes first" xr:uid="{00000000-0004-0000-0000-00000D000000}"/>
    <hyperlink ref="C22:D22" location="'DP term4_Member'!A1" display="5% DP, 20% over 36 months, 75% Lumpsum" xr:uid="{00000000-0004-0000-0000-00000E000000}"/>
    <hyperlink ref="C23:D23" location="'NO DP term1_Member'!A1" display="10% over 6 months, 10% over 30 months, 80% Lumpsum" xr:uid="{00000000-0004-0000-0000-00000F000000}"/>
    <hyperlink ref="B25" location="'NO DP term3_Non-mem'!A1" display="6% in 12 months, 7% in 12 months, 8% in 12 months, Lumpsum" xr:uid="{00000000-0004-0000-0000-000010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C000"/>
  </sheetPr>
  <dimension ref="A1:E59"/>
  <sheetViews>
    <sheetView showGridLines="0" workbookViewId="0">
      <selection activeCell="B15" sqref="B15"/>
    </sheetView>
  </sheetViews>
  <sheetFormatPr baseColWidth="10" defaultColWidth="9.1640625" defaultRowHeight="14"/>
  <cols>
    <col min="1" max="1" width="16.6640625" style="39" customWidth="1"/>
    <col min="2" max="2" width="12.6640625" style="39" customWidth="1"/>
    <col min="3" max="3" width="16.6640625" style="40" customWidth="1"/>
    <col min="4" max="5" width="15.6640625" style="39" customWidth="1"/>
    <col min="6" max="16384" width="9.1640625" style="39"/>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2"/>
    </row>
    <row r="6" spans="1:5" s="43" customFormat="1">
      <c r="A6" s="48" t="s">
        <v>31</v>
      </c>
      <c r="B6" s="353" t="e">
        <f>VLOOKUP('DATA SHEET'!C10,#REF!, 1, FALSE)</f>
        <v>#REF!</v>
      </c>
      <c r="C6" s="353"/>
      <c r="D6" s="354"/>
    </row>
    <row r="7" spans="1:5" s="43" customFormat="1">
      <c r="A7" s="48" t="s">
        <v>37</v>
      </c>
      <c r="B7" s="355" t="e">
        <f>VLOOKUP('DATA SHEET'!C10,#REF!, 3, FALSE)</f>
        <v>#REF!</v>
      </c>
      <c r="C7" s="355"/>
      <c r="D7" s="356"/>
    </row>
    <row r="8" spans="1:5" s="43" customFormat="1">
      <c r="A8" s="48" t="s">
        <v>57</v>
      </c>
      <c r="B8" s="357" t="e">
        <f>VLOOKUP('DATA SHEET'!C10,#REF!, 5, FALSE)</f>
        <v>#REF!</v>
      </c>
      <c r="C8" s="357"/>
      <c r="D8" s="358"/>
    </row>
    <row r="9" spans="1:5" s="43" customFormat="1">
      <c r="A9" s="49" t="s">
        <v>33</v>
      </c>
      <c r="B9" s="348" t="s">
        <v>91</v>
      </c>
      <c r="C9" s="348"/>
      <c r="D9" s="349"/>
    </row>
    <row r="10" spans="1:5" s="43" customFormat="1">
      <c r="C10" s="45"/>
    </row>
    <row r="11" spans="1:5" s="43" customFormat="1">
      <c r="A11" s="46" t="s">
        <v>55</v>
      </c>
      <c r="C11" s="45"/>
    </row>
    <row r="12" spans="1:5" s="43" customFormat="1">
      <c r="A12" s="43" t="s">
        <v>61</v>
      </c>
      <c r="C12" s="50" t="e">
        <f>B8-750000</f>
        <v>#REF!</v>
      </c>
      <c r="D12" s="45"/>
    </row>
    <row r="13" spans="1:5" s="43" customFormat="1" hidden="1">
      <c r="A13" s="43" t="s">
        <v>123</v>
      </c>
      <c r="B13" s="51">
        <v>0</v>
      </c>
      <c r="C13" s="52" t="e">
        <f>C12*B13</f>
        <v>#REF!</v>
      </c>
      <c r="D13" s="45"/>
    </row>
    <row r="14" spans="1:5" s="43" customFormat="1" hidden="1">
      <c r="C14" s="50" t="e">
        <f>C12-C13</f>
        <v>#REF!</v>
      </c>
      <c r="D14" s="45"/>
    </row>
    <row r="15" spans="1:5" s="43" customFormat="1">
      <c r="A15" s="43" t="s">
        <v>72</v>
      </c>
      <c r="B15" s="51">
        <v>5.0000000000000001E-3</v>
      </c>
      <c r="C15" s="52" t="e">
        <f>IF(B15&lt;=0.5%,C14*B15,"BEYOND MAX DISC.")</f>
        <v>#REF!</v>
      </c>
      <c r="D15" s="45"/>
    </row>
    <row r="16" spans="1:5">
      <c r="C16" s="42" t="e">
        <f>C14-C15</f>
        <v>#REF!</v>
      </c>
      <c r="D16" s="40"/>
    </row>
    <row r="17" spans="1:5">
      <c r="A17" s="39" t="s">
        <v>56</v>
      </c>
      <c r="C17" s="53">
        <v>750000</v>
      </c>
      <c r="D17" s="40"/>
    </row>
    <row r="18" spans="1:5" ht="15" thickBot="1">
      <c r="A18" s="41" t="s">
        <v>58</v>
      </c>
      <c r="B18" s="41"/>
      <c r="C18" s="57" t="e">
        <f>C16+C17</f>
        <v>#REF!</v>
      </c>
      <c r="D18" s="40"/>
    </row>
    <row r="19" spans="1:5" ht="15" thickTop="1"/>
    <row r="20" spans="1:5">
      <c r="A20" s="58" t="s">
        <v>34</v>
      </c>
      <c r="B20" s="58" t="s">
        <v>32</v>
      </c>
      <c r="C20" s="58" t="s">
        <v>2</v>
      </c>
      <c r="D20" s="58" t="s">
        <v>3</v>
      </c>
      <c r="E20" s="58" t="s">
        <v>68</v>
      </c>
    </row>
    <row r="21" spans="1:5">
      <c r="A21" s="59">
        <v>0</v>
      </c>
      <c r="B21" s="60">
        <f ca="1">'DATA SHEET'!C8</f>
        <v>43973</v>
      </c>
      <c r="C21" s="59" t="s">
        <v>38</v>
      </c>
      <c r="D21" s="61">
        <v>100000</v>
      </c>
      <c r="E21" s="62" t="e">
        <f>C18-D21</f>
        <v>#REF!</v>
      </c>
    </row>
    <row r="22" spans="1:5">
      <c r="A22" s="59">
        <v>1</v>
      </c>
      <c r="B22" s="60">
        <f ca="1">EDATE(B21,1)</f>
        <v>44004</v>
      </c>
      <c r="C22" s="59" t="s">
        <v>69</v>
      </c>
      <c r="D22" s="61" t="e">
        <f>(C18*0.2)-D21</f>
        <v>#REF!</v>
      </c>
      <c r="E22" s="62" t="e">
        <f>E21-D22</f>
        <v>#REF!</v>
      </c>
    </row>
    <row r="23" spans="1:5">
      <c r="A23" s="59">
        <v>2</v>
      </c>
      <c r="B23" s="60">
        <f t="shared" ref="B23:B47" ca="1" si="0">EDATE(B22,1)</f>
        <v>44034</v>
      </c>
      <c r="C23" s="59" t="s">
        <v>4</v>
      </c>
      <c r="D23" s="61" t="e">
        <f>(C18*0.1)/24</f>
        <v>#REF!</v>
      </c>
      <c r="E23" s="62" t="e">
        <f t="shared" ref="E23:E46" si="1">E22-D23</f>
        <v>#REF!</v>
      </c>
    </row>
    <row r="24" spans="1:5">
      <c r="A24" s="59">
        <v>3</v>
      </c>
      <c r="B24" s="60">
        <f t="shared" ca="1" si="0"/>
        <v>44065</v>
      </c>
      <c r="C24" s="59" t="s">
        <v>5</v>
      </c>
      <c r="D24" s="61" t="e">
        <f>D23</f>
        <v>#REF!</v>
      </c>
      <c r="E24" s="62" t="e">
        <f t="shared" si="1"/>
        <v>#REF!</v>
      </c>
    </row>
    <row r="25" spans="1:5">
      <c r="A25" s="59">
        <v>4</v>
      </c>
      <c r="B25" s="60">
        <f t="shared" ca="1" si="0"/>
        <v>44096</v>
      </c>
      <c r="C25" s="59" t="s">
        <v>6</v>
      </c>
      <c r="D25" s="61" t="e">
        <f t="shared" ref="D25:D46" si="2">D24</f>
        <v>#REF!</v>
      </c>
      <c r="E25" s="62" t="e">
        <f t="shared" si="1"/>
        <v>#REF!</v>
      </c>
    </row>
    <row r="26" spans="1:5">
      <c r="A26" s="59">
        <v>5</v>
      </c>
      <c r="B26" s="60">
        <f t="shared" ca="1" si="0"/>
        <v>44126</v>
      </c>
      <c r="C26" s="59" t="s">
        <v>7</v>
      </c>
      <c r="D26" s="61" t="e">
        <f t="shared" si="2"/>
        <v>#REF!</v>
      </c>
      <c r="E26" s="62" t="e">
        <f t="shared" si="1"/>
        <v>#REF!</v>
      </c>
    </row>
    <row r="27" spans="1:5">
      <c r="A27" s="59">
        <v>6</v>
      </c>
      <c r="B27" s="60">
        <f t="shared" ca="1" si="0"/>
        <v>44157</v>
      </c>
      <c r="C27" s="59" t="s">
        <v>8</v>
      </c>
      <c r="D27" s="61" t="e">
        <f t="shared" si="2"/>
        <v>#REF!</v>
      </c>
      <c r="E27" s="62" t="e">
        <f t="shared" si="1"/>
        <v>#REF!</v>
      </c>
    </row>
    <row r="28" spans="1:5">
      <c r="A28" s="59">
        <v>7</v>
      </c>
      <c r="B28" s="60">
        <f t="shared" ca="1" si="0"/>
        <v>44187</v>
      </c>
      <c r="C28" s="59" t="s">
        <v>9</v>
      </c>
      <c r="D28" s="61" t="e">
        <f t="shared" si="2"/>
        <v>#REF!</v>
      </c>
      <c r="E28" s="62" t="e">
        <f t="shared" si="1"/>
        <v>#REF!</v>
      </c>
    </row>
    <row r="29" spans="1:5">
      <c r="A29" s="59">
        <v>8</v>
      </c>
      <c r="B29" s="60">
        <f t="shared" ca="1" si="0"/>
        <v>44218</v>
      </c>
      <c r="C29" s="59" t="s">
        <v>10</v>
      </c>
      <c r="D29" s="61" t="e">
        <f t="shared" si="2"/>
        <v>#REF!</v>
      </c>
      <c r="E29" s="62" t="e">
        <f t="shared" si="1"/>
        <v>#REF!</v>
      </c>
    </row>
    <row r="30" spans="1:5">
      <c r="A30" s="59">
        <v>9</v>
      </c>
      <c r="B30" s="60">
        <f t="shared" ca="1" si="0"/>
        <v>44249</v>
      </c>
      <c r="C30" s="59" t="s">
        <v>11</v>
      </c>
      <c r="D30" s="61" t="e">
        <f t="shared" si="2"/>
        <v>#REF!</v>
      </c>
      <c r="E30" s="62" t="e">
        <f t="shared" si="1"/>
        <v>#REF!</v>
      </c>
    </row>
    <row r="31" spans="1:5">
      <c r="A31" s="59">
        <v>10</v>
      </c>
      <c r="B31" s="60">
        <f t="shared" ca="1" si="0"/>
        <v>44277</v>
      </c>
      <c r="C31" s="59" t="s">
        <v>12</v>
      </c>
      <c r="D31" s="61" t="e">
        <f t="shared" si="2"/>
        <v>#REF!</v>
      </c>
      <c r="E31" s="62" t="e">
        <f t="shared" si="1"/>
        <v>#REF!</v>
      </c>
    </row>
    <row r="32" spans="1:5">
      <c r="A32" s="59">
        <v>11</v>
      </c>
      <c r="B32" s="60">
        <f t="shared" ca="1" si="0"/>
        <v>44308</v>
      </c>
      <c r="C32" s="59" t="s">
        <v>13</v>
      </c>
      <c r="D32" s="61" t="e">
        <f t="shared" si="2"/>
        <v>#REF!</v>
      </c>
      <c r="E32" s="62" t="e">
        <f t="shared" si="1"/>
        <v>#REF!</v>
      </c>
    </row>
    <row r="33" spans="1:5">
      <c r="A33" s="59">
        <v>12</v>
      </c>
      <c r="B33" s="60">
        <f t="shared" ca="1" si="0"/>
        <v>44338</v>
      </c>
      <c r="C33" s="59" t="s">
        <v>14</v>
      </c>
      <c r="D33" s="61" t="e">
        <f t="shared" si="2"/>
        <v>#REF!</v>
      </c>
      <c r="E33" s="62" t="e">
        <f t="shared" si="1"/>
        <v>#REF!</v>
      </c>
    </row>
    <row r="34" spans="1:5">
      <c r="A34" s="59">
        <v>13</v>
      </c>
      <c r="B34" s="60">
        <f t="shared" ca="1" si="0"/>
        <v>44369</v>
      </c>
      <c r="C34" s="59" t="s">
        <v>15</v>
      </c>
      <c r="D34" s="61" t="e">
        <f t="shared" si="2"/>
        <v>#REF!</v>
      </c>
      <c r="E34" s="62" t="e">
        <f t="shared" si="1"/>
        <v>#REF!</v>
      </c>
    </row>
    <row r="35" spans="1:5">
      <c r="A35" s="59">
        <v>14</v>
      </c>
      <c r="B35" s="60">
        <f t="shared" ca="1" si="0"/>
        <v>44399</v>
      </c>
      <c r="C35" s="59" t="s">
        <v>19</v>
      </c>
      <c r="D35" s="61" t="e">
        <f t="shared" si="2"/>
        <v>#REF!</v>
      </c>
      <c r="E35" s="62" t="e">
        <f t="shared" si="1"/>
        <v>#REF!</v>
      </c>
    </row>
    <row r="36" spans="1:5">
      <c r="A36" s="59">
        <v>15</v>
      </c>
      <c r="B36" s="60">
        <f t="shared" ca="1" si="0"/>
        <v>44430</v>
      </c>
      <c r="C36" s="59" t="s">
        <v>20</v>
      </c>
      <c r="D36" s="61" t="e">
        <f t="shared" si="2"/>
        <v>#REF!</v>
      </c>
      <c r="E36" s="62" t="e">
        <f t="shared" si="1"/>
        <v>#REF!</v>
      </c>
    </row>
    <row r="37" spans="1:5">
      <c r="A37" s="59">
        <v>16</v>
      </c>
      <c r="B37" s="60">
        <f t="shared" ca="1" si="0"/>
        <v>44461</v>
      </c>
      <c r="C37" s="59" t="s">
        <v>21</v>
      </c>
      <c r="D37" s="61" t="e">
        <f t="shared" si="2"/>
        <v>#REF!</v>
      </c>
      <c r="E37" s="62" t="e">
        <f t="shared" si="1"/>
        <v>#REF!</v>
      </c>
    </row>
    <row r="38" spans="1:5">
      <c r="A38" s="59">
        <v>17</v>
      </c>
      <c r="B38" s="60">
        <f t="shared" ca="1" si="0"/>
        <v>44491</v>
      </c>
      <c r="C38" s="59" t="s">
        <v>22</v>
      </c>
      <c r="D38" s="61" t="e">
        <f t="shared" si="2"/>
        <v>#REF!</v>
      </c>
      <c r="E38" s="62" t="e">
        <f t="shared" si="1"/>
        <v>#REF!</v>
      </c>
    </row>
    <row r="39" spans="1:5">
      <c r="A39" s="59">
        <v>18</v>
      </c>
      <c r="B39" s="60">
        <f t="shared" ca="1" si="0"/>
        <v>44522</v>
      </c>
      <c r="C39" s="59" t="s">
        <v>23</v>
      </c>
      <c r="D39" s="61" t="e">
        <f t="shared" si="2"/>
        <v>#REF!</v>
      </c>
      <c r="E39" s="62" t="e">
        <f t="shared" si="1"/>
        <v>#REF!</v>
      </c>
    </row>
    <row r="40" spans="1:5">
      <c r="A40" s="59">
        <v>19</v>
      </c>
      <c r="B40" s="60">
        <f t="shared" ca="1" si="0"/>
        <v>44552</v>
      </c>
      <c r="C40" s="59" t="s">
        <v>24</v>
      </c>
      <c r="D40" s="61" t="e">
        <f t="shared" si="2"/>
        <v>#REF!</v>
      </c>
      <c r="E40" s="62" t="e">
        <f t="shared" si="1"/>
        <v>#REF!</v>
      </c>
    </row>
    <row r="41" spans="1:5">
      <c r="A41" s="59">
        <v>20</v>
      </c>
      <c r="B41" s="60">
        <f t="shared" ca="1" si="0"/>
        <v>44583</v>
      </c>
      <c r="C41" s="59" t="s">
        <v>25</v>
      </c>
      <c r="D41" s="61" t="e">
        <f t="shared" si="2"/>
        <v>#REF!</v>
      </c>
      <c r="E41" s="62" t="e">
        <f t="shared" si="1"/>
        <v>#REF!</v>
      </c>
    </row>
    <row r="42" spans="1:5">
      <c r="A42" s="59">
        <v>21</v>
      </c>
      <c r="B42" s="60">
        <f t="shared" ca="1" si="0"/>
        <v>44614</v>
      </c>
      <c r="C42" s="59" t="s">
        <v>26</v>
      </c>
      <c r="D42" s="61" t="e">
        <f t="shared" si="2"/>
        <v>#REF!</v>
      </c>
      <c r="E42" s="62" t="e">
        <f t="shared" si="1"/>
        <v>#REF!</v>
      </c>
    </row>
    <row r="43" spans="1:5">
      <c r="A43" s="59">
        <v>22</v>
      </c>
      <c r="B43" s="60">
        <f t="shared" ca="1" si="0"/>
        <v>44642</v>
      </c>
      <c r="C43" s="59" t="s">
        <v>27</v>
      </c>
      <c r="D43" s="61" t="e">
        <f t="shared" si="2"/>
        <v>#REF!</v>
      </c>
      <c r="E43" s="62" t="e">
        <f t="shared" si="1"/>
        <v>#REF!</v>
      </c>
    </row>
    <row r="44" spans="1:5">
      <c r="A44" s="59">
        <v>23</v>
      </c>
      <c r="B44" s="60">
        <f t="shared" ca="1" si="0"/>
        <v>44673</v>
      </c>
      <c r="C44" s="59" t="s">
        <v>28</v>
      </c>
      <c r="D44" s="61" t="e">
        <f t="shared" si="2"/>
        <v>#REF!</v>
      </c>
      <c r="E44" s="62" t="e">
        <f t="shared" si="1"/>
        <v>#REF!</v>
      </c>
    </row>
    <row r="45" spans="1:5">
      <c r="A45" s="59">
        <v>24</v>
      </c>
      <c r="B45" s="60">
        <f t="shared" ca="1" si="0"/>
        <v>44703</v>
      </c>
      <c r="C45" s="59" t="s">
        <v>29</v>
      </c>
      <c r="D45" s="61" t="e">
        <f t="shared" si="2"/>
        <v>#REF!</v>
      </c>
      <c r="E45" s="62" t="e">
        <f t="shared" si="1"/>
        <v>#REF!</v>
      </c>
    </row>
    <row r="46" spans="1:5">
      <c r="A46" s="59">
        <v>25</v>
      </c>
      <c r="B46" s="60">
        <f t="shared" ca="1" si="0"/>
        <v>44734</v>
      </c>
      <c r="C46" s="59" t="s">
        <v>30</v>
      </c>
      <c r="D46" s="61" t="e">
        <f t="shared" si="2"/>
        <v>#REF!</v>
      </c>
      <c r="E46" s="62" t="e">
        <f t="shared" si="1"/>
        <v>#REF!</v>
      </c>
    </row>
    <row r="47" spans="1:5">
      <c r="A47" s="63">
        <v>26</v>
      </c>
      <c r="B47" s="64">
        <f t="shared" ca="1" si="0"/>
        <v>44764</v>
      </c>
      <c r="C47" s="63" t="s">
        <v>39</v>
      </c>
      <c r="D47" s="65" t="e">
        <f>(C18*0.7)</f>
        <v>#REF!</v>
      </c>
      <c r="E47" s="66" t="e">
        <f>E46-D47</f>
        <v>#REF!</v>
      </c>
    </row>
    <row r="48" spans="1:5">
      <c r="A48" s="67"/>
      <c r="B48" s="68"/>
      <c r="C48" s="69" t="s">
        <v>16</v>
      </c>
      <c r="D48" s="70" t="e">
        <f>SUM(D21:D47)</f>
        <v>#REF!</v>
      </c>
      <c r="E48" s="67"/>
    </row>
    <row r="49" spans="1:5">
      <c r="A49" s="71" t="s">
        <v>62</v>
      </c>
      <c r="B49" s="72"/>
      <c r="C49" s="73"/>
      <c r="D49" s="74"/>
      <c r="E49" s="75"/>
    </row>
    <row r="50" spans="1:5">
      <c r="A50" s="76" t="s">
        <v>70</v>
      </c>
      <c r="B50" s="75"/>
      <c r="C50" s="73"/>
      <c r="D50" s="74"/>
      <c r="E50" s="75"/>
    </row>
    <row r="51" spans="1:5">
      <c r="A51" s="76" t="s">
        <v>71</v>
      </c>
      <c r="B51" s="75"/>
      <c r="C51" s="73"/>
      <c r="D51" s="74"/>
      <c r="E51" s="75"/>
    </row>
    <row r="52" spans="1:5">
      <c r="A52" s="76" t="s">
        <v>89</v>
      </c>
      <c r="B52" s="75"/>
      <c r="C52" s="73"/>
      <c r="D52" s="75"/>
      <c r="E52" s="75"/>
    </row>
    <row r="53" spans="1:5">
      <c r="A53" s="76" t="s">
        <v>75</v>
      </c>
      <c r="B53" s="75"/>
      <c r="C53" s="73"/>
      <c r="D53" s="75"/>
      <c r="E53" s="75"/>
    </row>
    <row r="54" spans="1:5">
      <c r="A54" s="76" t="s">
        <v>63</v>
      </c>
      <c r="B54" s="75"/>
      <c r="C54" s="73"/>
      <c r="D54" s="75"/>
      <c r="E54" s="75"/>
    </row>
    <row r="56" spans="1:5">
      <c r="A56" s="39" t="s">
        <v>17</v>
      </c>
    </row>
    <row r="58" spans="1:5">
      <c r="A58" s="77"/>
      <c r="D58" s="77"/>
    </row>
    <row r="59" spans="1:5">
      <c r="A59" s="40" t="s">
        <v>18</v>
      </c>
      <c r="D59" s="40" t="s">
        <v>18</v>
      </c>
    </row>
  </sheetData>
  <sheetProtection password="CAF1" sheet="1" selectLockedCells="1"/>
  <mergeCells count="6">
    <mergeCell ref="B9:D9"/>
    <mergeCell ref="E1:E2"/>
    <mergeCell ref="B5:D5"/>
    <mergeCell ref="B6:D6"/>
    <mergeCell ref="B7:D7"/>
    <mergeCell ref="B8:D8"/>
  </mergeCells>
  <hyperlinks>
    <hyperlink ref="B1" location="'DATA SHEET'!A1" display="HIGHLANDS PRIME, INC." xr:uid="{00000000-0004-0000-09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tint="-0.249977111117893"/>
  </sheetPr>
  <dimension ref="A1:E59"/>
  <sheetViews>
    <sheetView showGridLines="0" workbookViewId="0">
      <selection activeCell="B17" sqref="B17"/>
    </sheetView>
  </sheetViews>
  <sheetFormatPr baseColWidth="10" defaultColWidth="9.1640625" defaultRowHeight="14"/>
  <cols>
    <col min="1" max="1" width="16.6640625" style="39" customWidth="1"/>
    <col min="2" max="2" width="12.6640625" style="39" customWidth="1"/>
    <col min="3" max="3" width="16.6640625" style="40" customWidth="1"/>
    <col min="4" max="5" width="15.6640625" style="39" customWidth="1"/>
    <col min="6" max="16384" width="9.1640625" style="39"/>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2"/>
    </row>
    <row r="6" spans="1:5" s="43" customFormat="1">
      <c r="A6" s="48" t="s">
        <v>31</v>
      </c>
      <c r="B6" s="353" t="e">
        <f>VLOOKUP('DATA SHEET'!C10,#REF!, 1, FALSE)</f>
        <v>#REF!</v>
      </c>
      <c r="C6" s="353"/>
      <c r="D6" s="354"/>
    </row>
    <row r="7" spans="1:5" s="43" customFormat="1">
      <c r="A7" s="48" t="s">
        <v>37</v>
      </c>
      <c r="B7" s="355" t="e">
        <f>VLOOKUP('DATA SHEET'!C10,#REF!, 3, FALSE)</f>
        <v>#REF!</v>
      </c>
      <c r="C7" s="355"/>
      <c r="D7" s="356"/>
    </row>
    <row r="8" spans="1:5" s="43" customFormat="1">
      <c r="A8" s="48" t="s">
        <v>57</v>
      </c>
      <c r="B8" s="357" t="e">
        <f>VLOOKUP('DATA SHEET'!C10,#REF!, 5, FALSE)</f>
        <v>#REF!</v>
      </c>
      <c r="C8" s="357"/>
      <c r="D8" s="358"/>
    </row>
    <row r="9" spans="1:5" s="43" customFormat="1">
      <c r="A9" s="49" t="s">
        <v>33</v>
      </c>
      <c r="B9" s="348" t="s">
        <v>91</v>
      </c>
      <c r="C9" s="348"/>
      <c r="D9" s="349"/>
    </row>
    <row r="10" spans="1:5" s="43" customFormat="1">
      <c r="C10" s="45"/>
    </row>
    <row r="11" spans="1:5" s="43" customFormat="1">
      <c r="A11" s="46" t="s">
        <v>55</v>
      </c>
      <c r="C11" s="45"/>
    </row>
    <row r="12" spans="1:5" s="43" customFormat="1">
      <c r="A12" s="43" t="s">
        <v>57</v>
      </c>
      <c r="C12" s="50" t="e">
        <f>B8</f>
        <v>#REF!</v>
      </c>
      <c r="D12" s="45"/>
    </row>
    <row r="13" spans="1:5" s="43" customFormat="1">
      <c r="A13" s="43" t="s">
        <v>59</v>
      </c>
      <c r="C13" s="52">
        <v>750000</v>
      </c>
      <c r="D13" s="45"/>
    </row>
    <row r="14" spans="1:5" s="43" customFormat="1">
      <c r="C14" s="50" t="e">
        <f>C12-C13</f>
        <v>#REF!</v>
      </c>
      <c r="D14" s="45"/>
    </row>
    <row r="15" spans="1:5" s="43" customFormat="1" hidden="1">
      <c r="A15" s="43" t="s">
        <v>123</v>
      </c>
      <c r="B15" s="51">
        <v>0</v>
      </c>
      <c r="C15" s="52" t="e">
        <f>C14*B15</f>
        <v>#REF!</v>
      </c>
      <c r="D15" s="45"/>
    </row>
    <row r="16" spans="1:5" s="43" customFormat="1" hidden="1">
      <c r="C16" s="50" t="e">
        <f>C14-C15</f>
        <v>#REF!</v>
      </c>
      <c r="D16" s="45"/>
    </row>
    <row r="17" spans="1:5" s="43" customFormat="1">
      <c r="A17" s="43" t="s">
        <v>72</v>
      </c>
      <c r="B17" s="51">
        <v>5.0000000000000001E-3</v>
      </c>
      <c r="C17" s="52" t="e">
        <f>IF(B17&lt;=0.5%,C16*B17,"BEYOND MAX DISC.")</f>
        <v>#REF!</v>
      </c>
      <c r="D17" s="45"/>
    </row>
    <row r="18" spans="1:5" ht="15" thickBot="1">
      <c r="A18" s="41" t="s">
        <v>58</v>
      </c>
      <c r="B18" s="41"/>
      <c r="C18" s="57" t="e">
        <f>C16-C17</f>
        <v>#REF!</v>
      </c>
      <c r="D18" s="40"/>
    </row>
    <row r="19" spans="1:5" ht="15" thickTop="1"/>
    <row r="20" spans="1:5">
      <c r="A20" s="58" t="s">
        <v>34</v>
      </c>
      <c r="B20" s="58" t="s">
        <v>32</v>
      </c>
      <c r="C20" s="58" t="s">
        <v>2</v>
      </c>
      <c r="D20" s="58" t="s">
        <v>3</v>
      </c>
      <c r="E20" s="58" t="s">
        <v>68</v>
      </c>
    </row>
    <row r="21" spans="1:5">
      <c r="A21" s="59">
        <v>0</v>
      </c>
      <c r="B21" s="60">
        <f ca="1">'DATA SHEET'!C8</f>
        <v>43973</v>
      </c>
      <c r="C21" s="59" t="s">
        <v>38</v>
      </c>
      <c r="D21" s="61">
        <v>100000</v>
      </c>
      <c r="E21" s="62" t="e">
        <f>C18-D21</f>
        <v>#REF!</v>
      </c>
    </row>
    <row r="22" spans="1:5">
      <c r="A22" s="59">
        <v>1</v>
      </c>
      <c r="B22" s="60">
        <f ca="1">EDATE(B21,1)</f>
        <v>44004</v>
      </c>
      <c r="C22" s="59" t="s">
        <v>69</v>
      </c>
      <c r="D22" s="61" t="e">
        <f>(C18*0.2)-D21</f>
        <v>#REF!</v>
      </c>
      <c r="E22" s="62" t="e">
        <f>E21-D22</f>
        <v>#REF!</v>
      </c>
    </row>
    <row r="23" spans="1:5">
      <c r="A23" s="59">
        <v>2</v>
      </c>
      <c r="B23" s="60">
        <f t="shared" ref="B23:B47" ca="1" si="0">EDATE(B22,1)</f>
        <v>44034</v>
      </c>
      <c r="C23" s="59" t="s">
        <v>4</v>
      </c>
      <c r="D23" s="61" t="e">
        <f>(C18*0.1)/24</f>
        <v>#REF!</v>
      </c>
      <c r="E23" s="62" t="e">
        <f t="shared" ref="E23:E46" si="1">E22-D23</f>
        <v>#REF!</v>
      </c>
    </row>
    <row r="24" spans="1:5">
      <c r="A24" s="59">
        <v>3</v>
      </c>
      <c r="B24" s="60">
        <f t="shared" ca="1" si="0"/>
        <v>44065</v>
      </c>
      <c r="C24" s="59" t="s">
        <v>5</v>
      </c>
      <c r="D24" s="61" t="e">
        <f>D23</f>
        <v>#REF!</v>
      </c>
      <c r="E24" s="62" t="e">
        <f t="shared" si="1"/>
        <v>#REF!</v>
      </c>
    </row>
    <row r="25" spans="1:5">
      <c r="A25" s="59">
        <v>4</v>
      </c>
      <c r="B25" s="60">
        <f t="shared" ca="1" si="0"/>
        <v>44096</v>
      </c>
      <c r="C25" s="59" t="s">
        <v>6</v>
      </c>
      <c r="D25" s="61" t="e">
        <f t="shared" ref="D25:D46" si="2">D24</f>
        <v>#REF!</v>
      </c>
      <c r="E25" s="62" t="e">
        <f t="shared" si="1"/>
        <v>#REF!</v>
      </c>
    </row>
    <row r="26" spans="1:5">
      <c r="A26" s="59">
        <v>5</v>
      </c>
      <c r="B26" s="60">
        <f t="shared" ca="1" si="0"/>
        <v>44126</v>
      </c>
      <c r="C26" s="59" t="s">
        <v>7</v>
      </c>
      <c r="D26" s="61" t="e">
        <f t="shared" si="2"/>
        <v>#REF!</v>
      </c>
      <c r="E26" s="62" t="e">
        <f t="shared" si="1"/>
        <v>#REF!</v>
      </c>
    </row>
    <row r="27" spans="1:5">
      <c r="A27" s="59">
        <v>6</v>
      </c>
      <c r="B27" s="60">
        <f t="shared" ca="1" si="0"/>
        <v>44157</v>
      </c>
      <c r="C27" s="59" t="s">
        <v>8</v>
      </c>
      <c r="D27" s="61" t="e">
        <f t="shared" si="2"/>
        <v>#REF!</v>
      </c>
      <c r="E27" s="62" t="e">
        <f t="shared" si="1"/>
        <v>#REF!</v>
      </c>
    </row>
    <row r="28" spans="1:5">
      <c r="A28" s="59">
        <v>7</v>
      </c>
      <c r="B28" s="60">
        <f t="shared" ca="1" si="0"/>
        <v>44187</v>
      </c>
      <c r="C28" s="59" t="s">
        <v>9</v>
      </c>
      <c r="D28" s="61" t="e">
        <f t="shared" si="2"/>
        <v>#REF!</v>
      </c>
      <c r="E28" s="62" t="e">
        <f t="shared" si="1"/>
        <v>#REF!</v>
      </c>
    </row>
    <row r="29" spans="1:5">
      <c r="A29" s="59">
        <v>8</v>
      </c>
      <c r="B29" s="60">
        <f t="shared" ca="1" si="0"/>
        <v>44218</v>
      </c>
      <c r="C29" s="59" t="s">
        <v>10</v>
      </c>
      <c r="D29" s="61" t="e">
        <f t="shared" si="2"/>
        <v>#REF!</v>
      </c>
      <c r="E29" s="62" t="e">
        <f t="shared" si="1"/>
        <v>#REF!</v>
      </c>
    </row>
    <row r="30" spans="1:5">
      <c r="A30" s="59">
        <v>9</v>
      </c>
      <c r="B30" s="60">
        <f t="shared" ca="1" si="0"/>
        <v>44249</v>
      </c>
      <c r="C30" s="59" t="s">
        <v>11</v>
      </c>
      <c r="D30" s="61" t="e">
        <f t="shared" si="2"/>
        <v>#REF!</v>
      </c>
      <c r="E30" s="62" t="e">
        <f t="shared" si="1"/>
        <v>#REF!</v>
      </c>
    </row>
    <row r="31" spans="1:5">
      <c r="A31" s="59">
        <v>10</v>
      </c>
      <c r="B31" s="60">
        <f t="shared" ca="1" si="0"/>
        <v>44277</v>
      </c>
      <c r="C31" s="59" t="s">
        <v>12</v>
      </c>
      <c r="D31" s="61" t="e">
        <f t="shared" si="2"/>
        <v>#REF!</v>
      </c>
      <c r="E31" s="62" t="e">
        <f t="shared" si="1"/>
        <v>#REF!</v>
      </c>
    </row>
    <row r="32" spans="1:5">
      <c r="A32" s="59">
        <v>11</v>
      </c>
      <c r="B32" s="60">
        <f t="shared" ca="1" si="0"/>
        <v>44308</v>
      </c>
      <c r="C32" s="59" t="s">
        <v>13</v>
      </c>
      <c r="D32" s="61" t="e">
        <f t="shared" si="2"/>
        <v>#REF!</v>
      </c>
      <c r="E32" s="62" t="e">
        <f t="shared" si="1"/>
        <v>#REF!</v>
      </c>
    </row>
    <row r="33" spans="1:5">
      <c r="A33" s="59">
        <v>12</v>
      </c>
      <c r="B33" s="60">
        <f t="shared" ca="1" si="0"/>
        <v>44338</v>
      </c>
      <c r="C33" s="59" t="s">
        <v>14</v>
      </c>
      <c r="D33" s="61" t="e">
        <f t="shared" si="2"/>
        <v>#REF!</v>
      </c>
      <c r="E33" s="62" t="e">
        <f t="shared" si="1"/>
        <v>#REF!</v>
      </c>
    </row>
    <row r="34" spans="1:5">
      <c r="A34" s="59">
        <v>13</v>
      </c>
      <c r="B34" s="60">
        <f t="shared" ca="1" si="0"/>
        <v>44369</v>
      </c>
      <c r="C34" s="59" t="s">
        <v>15</v>
      </c>
      <c r="D34" s="61" t="e">
        <f t="shared" si="2"/>
        <v>#REF!</v>
      </c>
      <c r="E34" s="62" t="e">
        <f t="shared" si="1"/>
        <v>#REF!</v>
      </c>
    </row>
    <row r="35" spans="1:5">
      <c r="A35" s="59">
        <v>14</v>
      </c>
      <c r="B35" s="60">
        <f t="shared" ca="1" si="0"/>
        <v>44399</v>
      </c>
      <c r="C35" s="59" t="s">
        <v>19</v>
      </c>
      <c r="D35" s="61" t="e">
        <f t="shared" si="2"/>
        <v>#REF!</v>
      </c>
      <c r="E35" s="62" t="e">
        <f t="shared" si="1"/>
        <v>#REF!</v>
      </c>
    </row>
    <row r="36" spans="1:5">
      <c r="A36" s="59">
        <v>15</v>
      </c>
      <c r="B36" s="60">
        <f t="shared" ca="1" si="0"/>
        <v>44430</v>
      </c>
      <c r="C36" s="59" t="s">
        <v>20</v>
      </c>
      <c r="D36" s="61" t="e">
        <f t="shared" si="2"/>
        <v>#REF!</v>
      </c>
      <c r="E36" s="62" t="e">
        <f t="shared" si="1"/>
        <v>#REF!</v>
      </c>
    </row>
    <row r="37" spans="1:5">
      <c r="A37" s="59">
        <v>16</v>
      </c>
      <c r="B37" s="60">
        <f t="shared" ca="1" si="0"/>
        <v>44461</v>
      </c>
      <c r="C37" s="59" t="s">
        <v>21</v>
      </c>
      <c r="D37" s="61" t="e">
        <f t="shared" si="2"/>
        <v>#REF!</v>
      </c>
      <c r="E37" s="62" t="e">
        <f t="shared" si="1"/>
        <v>#REF!</v>
      </c>
    </row>
    <row r="38" spans="1:5">
      <c r="A38" s="59">
        <v>17</v>
      </c>
      <c r="B38" s="60">
        <f t="shared" ca="1" si="0"/>
        <v>44491</v>
      </c>
      <c r="C38" s="59" t="s">
        <v>22</v>
      </c>
      <c r="D38" s="61" t="e">
        <f t="shared" si="2"/>
        <v>#REF!</v>
      </c>
      <c r="E38" s="62" t="e">
        <f t="shared" si="1"/>
        <v>#REF!</v>
      </c>
    </row>
    <row r="39" spans="1:5">
      <c r="A39" s="59">
        <v>18</v>
      </c>
      <c r="B39" s="60">
        <f t="shared" ca="1" si="0"/>
        <v>44522</v>
      </c>
      <c r="C39" s="59" t="s">
        <v>23</v>
      </c>
      <c r="D39" s="61" t="e">
        <f t="shared" si="2"/>
        <v>#REF!</v>
      </c>
      <c r="E39" s="62" t="e">
        <f t="shared" si="1"/>
        <v>#REF!</v>
      </c>
    </row>
    <row r="40" spans="1:5">
      <c r="A40" s="59">
        <v>19</v>
      </c>
      <c r="B40" s="60">
        <f t="shared" ca="1" si="0"/>
        <v>44552</v>
      </c>
      <c r="C40" s="59" t="s">
        <v>24</v>
      </c>
      <c r="D40" s="61" t="e">
        <f t="shared" si="2"/>
        <v>#REF!</v>
      </c>
      <c r="E40" s="62" t="e">
        <f t="shared" si="1"/>
        <v>#REF!</v>
      </c>
    </row>
    <row r="41" spans="1:5">
      <c r="A41" s="59">
        <v>20</v>
      </c>
      <c r="B41" s="60">
        <f t="shared" ca="1" si="0"/>
        <v>44583</v>
      </c>
      <c r="C41" s="59" t="s">
        <v>25</v>
      </c>
      <c r="D41" s="61" t="e">
        <f t="shared" si="2"/>
        <v>#REF!</v>
      </c>
      <c r="E41" s="62" t="e">
        <f t="shared" si="1"/>
        <v>#REF!</v>
      </c>
    </row>
    <row r="42" spans="1:5">
      <c r="A42" s="59">
        <v>21</v>
      </c>
      <c r="B42" s="60">
        <f t="shared" ca="1" si="0"/>
        <v>44614</v>
      </c>
      <c r="C42" s="59" t="s">
        <v>26</v>
      </c>
      <c r="D42" s="61" t="e">
        <f t="shared" si="2"/>
        <v>#REF!</v>
      </c>
      <c r="E42" s="62" t="e">
        <f t="shared" si="1"/>
        <v>#REF!</v>
      </c>
    </row>
    <row r="43" spans="1:5">
      <c r="A43" s="59">
        <v>22</v>
      </c>
      <c r="B43" s="60">
        <f t="shared" ca="1" si="0"/>
        <v>44642</v>
      </c>
      <c r="C43" s="59" t="s">
        <v>27</v>
      </c>
      <c r="D43" s="61" t="e">
        <f t="shared" si="2"/>
        <v>#REF!</v>
      </c>
      <c r="E43" s="62" t="e">
        <f t="shared" si="1"/>
        <v>#REF!</v>
      </c>
    </row>
    <row r="44" spans="1:5">
      <c r="A44" s="59">
        <v>23</v>
      </c>
      <c r="B44" s="60">
        <f t="shared" ca="1" si="0"/>
        <v>44673</v>
      </c>
      <c r="C44" s="59" t="s">
        <v>28</v>
      </c>
      <c r="D44" s="61" t="e">
        <f t="shared" si="2"/>
        <v>#REF!</v>
      </c>
      <c r="E44" s="62" t="e">
        <f t="shared" si="1"/>
        <v>#REF!</v>
      </c>
    </row>
    <row r="45" spans="1:5">
      <c r="A45" s="59">
        <v>24</v>
      </c>
      <c r="B45" s="60">
        <f t="shared" ca="1" si="0"/>
        <v>44703</v>
      </c>
      <c r="C45" s="59" t="s">
        <v>29</v>
      </c>
      <c r="D45" s="61" t="e">
        <f t="shared" si="2"/>
        <v>#REF!</v>
      </c>
      <c r="E45" s="62" t="e">
        <f t="shared" si="1"/>
        <v>#REF!</v>
      </c>
    </row>
    <row r="46" spans="1:5">
      <c r="A46" s="59">
        <v>25</v>
      </c>
      <c r="B46" s="60">
        <f t="shared" ca="1" si="0"/>
        <v>44734</v>
      </c>
      <c r="C46" s="59" t="s">
        <v>30</v>
      </c>
      <c r="D46" s="61" t="e">
        <f t="shared" si="2"/>
        <v>#REF!</v>
      </c>
      <c r="E46" s="62" t="e">
        <f t="shared" si="1"/>
        <v>#REF!</v>
      </c>
    </row>
    <row r="47" spans="1:5">
      <c r="A47" s="63">
        <v>26</v>
      </c>
      <c r="B47" s="64">
        <f t="shared" ca="1" si="0"/>
        <v>44764</v>
      </c>
      <c r="C47" s="63" t="s">
        <v>39</v>
      </c>
      <c r="D47" s="65" t="e">
        <f>(C18*0.7)</f>
        <v>#REF!</v>
      </c>
      <c r="E47" s="66" t="e">
        <f>E46-D47</f>
        <v>#REF!</v>
      </c>
    </row>
    <row r="48" spans="1:5">
      <c r="A48" s="67"/>
      <c r="B48" s="68"/>
      <c r="C48" s="69" t="s">
        <v>16</v>
      </c>
      <c r="D48" s="70" t="e">
        <f>SUM(D21:D47)</f>
        <v>#REF!</v>
      </c>
      <c r="E48" s="67"/>
    </row>
    <row r="49" spans="1:5">
      <c r="A49" s="71" t="s">
        <v>62</v>
      </c>
      <c r="B49" s="72"/>
      <c r="C49" s="73"/>
      <c r="D49" s="74"/>
      <c r="E49" s="75"/>
    </row>
    <row r="50" spans="1:5">
      <c r="A50" s="76" t="s">
        <v>70</v>
      </c>
      <c r="B50" s="75"/>
      <c r="C50" s="73"/>
      <c r="D50" s="74"/>
      <c r="E50" s="75"/>
    </row>
    <row r="51" spans="1:5">
      <c r="A51" s="76" t="s">
        <v>71</v>
      </c>
      <c r="B51" s="75"/>
      <c r="C51" s="73"/>
      <c r="D51" s="74"/>
      <c r="E51" s="75"/>
    </row>
    <row r="52" spans="1:5">
      <c r="A52" s="76" t="s">
        <v>89</v>
      </c>
      <c r="B52" s="75"/>
      <c r="C52" s="73"/>
      <c r="D52" s="75"/>
      <c r="E52" s="75"/>
    </row>
    <row r="53" spans="1:5">
      <c r="A53" s="76" t="s">
        <v>75</v>
      </c>
      <c r="B53" s="75"/>
      <c r="C53" s="73"/>
      <c r="D53" s="75"/>
      <c r="E53" s="75"/>
    </row>
    <row r="54" spans="1:5">
      <c r="A54" s="76" t="s">
        <v>63</v>
      </c>
      <c r="B54" s="75"/>
      <c r="C54" s="73"/>
      <c r="D54" s="75"/>
      <c r="E54" s="75"/>
    </row>
    <row r="56" spans="1:5">
      <c r="A56" s="39" t="s">
        <v>17</v>
      </c>
    </row>
    <row r="58" spans="1:5">
      <c r="A58" s="77"/>
      <c r="D58" s="77"/>
    </row>
    <row r="59" spans="1:5">
      <c r="A59" s="40" t="s">
        <v>18</v>
      </c>
      <c r="D59" s="40" t="s">
        <v>18</v>
      </c>
    </row>
  </sheetData>
  <sheetProtection password="CAF1" sheet="1" selectLockedCells="1"/>
  <mergeCells count="6">
    <mergeCell ref="B9:D9"/>
    <mergeCell ref="E1:E2"/>
    <mergeCell ref="B5:D5"/>
    <mergeCell ref="B6:D6"/>
    <mergeCell ref="B7:D7"/>
    <mergeCell ref="B8:D8"/>
  </mergeCells>
  <hyperlinks>
    <hyperlink ref="B1" location="'DATA SHEET'!A1" display="HIGHLANDS PRIME, INC." xr:uid="{00000000-0004-0000-0A00-000000000000}"/>
  </hyperlinks>
  <printOptions horizontalCentered="1"/>
  <pageMargins left="0.7" right="0.7" top="0.75" bottom="0.5" header="0.3" footer="0.3"/>
  <pageSetup scale="90"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C000"/>
  </sheetPr>
  <dimension ref="A1:E56"/>
  <sheetViews>
    <sheetView showGridLines="0" workbookViewId="0">
      <selection activeCell="B13" sqref="B13"/>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2"/>
    </row>
    <row r="6" spans="1:5" s="43" customFormat="1">
      <c r="A6" s="48" t="s">
        <v>31</v>
      </c>
      <c r="B6" s="353" t="e">
        <f>VLOOKUP('DATA SHEET'!C10,#REF!, 1, FALSE)</f>
        <v>#REF!</v>
      </c>
      <c r="C6" s="353"/>
      <c r="D6" s="354"/>
    </row>
    <row r="7" spans="1:5" s="43" customFormat="1">
      <c r="A7" s="48" t="s">
        <v>37</v>
      </c>
      <c r="B7" s="355" t="e">
        <f>VLOOKUP('DATA SHEET'!C10,#REF!, 3, FALSE)</f>
        <v>#REF!</v>
      </c>
      <c r="C7" s="355"/>
      <c r="D7" s="356"/>
    </row>
    <row r="8" spans="1:5" s="43" customFormat="1">
      <c r="A8" s="48" t="s">
        <v>57</v>
      </c>
      <c r="B8" s="357" t="e">
        <f>VLOOKUP('DATA SHEET'!C10,#REF!, 5, FALSE)</f>
        <v>#REF!</v>
      </c>
      <c r="C8" s="357"/>
      <c r="D8" s="358"/>
    </row>
    <row r="9" spans="1:5" s="43" customFormat="1">
      <c r="A9" s="49" t="s">
        <v>33</v>
      </c>
      <c r="B9" s="348" t="s">
        <v>79</v>
      </c>
      <c r="C9" s="348"/>
      <c r="D9" s="349"/>
    </row>
    <row r="10" spans="1:5" s="43" customFormat="1">
      <c r="C10" s="45"/>
    </row>
    <row r="11" spans="1:5" s="43" customFormat="1">
      <c r="A11" s="46" t="s">
        <v>86</v>
      </c>
      <c r="C11" s="45"/>
    </row>
    <row r="12" spans="1:5" s="43" customFormat="1">
      <c r="A12" s="43" t="s">
        <v>88</v>
      </c>
      <c r="C12" s="89" t="e">
        <f>B8-750000</f>
        <v>#REF!</v>
      </c>
    </row>
    <row r="13" spans="1:5" s="43" customFormat="1">
      <c r="A13" s="43" t="s">
        <v>123</v>
      </c>
      <c r="B13" s="51">
        <v>0.01</v>
      </c>
      <c r="C13" s="90" t="e">
        <f>C12*B13</f>
        <v>#REF!</v>
      </c>
    </row>
    <row r="14" spans="1:5" s="43" customFormat="1">
      <c r="C14" s="89" t="e">
        <f>C12-C13</f>
        <v>#REF!</v>
      </c>
    </row>
    <row r="15" spans="1:5" s="43" customFormat="1">
      <c r="A15" s="43" t="s">
        <v>56</v>
      </c>
      <c r="C15" s="90">
        <v>750000</v>
      </c>
    </row>
    <row r="16" spans="1:5" s="43" customFormat="1" ht="15" thickBot="1">
      <c r="A16" s="46" t="s">
        <v>58</v>
      </c>
      <c r="C16" s="91" t="e">
        <f>C14+C15</f>
        <v>#REF!</v>
      </c>
    </row>
    <row r="17" spans="1:5" s="43" customFormat="1" ht="15" thickTop="1">
      <c r="C17" s="45"/>
    </row>
    <row r="18" spans="1:5">
      <c r="A18" s="9" t="s">
        <v>34</v>
      </c>
      <c r="B18" s="9" t="s">
        <v>32</v>
      </c>
      <c r="C18" s="9" t="s">
        <v>2</v>
      </c>
      <c r="D18" s="9" t="s">
        <v>3</v>
      </c>
      <c r="E18" s="9" t="s">
        <v>68</v>
      </c>
    </row>
    <row r="19" spans="1:5">
      <c r="A19" s="8">
        <v>0</v>
      </c>
      <c r="B19" s="10">
        <f ca="1">'DATA SHEET'!C8</f>
        <v>43973</v>
      </c>
      <c r="C19" s="8" t="s">
        <v>38</v>
      </c>
      <c r="D19" s="11">
        <v>100000</v>
      </c>
      <c r="E19" s="12" t="e">
        <f>B8-D19</f>
        <v>#REF!</v>
      </c>
    </row>
    <row r="20" spans="1:5">
      <c r="A20" s="8">
        <v>1</v>
      </c>
      <c r="B20" s="10">
        <f ca="1">EDATE(B19,1)</f>
        <v>44004</v>
      </c>
      <c r="C20" s="8" t="s">
        <v>80</v>
      </c>
      <c r="D20" s="11" t="e">
        <f>((C16*0.1)-D19)/6</f>
        <v>#REF!</v>
      </c>
      <c r="E20" s="12" t="e">
        <f>E19-D20</f>
        <v>#REF!</v>
      </c>
    </row>
    <row r="21" spans="1:5">
      <c r="A21" s="8">
        <v>2</v>
      </c>
      <c r="B21" s="10">
        <f t="shared" ref="B21:B44" ca="1" si="0">EDATE(B20,1)</f>
        <v>44034</v>
      </c>
      <c r="C21" s="8" t="s">
        <v>81</v>
      </c>
      <c r="D21" s="11" t="e">
        <f>D20</f>
        <v>#REF!</v>
      </c>
      <c r="E21" s="12" t="e">
        <f t="shared" ref="E21:E44" si="1">E20-D21</f>
        <v>#REF!</v>
      </c>
    </row>
    <row r="22" spans="1:5">
      <c r="A22" s="8">
        <v>3</v>
      </c>
      <c r="B22" s="10">
        <f t="shared" ca="1" si="0"/>
        <v>44065</v>
      </c>
      <c r="C22" s="8" t="s">
        <v>82</v>
      </c>
      <c r="D22" s="11" t="e">
        <f>D21</f>
        <v>#REF!</v>
      </c>
      <c r="E22" s="12" t="e">
        <f t="shared" si="1"/>
        <v>#REF!</v>
      </c>
    </row>
    <row r="23" spans="1:5">
      <c r="A23" s="8">
        <v>4</v>
      </c>
      <c r="B23" s="10">
        <f t="shared" ca="1" si="0"/>
        <v>44096</v>
      </c>
      <c r="C23" s="8" t="s">
        <v>83</v>
      </c>
      <c r="D23" s="11" t="e">
        <f t="shared" ref="D23:D43" si="2">D22</f>
        <v>#REF!</v>
      </c>
      <c r="E23" s="12" t="e">
        <f t="shared" si="1"/>
        <v>#REF!</v>
      </c>
    </row>
    <row r="24" spans="1:5">
      <c r="A24" s="8">
        <v>5</v>
      </c>
      <c r="B24" s="10">
        <f t="shared" ca="1" si="0"/>
        <v>44126</v>
      </c>
      <c r="C24" s="8" t="s">
        <v>84</v>
      </c>
      <c r="D24" s="11" t="e">
        <f t="shared" si="2"/>
        <v>#REF!</v>
      </c>
      <c r="E24" s="12" t="e">
        <f t="shared" si="1"/>
        <v>#REF!</v>
      </c>
    </row>
    <row r="25" spans="1:5">
      <c r="A25" s="8">
        <v>6</v>
      </c>
      <c r="B25" s="10">
        <f t="shared" ca="1" si="0"/>
        <v>44157</v>
      </c>
      <c r="C25" s="8" t="s">
        <v>85</v>
      </c>
      <c r="D25" s="11" t="e">
        <f t="shared" si="2"/>
        <v>#REF!</v>
      </c>
      <c r="E25" s="12" t="e">
        <f t="shared" si="1"/>
        <v>#REF!</v>
      </c>
    </row>
    <row r="26" spans="1:5">
      <c r="A26" s="8">
        <v>7</v>
      </c>
      <c r="B26" s="10">
        <f t="shared" ca="1" si="0"/>
        <v>44187</v>
      </c>
      <c r="C26" s="8" t="s">
        <v>4</v>
      </c>
      <c r="D26" s="11" t="e">
        <f>(C16*0.1)/18</f>
        <v>#REF!</v>
      </c>
      <c r="E26" s="12" t="e">
        <f t="shared" si="1"/>
        <v>#REF!</v>
      </c>
    </row>
    <row r="27" spans="1:5">
      <c r="A27" s="8">
        <v>8</v>
      </c>
      <c r="B27" s="10">
        <f t="shared" ca="1" si="0"/>
        <v>44218</v>
      </c>
      <c r="C27" s="8" t="s">
        <v>5</v>
      </c>
      <c r="D27" s="11" t="e">
        <f t="shared" si="2"/>
        <v>#REF!</v>
      </c>
      <c r="E27" s="12" t="e">
        <f t="shared" si="1"/>
        <v>#REF!</v>
      </c>
    </row>
    <row r="28" spans="1:5">
      <c r="A28" s="8">
        <v>9</v>
      </c>
      <c r="B28" s="10">
        <f t="shared" ca="1" si="0"/>
        <v>44249</v>
      </c>
      <c r="C28" s="8" t="s">
        <v>6</v>
      </c>
      <c r="D28" s="11" t="e">
        <f t="shared" si="2"/>
        <v>#REF!</v>
      </c>
      <c r="E28" s="12" t="e">
        <f t="shared" si="1"/>
        <v>#REF!</v>
      </c>
    </row>
    <row r="29" spans="1:5">
      <c r="A29" s="8">
        <v>10</v>
      </c>
      <c r="B29" s="10">
        <f t="shared" ca="1" si="0"/>
        <v>44277</v>
      </c>
      <c r="C29" s="8" t="s">
        <v>7</v>
      </c>
      <c r="D29" s="11" t="e">
        <f t="shared" si="2"/>
        <v>#REF!</v>
      </c>
      <c r="E29" s="12" t="e">
        <f t="shared" si="1"/>
        <v>#REF!</v>
      </c>
    </row>
    <row r="30" spans="1:5">
      <c r="A30" s="8">
        <v>11</v>
      </c>
      <c r="B30" s="10">
        <f t="shared" ca="1" si="0"/>
        <v>44308</v>
      </c>
      <c r="C30" s="8" t="s">
        <v>8</v>
      </c>
      <c r="D30" s="11" t="e">
        <f t="shared" si="2"/>
        <v>#REF!</v>
      </c>
      <c r="E30" s="12" t="e">
        <f t="shared" si="1"/>
        <v>#REF!</v>
      </c>
    </row>
    <row r="31" spans="1:5">
      <c r="A31" s="8">
        <v>12</v>
      </c>
      <c r="B31" s="10">
        <f t="shared" ca="1" si="0"/>
        <v>44338</v>
      </c>
      <c r="C31" s="8" t="s">
        <v>9</v>
      </c>
      <c r="D31" s="11" t="e">
        <f t="shared" si="2"/>
        <v>#REF!</v>
      </c>
      <c r="E31" s="12" t="e">
        <f t="shared" si="1"/>
        <v>#REF!</v>
      </c>
    </row>
    <row r="32" spans="1:5">
      <c r="A32" s="8">
        <v>13</v>
      </c>
      <c r="B32" s="10">
        <f t="shared" ca="1" si="0"/>
        <v>44369</v>
      </c>
      <c r="C32" s="8" t="s">
        <v>10</v>
      </c>
      <c r="D32" s="11" t="e">
        <f t="shared" si="2"/>
        <v>#REF!</v>
      </c>
      <c r="E32" s="12" t="e">
        <f t="shared" si="1"/>
        <v>#REF!</v>
      </c>
    </row>
    <row r="33" spans="1:5">
      <c r="A33" s="8">
        <v>14</v>
      </c>
      <c r="B33" s="10">
        <f t="shared" ca="1" si="0"/>
        <v>44399</v>
      </c>
      <c r="C33" s="8" t="s">
        <v>11</v>
      </c>
      <c r="D33" s="11" t="e">
        <f t="shared" si="2"/>
        <v>#REF!</v>
      </c>
      <c r="E33" s="12" t="e">
        <f t="shared" si="1"/>
        <v>#REF!</v>
      </c>
    </row>
    <row r="34" spans="1:5">
      <c r="A34" s="8">
        <v>15</v>
      </c>
      <c r="B34" s="10">
        <f t="shared" ca="1" si="0"/>
        <v>44430</v>
      </c>
      <c r="C34" s="8" t="s">
        <v>12</v>
      </c>
      <c r="D34" s="11" t="e">
        <f t="shared" si="2"/>
        <v>#REF!</v>
      </c>
      <c r="E34" s="12" t="e">
        <f t="shared" si="1"/>
        <v>#REF!</v>
      </c>
    </row>
    <row r="35" spans="1:5">
      <c r="A35" s="8">
        <v>16</v>
      </c>
      <c r="B35" s="10">
        <f t="shared" ca="1" si="0"/>
        <v>44461</v>
      </c>
      <c r="C35" s="8" t="s">
        <v>13</v>
      </c>
      <c r="D35" s="11" t="e">
        <f t="shared" si="2"/>
        <v>#REF!</v>
      </c>
      <c r="E35" s="12" t="e">
        <f t="shared" si="1"/>
        <v>#REF!</v>
      </c>
    </row>
    <row r="36" spans="1:5">
      <c r="A36" s="8">
        <v>17</v>
      </c>
      <c r="B36" s="10">
        <f t="shared" ca="1" si="0"/>
        <v>44491</v>
      </c>
      <c r="C36" s="8" t="s">
        <v>14</v>
      </c>
      <c r="D36" s="11" t="e">
        <f t="shared" si="2"/>
        <v>#REF!</v>
      </c>
      <c r="E36" s="12" t="e">
        <f t="shared" si="1"/>
        <v>#REF!</v>
      </c>
    </row>
    <row r="37" spans="1:5">
      <c r="A37" s="8">
        <v>18</v>
      </c>
      <c r="B37" s="10">
        <f t="shared" ca="1" si="0"/>
        <v>44522</v>
      </c>
      <c r="C37" s="8" t="s">
        <v>15</v>
      </c>
      <c r="D37" s="11" t="e">
        <f t="shared" si="2"/>
        <v>#REF!</v>
      </c>
      <c r="E37" s="12" t="e">
        <f t="shared" si="1"/>
        <v>#REF!</v>
      </c>
    </row>
    <row r="38" spans="1:5">
      <c r="A38" s="8">
        <v>19</v>
      </c>
      <c r="B38" s="10">
        <f t="shared" ca="1" si="0"/>
        <v>44552</v>
      </c>
      <c r="C38" s="8" t="s">
        <v>19</v>
      </c>
      <c r="D38" s="11" t="e">
        <f t="shared" si="2"/>
        <v>#REF!</v>
      </c>
      <c r="E38" s="12" t="e">
        <f t="shared" si="1"/>
        <v>#REF!</v>
      </c>
    </row>
    <row r="39" spans="1:5">
      <c r="A39" s="8">
        <v>20</v>
      </c>
      <c r="B39" s="10">
        <f t="shared" ca="1" si="0"/>
        <v>44583</v>
      </c>
      <c r="C39" s="8" t="s">
        <v>20</v>
      </c>
      <c r="D39" s="11" t="e">
        <f t="shared" si="2"/>
        <v>#REF!</v>
      </c>
      <c r="E39" s="12" t="e">
        <f t="shared" si="1"/>
        <v>#REF!</v>
      </c>
    </row>
    <row r="40" spans="1:5">
      <c r="A40" s="8">
        <v>21</v>
      </c>
      <c r="B40" s="10">
        <f t="shared" ca="1" si="0"/>
        <v>44614</v>
      </c>
      <c r="C40" s="8" t="s">
        <v>21</v>
      </c>
      <c r="D40" s="11" t="e">
        <f t="shared" si="2"/>
        <v>#REF!</v>
      </c>
      <c r="E40" s="12" t="e">
        <f t="shared" si="1"/>
        <v>#REF!</v>
      </c>
    </row>
    <row r="41" spans="1:5">
      <c r="A41" s="8">
        <v>22</v>
      </c>
      <c r="B41" s="10">
        <f t="shared" ca="1" si="0"/>
        <v>44642</v>
      </c>
      <c r="C41" s="8" t="s">
        <v>22</v>
      </c>
      <c r="D41" s="11" t="e">
        <f t="shared" si="2"/>
        <v>#REF!</v>
      </c>
      <c r="E41" s="12" t="e">
        <f t="shared" si="1"/>
        <v>#REF!</v>
      </c>
    </row>
    <row r="42" spans="1:5">
      <c r="A42" s="8">
        <v>23</v>
      </c>
      <c r="B42" s="10">
        <f t="shared" ca="1" si="0"/>
        <v>44673</v>
      </c>
      <c r="C42" s="8" t="s">
        <v>23</v>
      </c>
      <c r="D42" s="11" t="e">
        <f t="shared" si="2"/>
        <v>#REF!</v>
      </c>
      <c r="E42" s="12" t="e">
        <f t="shared" si="1"/>
        <v>#REF!</v>
      </c>
    </row>
    <row r="43" spans="1:5">
      <c r="A43" s="8">
        <v>24</v>
      </c>
      <c r="B43" s="10">
        <f t="shared" ca="1" si="0"/>
        <v>44703</v>
      </c>
      <c r="C43" s="8" t="s">
        <v>24</v>
      </c>
      <c r="D43" s="11" t="e">
        <f t="shared" si="2"/>
        <v>#REF!</v>
      </c>
      <c r="E43" s="12" t="e">
        <f t="shared" si="1"/>
        <v>#REF!</v>
      </c>
    </row>
    <row r="44" spans="1:5">
      <c r="A44" s="80">
        <v>25</v>
      </c>
      <c r="B44" s="81">
        <f t="shared" ca="1" si="0"/>
        <v>44734</v>
      </c>
      <c r="C44" s="80" t="s">
        <v>39</v>
      </c>
      <c r="D44" s="82" t="e">
        <f>C16*0.8</f>
        <v>#REF!</v>
      </c>
      <c r="E44" s="83" t="e">
        <f t="shared" si="1"/>
        <v>#REF!</v>
      </c>
    </row>
    <row r="45" spans="1:5">
      <c r="A45" s="17"/>
      <c r="B45" s="18"/>
      <c r="C45" s="19" t="s">
        <v>16</v>
      </c>
      <c r="D45" s="20" t="e">
        <f>SUM(D19:D44)</f>
        <v>#REF!</v>
      </c>
      <c r="E45" s="17"/>
    </row>
    <row r="46" spans="1:5">
      <c r="A46" s="3" t="s">
        <v>62</v>
      </c>
      <c r="B46" s="27"/>
      <c r="C46" s="28"/>
      <c r="D46" s="29"/>
      <c r="E46" s="30"/>
    </row>
    <row r="47" spans="1:5">
      <c r="A47" s="4" t="s">
        <v>70</v>
      </c>
      <c r="B47" s="30"/>
      <c r="C47" s="28"/>
      <c r="D47" s="29"/>
      <c r="E47" s="30"/>
    </row>
    <row r="48" spans="1:5">
      <c r="A48" s="4" t="s">
        <v>71</v>
      </c>
      <c r="B48" s="30"/>
      <c r="C48" s="28"/>
      <c r="D48" s="29"/>
      <c r="E48" s="30"/>
    </row>
    <row r="49" spans="1:5">
      <c r="A49" s="4" t="s">
        <v>89</v>
      </c>
      <c r="B49" s="30"/>
      <c r="C49" s="28"/>
      <c r="D49" s="30"/>
      <c r="E49" s="30"/>
    </row>
    <row r="50" spans="1:5">
      <c r="A50" s="4" t="s">
        <v>75</v>
      </c>
      <c r="B50" s="30"/>
      <c r="C50" s="28"/>
      <c r="D50" s="30"/>
      <c r="E50" s="30"/>
    </row>
    <row r="51" spans="1:5">
      <c r="A51" s="4" t="s">
        <v>63</v>
      </c>
      <c r="B51" s="30"/>
      <c r="C51" s="28"/>
      <c r="D51" s="30"/>
      <c r="E51" s="30"/>
    </row>
    <row r="53" spans="1:5">
      <c r="A53" s="1" t="s">
        <v>17</v>
      </c>
    </row>
    <row r="55" spans="1:5">
      <c r="A55" s="5"/>
      <c r="D55" s="5"/>
    </row>
    <row r="56" spans="1:5">
      <c r="A56" s="2" t="s">
        <v>18</v>
      </c>
      <c r="D56" s="2" t="s">
        <v>18</v>
      </c>
    </row>
  </sheetData>
  <sheetProtection password="CAF1" sheet="1" selectLockedCells="1"/>
  <mergeCells count="6">
    <mergeCell ref="B9:D9"/>
    <mergeCell ref="E1:E2"/>
    <mergeCell ref="B5:D5"/>
    <mergeCell ref="B6:D6"/>
    <mergeCell ref="B7:D7"/>
    <mergeCell ref="B8:D8"/>
  </mergeCells>
  <hyperlinks>
    <hyperlink ref="B1" location="'DATA SHEET'!A1" display="HIGHLANDS PRIME, INC." xr:uid="{00000000-0004-0000-0B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6" tint="-0.499984740745262"/>
  </sheetPr>
  <dimension ref="A1:E56"/>
  <sheetViews>
    <sheetView showGridLines="0" workbookViewId="0">
      <selection activeCell="B1" sqref="B1"/>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2"/>
    </row>
    <row r="6" spans="1:5" s="43" customFormat="1">
      <c r="A6" s="48" t="s">
        <v>31</v>
      </c>
      <c r="B6" s="353" t="e">
        <f>VLOOKUP('DATA SHEET'!C10,#REF!, 1, FALSE)</f>
        <v>#REF!</v>
      </c>
      <c r="C6" s="353"/>
      <c r="D6" s="354"/>
    </row>
    <row r="7" spans="1:5" s="43" customFormat="1">
      <c r="A7" s="48" t="s">
        <v>37</v>
      </c>
      <c r="B7" s="355" t="e">
        <f>VLOOKUP('DATA SHEET'!C10,#REF!, 3, FALSE)</f>
        <v>#REF!</v>
      </c>
      <c r="C7" s="355"/>
      <c r="D7" s="356"/>
    </row>
    <row r="8" spans="1:5" s="43" customFormat="1">
      <c r="A8" s="48" t="s">
        <v>57</v>
      </c>
      <c r="B8" s="357" t="e">
        <f>VLOOKUP('DATA SHEET'!C10,#REF!, 5, FALSE)</f>
        <v>#REF!</v>
      </c>
      <c r="C8" s="357"/>
      <c r="D8" s="358"/>
    </row>
    <row r="9" spans="1:5" s="43" customFormat="1">
      <c r="A9" s="49" t="s">
        <v>33</v>
      </c>
      <c r="B9" s="348" t="s">
        <v>79</v>
      </c>
      <c r="C9" s="348"/>
      <c r="D9" s="349"/>
    </row>
    <row r="10" spans="1:5" s="43" customFormat="1">
      <c r="C10" s="45"/>
    </row>
    <row r="11" spans="1:5" s="43" customFormat="1">
      <c r="A11" s="46" t="s">
        <v>86</v>
      </c>
      <c r="C11" s="45"/>
    </row>
    <row r="12" spans="1:5" s="43" customFormat="1">
      <c r="A12" s="43" t="s">
        <v>87</v>
      </c>
      <c r="C12" s="84" t="e">
        <f>B8</f>
        <v>#REF!</v>
      </c>
    </row>
    <row r="13" spans="1:5" s="43" customFormat="1">
      <c r="A13" s="43" t="s">
        <v>59</v>
      </c>
      <c r="C13" s="85">
        <v>750000</v>
      </c>
    </row>
    <row r="14" spans="1:5" s="43" customFormat="1" hidden="1">
      <c r="C14" s="88" t="e">
        <f>C12-C13</f>
        <v>#REF!</v>
      </c>
    </row>
    <row r="15" spans="1:5" s="43" customFormat="1" hidden="1">
      <c r="A15" s="43" t="s">
        <v>126</v>
      </c>
      <c r="B15" s="51">
        <v>0</v>
      </c>
      <c r="C15" s="88" t="e">
        <f>C14*B15</f>
        <v>#REF!</v>
      </c>
    </row>
    <row r="16" spans="1:5" s="43" customFormat="1" ht="15" thickBot="1">
      <c r="A16" s="46" t="s">
        <v>58</v>
      </c>
      <c r="C16" s="86" t="e">
        <f>C14-C15</f>
        <v>#REF!</v>
      </c>
    </row>
    <row r="17" spans="1:5" s="43" customFormat="1" ht="15" thickTop="1">
      <c r="C17" s="45"/>
    </row>
    <row r="18" spans="1:5">
      <c r="A18" s="9" t="s">
        <v>34</v>
      </c>
      <c r="B18" s="9" t="s">
        <v>32</v>
      </c>
      <c r="C18" s="9" t="s">
        <v>2</v>
      </c>
      <c r="D18" s="9" t="s">
        <v>3</v>
      </c>
      <c r="E18" s="9" t="s">
        <v>68</v>
      </c>
    </row>
    <row r="19" spans="1:5">
      <c r="A19" s="8">
        <v>0</v>
      </c>
      <c r="B19" s="10">
        <f ca="1">'DATA SHEET'!C8</f>
        <v>43973</v>
      </c>
      <c r="C19" s="8" t="s">
        <v>38</v>
      </c>
      <c r="D19" s="11">
        <v>100000</v>
      </c>
      <c r="E19" s="12" t="e">
        <f>C16-D19</f>
        <v>#REF!</v>
      </c>
    </row>
    <row r="20" spans="1:5">
      <c r="A20" s="8">
        <v>1</v>
      </c>
      <c r="B20" s="10">
        <f ca="1">EDATE(B19,1)</f>
        <v>44004</v>
      </c>
      <c r="C20" s="8" t="s">
        <v>80</v>
      </c>
      <c r="D20" s="11" t="e">
        <f>((C16*0.1)-D19)/6</f>
        <v>#REF!</v>
      </c>
      <c r="E20" s="12" t="e">
        <f>E19-D20</f>
        <v>#REF!</v>
      </c>
    </row>
    <row r="21" spans="1:5">
      <c r="A21" s="8">
        <v>2</v>
      </c>
      <c r="B21" s="10">
        <f t="shared" ref="B21:B44" ca="1" si="0">EDATE(B20,1)</f>
        <v>44034</v>
      </c>
      <c r="C21" s="8" t="s">
        <v>81</v>
      </c>
      <c r="D21" s="11" t="e">
        <f>D20</f>
        <v>#REF!</v>
      </c>
      <c r="E21" s="12" t="e">
        <f t="shared" ref="E21:E44" si="1">E20-D21</f>
        <v>#REF!</v>
      </c>
    </row>
    <row r="22" spans="1:5">
      <c r="A22" s="8">
        <v>3</v>
      </c>
      <c r="B22" s="10">
        <f t="shared" ca="1" si="0"/>
        <v>44065</v>
      </c>
      <c r="C22" s="8" t="s">
        <v>82</v>
      </c>
      <c r="D22" s="11" t="e">
        <f>D21</f>
        <v>#REF!</v>
      </c>
      <c r="E22" s="12" t="e">
        <f t="shared" si="1"/>
        <v>#REF!</v>
      </c>
    </row>
    <row r="23" spans="1:5">
      <c r="A23" s="8">
        <v>4</v>
      </c>
      <c r="B23" s="10">
        <f t="shared" ca="1" si="0"/>
        <v>44096</v>
      </c>
      <c r="C23" s="8" t="s">
        <v>83</v>
      </c>
      <c r="D23" s="11" t="e">
        <f t="shared" ref="D23:D43" si="2">D22</f>
        <v>#REF!</v>
      </c>
      <c r="E23" s="12" t="e">
        <f t="shared" si="1"/>
        <v>#REF!</v>
      </c>
    </row>
    <row r="24" spans="1:5">
      <c r="A24" s="8">
        <v>5</v>
      </c>
      <c r="B24" s="10">
        <f t="shared" ca="1" si="0"/>
        <v>44126</v>
      </c>
      <c r="C24" s="8" t="s">
        <v>84</v>
      </c>
      <c r="D24" s="11" t="e">
        <f t="shared" si="2"/>
        <v>#REF!</v>
      </c>
      <c r="E24" s="12" t="e">
        <f t="shared" si="1"/>
        <v>#REF!</v>
      </c>
    </row>
    <row r="25" spans="1:5">
      <c r="A25" s="8">
        <v>6</v>
      </c>
      <c r="B25" s="10">
        <f t="shared" ca="1" si="0"/>
        <v>44157</v>
      </c>
      <c r="C25" s="8" t="s">
        <v>85</v>
      </c>
      <c r="D25" s="11" t="e">
        <f t="shared" si="2"/>
        <v>#REF!</v>
      </c>
      <c r="E25" s="12" t="e">
        <f t="shared" si="1"/>
        <v>#REF!</v>
      </c>
    </row>
    <row r="26" spans="1:5">
      <c r="A26" s="8">
        <v>7</v>
      </c>
      <c r="B26" s="10">
        <f t="shared" ca="1" si="0"/>
        <v>44187</v>
      </c>
      <c r="C26" s="8" t="s">
        <v>4</v>
      </c>
      <c r="D26" s="11" t="e">
        <f>(C16*0.1)/18</f>
        <v>#REF!</v>
      </c>
      <c r="E26" s="12" t="e">
        <f t="shared" si="1"/>
        <v>#REF!</v>
      </c>
    </row>
    <row r="27" spans="1:5">
      <c r="A27" s="8">
        <v>8</v>
      </c>
      <c r="B27" s="10">
        <f t="shared" ca="1" si="0"/>
        <v>44218</v>
      </c>
      <c r="C27" s="8" t="s">
        <v>5</v>
      </c>
      <c r="D27" s="11" t="e">
        <f t="shared" si="2"/>
        <v>#REF!</v>
      </c>
      <c r="E27" s="12" t="e">
        <f t="shared" si="1"/>
        <v>#REF!</v>
      </c>
    </row>
    <row r="28" spans="1:5">
      <c r="A28" s="8">
        <v>9</v>
      </c>
      <c r="B28" s="10">
        <f t="shared" ca="1" si="0"/>
        <v>44249</v>
      </c>
      <c r="C28" s="8" t="s">
        <v>6</v>
      </c>
      <c r="D28" s="11" t="e">
        <f t="shared" si="2"/>
        <v>#REF!</v>
      </c>
      <c r="E28" s="12" t="e">
        <f t="shared" si="1"/>
        <v>#REF!</v>
      </c>
    </row>
    <row r="29" spans="1:5">
      <c r="A29" s="8">
        <v>10</v>
      </c>
      <c r="B29" s="10">
        <f t="shared" ca="1" si="0"/>
        <v>44277</v>
      </c>
      <c r="C29" s="8" t="s">
        <v>7</v>
      </c>
      <c r="D29" s="11" t="e">
        <f t="shared" si="2"/>
        <v>#REF!</v>
      </c>
      <c r="E29" s="12" t="e">
        <f t="shared" si="1"/>
        <v>#REF!</v>
      </c>
    </row>
    <row r="30" spans="1:5">
      <c r="A30" s="8">
        <v>11</v>
      </c>
      <c r="B30" s="10">
        <f t="shared" ca="1" si="0"/>
        <v>44308</v>
      </c>
      <c r="C30" s="8" t="s">
        <v>8</v>
      </c>
      <c r="D30" s="11" t="e">
        <f t="shared" si="2"/>
        <v>#REF!</v>
      </c>
      <c r="E30" s="12" t="e">
        <f t="shared" si="1"/>
        <v>#REF!</v>
      </c>
    </row>
    <row r="31" spans="1:5">
      <c r="A31" s="8">
        <v>12</v>
      </c>
      <c r="B31" s="10">
        <f t="shared" ca="1" si="0"/>
        <v>44338</v>
      </c>
      <c r="C31" s="8" t="s">
        <v>9</v>
      </c>
      <c r="D31" s="11" t="e">
        <f t="shared" si="2"/>
        <v>#REF!</v>
      </c>
      <c r="E31" s="12" t="e">
        <f t="shared" si="1"/>
        <v>#REF!</v>
      </c>
    </row>
    <row r="32" spans="1:5">
      <c r="A32" s="8">
        <v>13</v>
      </c>
      <c r="B32" s="10">
        <f t="shared" ca="1" si="0"/>
        <v>44369</v>
      </c>
      <c r="C32" s="8" t="s">
        <v>10</v>
      </c>
      <c r="D32" s="11" t="e">
        <f t="shared" si="2"/>
        <v>#REF!</v>
      </c>
      <c r="E32" s="12" t="e">
        <f t="shared" si="1"/>
        <v>#REF!</v>
      </c>
    </row>
    <row r="33" spans="1:5">
      <c r="A33" s="8">
        <v>14</v>
      </c>
      <c r="B33" s="10">
        <f t="shared" ca="1" si="0"/>
        <v>44399</v>
      </c>
      <c r="C33" s="8" t="s">
        <v>11</v>
      </c>
      <c r="D33" s="11" t="e">
        <f t="shared" si="2"/>
        <v>#REF!</v>
      </c>
      <c r="E33" s="12" t="e">
        <f t="shared" si="1"/>
        <v>#REF!</v>
      </c>
    </row>
    <row r="34" spans="1:5">
      <c r="A34" s="8">
        <v>15</v>
      </c>
      <c r="B34" s="10">
        <f t="shared" ca="1" si="0"/>
        <v>44430</v>
      </c>
      <c r="C34" s="8" t="s">
        <v>12</v>
      </c>
      <c r="D34" s="11" t="e">
        <f t="shared" si="2"/>
        <v>#REF!</v>
      </c>
      <c r="E34" s="12" t="e">
        <f t="shared" si="1"/>
        <v>#REF!</v>
      </c>
    </row>
    <row r="35" spans="1:5">
      <c r="A35" s="8">
        <v>16</v>
      </c>
      <c r="B35" s="10">
        <f t="shared" ca="1" si="0"/>
        <v>44461</v>
      </c>
      <c r="C35" s="8" t="s">
        <v>13</v>
      </c>
      <c r="D35" s="11" t="e">
        <f t="shared" si="2"/>
        <v>#REF!</v>
      </c>
      <c r="E35" s="12" t="e">
        <f t="shared" si="1"/>
        <v>#REF!</v>
      </c>
    </row>
    <row r="36" spans="1:5">
      <c r="A36" s="8">
        <v>17</v>
      </c>
      <c r="B36" s="10">
        <f t="shared" ca="1" si="0"/>
        <v>44491</v>
      </c>
      <c r="C36" s="8" t="s">
        <v>14</v>
      </c>
      <c r="D36" s="11" t="e">
        <f t="shared" si="2"/>
        <v>#REF!</v>
      </c>
      <c r="E36" s="12" t="e">
        <f t="shared" si="1"/>
        <v>#REF!</v>
      </c>
    </row>
    <row r="37" spans="1:5">
      <c r="A37" s="8">
        <v>18</v>
      </c>
      <c r="B37" s="10">
        <f t="shared" ca="1" si="0"/>
        <v>44522</v>
      </c>
      <c r="C37" s="8" t="s">
        <v>15</v>
      </c>
      <c r="D37" s="11" t="e">
        <f t="shared" si="2"/>
        <v>#REF!</v>
      </c>
      <c r="E37" s="12" t="e">
        <f t="shared" si="1"/>
        <v>#REF!</v>
      </c>
    </row>
    <row r="38" spans="1:5">
      <c r="A38" s="8">
        <v>19</v>
      </c>
      <c r="B38" s="10">
        <f t="shared" ca="1" si="0"/>
        <v>44552</v>
      </c>
      <c r="C38" s="8" t="s">
        <v>19</v>
      </c>
      <c r="D38" s="11" t="e">
        <f t="shared" si="2"/>
        <v>#REF!</v>
      </c>
      <c r="E38" s="12" t="e">
        <f t="shared" si="1"/>
        <v>#REF!</v>
      </c>
    </row>
    <row r="39" spans="1:5">
      <c r="A39" s="8">
        <v>20</v>
      </c>
      <c r="B39" s="10">
        <f t="shared" ca="1" si="0"/>
        <v>44583</v>
      </c>
      <c r="C39" s="8" t="s">
        <v>20</v>
      </c>
      <c r="D39" s="11" t="e">
        <f t="shared" si="2"/>
        <v>#REF!</v>
      </c>
      <c r="E39" s="12" t="e">
        <f t="shared" si="1"/>
        <v>#REF!</v>
      </c>
    </row>
    <row r="40" spans="1:5">
      <c r="A40" s="8">
        <v>21</v>
      </c>
      <c r="B40" s="10">
        <f t="shared" ca="1" si="0"/>
        <v>44614</v>
      </c>
      <c r="C40" s="8" t="s">
        <v>21</v>
      </c>
      <c r="D40" s="11" t="e">
        <f t="shared" si="2"/>
        <v>#REF!</v>
      </c>
      <c r="E40" s="12" t="e">
        <f t="shared" si="1"/>
        <v>#REF!</v>
      </c>
    </row>
    <row r="41" spans="1:5">
      <c r="A41" s="8">
        <v>22</v>
      </c>
      <c r="B41" s="10">
        <f t="shared" ca="1" si="0"/>
        <v>44642</v>
      </c>
      <c r="C41" s="8" t="s">
        <v>22</v>
      </c>
      <c r="D41" s="11" t="e">
        <f t="shared" si="2"/>
        <v>#REF!</v>
      </c>
      <c r="E41" s="12" t="e">
        <f t="shared" si="1"/>
        <v>#REF!</v>
      </c>
    </row>
    <row r="42" spans="1:5">
      <c r="A42" s="8">
        <v>23</v>
      </c>
      <c r="B42" s="10">
        <f t="shared" ca="1" si="0"/>
        <v>44673</v>
      </c>
      <c r="C42" s="8" t="s">
        <v>23</v>
      </c>
      <c r="D42" s="11" t="e">
        <f t="shared" si="2"/>
        <v>#REF!</v>
      </c>
      <c r="E42" s="12" t="e">
        <f t="shared" si="1"/>
        <v>#REF!</v>
      </c>
    </row>
    <row r="43" spans="1:5">
      <c r="A43" s="8">
        <v>24</v>
      </c>
      <c r="B43" s="10">
        <f t="shared" ca="1" si="0"/>
        <v>44703</v>
      </c>
      <c r="C43" s="8" t="s">
        <v>24</v>
      </c>
      <c r="D43" s="11" t="e">
        <f t="shared" si="2"/>
        <v>#REF!</v>
      </c>
      <c r="E43" s="12" t="e">
        <f t="shared" si="1"/>
        <v>#REF!</v>
      </c>
    </row>
    <row r="44" spans="1:5">
      <c r="A44" s="80">
        <v>25</v>
      </c>
      <c r="B44" s="81">
        <f t="shared" ca="1" si="0"/>
        <v>44734</v>
      </c>
      <c r="C44" s="80" t="s">
        <v>39</v>
      </c>
      <c r="D44" s="82" t="e">
        <f>C16*0.8</f>
        <v>#REF!</v>
      </c>
      <c r="E44" s="83" t="e">
        <f t="shared" si="1"/>
        <v>#REF!</v>
      </c>
    </row>
    <row r="45" spans="1:5">
      <c r="A45" s="17"/>
      <c r="B45" s="18"/>
      <c r="C45" s="19" t="s">
        <v>16</v>
      </c>
      <c r="D45" s="20" t="e">
        <f>SUM(D19:D44)</f>
        <v>#REF!</v>
      </c>
      <c r="E45" s="17"/>
    </row>
    <row r="46" spans="1:5">
      <c r="A46" s="3" t="s">
        <v>62</v>
      </c>
      <c r="B46" s="27"/>
      <c r="C46" s="28"/>
      <c r="D46" s="29"/>
      <c r="E46" s="30"/>
    </row>
    <row r="47" spans="1:5">
      <c r="A47" s="4" t="s">
        <v>70</v>
      </c>
      <c r="B47" s="30"/>
      <c r="C47" s="28"/>
      <c r="D47" s="29"/>
      <c r="E47" s="30"/>
    </row>
    <row r="48" spans="1:5">
      <c r="A48" s="4" t="s">
        <v>71</v>
      </c>
      <c r="B48" s="30"/>
      <c r="C48" s="28"/>
      <c r="D48" s="29"/>
      <c r="E48" s="30"/>
    </row>
    <row r="49" spans="1:5">
      <c r="A49" s="4" t="s">
        <v>89</v>
      </c>
      <c r="B49" s="30"/>
      <c r="C49" s="28"/>
      <c r="D49" s="30"/>
      <c r="E49" s="30"/>
    </row>
    <row r="50" spans="1:5">
      <c r="A50" s="4" t="s">
        <v>75</v>
      </c>
      <c r="B50" s="30"/>
      <c r="C50" s="28"/>
      <c r="D50" s="30"/>
      <c r="E50" s="30"/>
    </row>
    <row r="51" spans="1:5">
      <c r="A51" s="4" t="s">
        <v>63</v>
      </c>
      <c r="B51" s="30"/>
      <c r="C51" s="28"/>
      <c r="D51" s="30"/>
      <c r="E51" s="30"/>
    </row>
    <row r="53" spans="1:5">
      <c r="A53" s="1" t="s">
        <v>17</v>
      </c>
    </row>
    <row r="55" spans="1:5">
      <c r="A55" s="5"/>
      <c r="D55" s="5"/>
    </row>
    <row r="56" spans="1:5">
      <c r="A56" s="2" t="s">
        <v>18</v>
      </c>
      <c r="D56" s="2" t="s">
        <v>18</v>
      </c>
    </row>
  </sheetData>
  <sheetProtection password="CAF1" sheet="1" selectLockedCells="1"/>
  <mergeCells count="6">
    <mergeCell ref="B9:D9"/>
    <mergeCell ref="E1:E2"/>
    <mergeCell ref="B5:D5"/>
    <mergeCell ref="B6:D6"/>
    <mergeCell ref="B7:D7"/>
    <mergeCell ref="B8:D8"/>
  </mergeCells>
  <hyperlinks>
    <hyperlink ref="B1" location="'DATA SHEET'!A1" display="HIGHLANDS PRIME, INC." xr:uid="{00000000-0004-0000-0C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C000"/>
  </sheetPr>
  <dimension ref="A1:E87"/>
  <sheetViews>
    <sheetView showGridLines="0" zoomScaleNormal="100" workbookViewId="0">
      <selection activeCell="B1" sqref="B1"/>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1"/>
      <c r="E5" s="352"/>
    </row>
    <row r="6" spans="1:5" s="43" customFormat="1">
      <c r="A6" s="48" t="s">
        <v>31</v>
      </c>
      <c r="B6" s="353" t="e">
        <f>VLOOKUP('DATA SHEET'!C10,#REF!, 1, FALSE)</f>
        <v>#REF!</v>
      </c>
      <c r="C6" s="353"/>
      <c r="D6" s="353"/>
      <c r="E6" s="354"/>
    </row>
    <row r="7" spans="1:5" s="43" customFormat="1">
      <c r="A7" s="48" t="s">
        <v>37</v>
      </c>
      <c r="B7" s="355" t="e">
        <f>VLOOKUP('DATA SHEET'!C10,#REF!, 3, FALSE)</f>
        <v>#REF!</v>
      </c>
      <c r="C7" s="355"/>
      <c r="D7" s="355"/>
      <c r="E7" s="356"/>
    </row>
    <row r="8" spans="1:5" s="43" customFormat="1">
      <c r="A8" s="48" t="s">
        <v>57</v>
      </c>
      <c r="B8" s="357" t="e">
        <f>VLOOKUP('DATA SHEET'!C10,#REF!, 5, FALSE)</f>
        <v>#REF!</v>
      </c>
      <c r="C8" s="357"/>
      <c r="D8" s="357"/>
      <c r="E8" s="358"/>
    </row>
    <row r="9" spans="1:5" s="43" customFormat="1">
      <c r="A9" s="49" t="s">
        <v>33</v>
      </c>
      <c r="B9" s="348" t="s">
        <v>92</v>
      </c>
      <c r="C9" s="348"/>
      <c r="D9" s="348"/>
      <c r="E9" s="349"/>
    </row>
    <row r="10" spans="1:5" s="43" customFormat="1">
      <c r="C10" s="45"/>
    </row>
    <row r="11" spans="1:5" s="43" customFormat="1">
      <c r="A11" s="46" t="s">
        <v>55</v>
      </c>
      <c r="C11" s="45"/>
    </row>
    <row r="12" spans="1:5" s="43" customFormat="1">
      <c r="A12" s="43" t="s">
        <v>88</v>
      </c>
      <c r="C12" s="89" t="e">
        <f>B8-750000</f>
        <v>#REF!</v>
      </c>
    </row>
    <row r="13" spans="1:5" s="43" customFormat="1">
      <c r="A13" s="43" t="s">
        <v>123</v>
      </c>
      <c r="B13" s="51">
        <v>0.01</v>
      </c>
      <c r="C13" s="90" t="e">
        <f>C12*B13</f>
        <v>#REF!</v>
      </c>
    </row>
    <row r="14" spans="1:5" s="43" customFormat="1">
      <c r="B14" s="51"/>
      <c r="C14" s="104" t="e">
        <f>C12-C13</f>
        <v>#REF!</v>
      </c>
    </row>
    <row r="15" spans="1:5" s="43" customFormat="1">
      <c r="A15" s="43" t="s">
        <v>56</v>
      </c>
      <c r="B15" s="51"/>
      <c r="C15" s="90">
        <v>750000</v>
      </c>
    </row>
    <row r="16" spans="1:5" s="43" customFormat="1" ht="15" thickBot="1">
      <c r="A16" s="46" t="s">
        <v>58</v>
      </c>
      <c r="C16" s="91" t="e">
        <f>C14+C15</f>
        <v>#REF!</v>
      </c>
    </row>
    <row r="17" spans="1:5" s="43" customFormat="1" ht="15" thickTop="1">
      <c r="C17" s="45"/>
    </row>
    <row r="18" spans="1:5">
      <c r="A18" s="9" t="s">
        <v>34</v>
      </c>
      <c r="B18" s="9" t="s">
        <v>32</v>
      </c>
      <c r="C18" s="9" t="s">
        <v>2</v>
      </c>
      <c r="D18" s="9" t="s">
        <v>3</v>
      </c>
      <c r="E18" s="9" t="s">
        <v>68</v>
      </c>
    </row>
    <row r="19" spans="1:5">
      <c r="A19" s="8">
        <v>0</v>
      </c>
      <c r="B19" s="10">
        <f ca="1">'DATA SHEET'!C8</f>
        <v>43973</v>
      </c>
      <c r="C19" s="8" t="s">
        <v>38</v>
      </c>
      <c r="D19" s="11">
        <v>100000</v>
      </c>
      <c r="E19" s="12" t="e">
        <f>C16-D19</f>
        <v>#REF!</v>
      </c>
    </row>
    <row r="20" spans="1:5">
      <c r="A20" s="8">
        <v>1</v>
      </c>
      <c r="B20" s="10">
        <f ca="1">EDATE(B19,1)</f>
        <v>44004</v>
      </c>
      <c r="C20" s="8" t="s">
        <v>69</v>
      </c>
      <c r="D20" s="11" t="e">
        <f>(C16*0.1)-D19</f>
        <v>#REF!</v>
      </c>
      <c r="E20" s="12" t="e">
        <f>E19-D20</f>
        <v>#REF!</v>
      </c>
    </row>
    <row r="21" spans="1:5">
      <c r="A21" s="8">
        <v>2</v>
      </c>
      <c r="B21" s="10">
        <f t="shared" ref="B21:B75" ca="1" si="0">EDATE(B20,1)</f>
        <v>44034</v>
      </c>
      <c r="C21" s="8" t="s">
        <v>80</v>
      </c>
      <c r="D21" s="11" t="e">
        <f>(C16*0.1)/6</f>
        <v>#REF!</v>
      </c>
      <c r="E21" s="12" t="e">
        <f t="shared" ref="E21:E44" si="1">E20-D21</f>
        <v>#REF!</v>
      </c>
    </row>
    <row r="22" spans="1:5">
      <c r="A22" s="8">
        <v>3</v>
      </c>
      <c r="B22" s="10">
        <f t="shared" ca="1" si="0"/>
        <v>44065</v>
      </c>
      <c r="C22" s="8" t="s">
        <v>81</v>
      </c>
      <c r="D22" s="11" t="e">
        <f>D21</f>
        <v>#REF!</v>
      </c>
      <c r="E22" s="12" t="e">
        <f t="shared" si="1"/>
        <v>#REF!</v>
      </c>
    </row>
    <row r="23" spans="1:5">
      <c r="A23" s="8">
        <v>4</v>
      </c>
      <c r="B23" s="10">
        <f t="shared" ca="1" si="0"/>
        <v>44096</v>
      </c>
      <c r="C23" s="8" t="s">
        <v>82</v>
      </c>
      <c r="D23" s="11" t="e">
        <f t="shared" ref="D23:D74" si="2">D22</f>
        <v>#REF!</v>
      </c>
      <c r="E23" s="12" t="e">
        <f t="shared" si="1"/>
        <v>#REF!</v>
      </c>
    </row>
    <row r="24" spans="1:5">
      <c r="A24" s="8">
        <v>5</v>
      </c>
      <c r="B24" s="10">
        <f t="shared" ca="1" si="0"/>
        <v>44126</v>
      </c>
      <c r="C24" s="8" t="s">
        <v>83</v>
      </c>
      <c r="D24" s="11" t="e">
        <f t="shared" si="2"/>
        <v>#REF!</v>
      </c>
      <c r="E24" s="12" t="e">
        <f t="shared" si="1"/>
        <v>#REF!</v>
      </c>
    </row>
    <row r="25" spans="1:5">
      <c r="A25" s="8">
        <v>6</v>
      </c>
      <c r="B25" s="10">
        <f t="shared" ca="1" si="0"/>
        <v>44157</v>
      </c>
      <c r="C25" s="8" t="s">
        <v>84</v>
      </c>
      <c r="D25" s="11" t="e">
        <f t="shared" si="2"/>
        <v>#REF!</v>
      </c>
      <c r="E25" s="12" t="e">
        <f t="shared" si="1"/>
        <v>#REF!</v>
      </c>
    </row>
    <row r="26" spans="1:5">
      <c r="A26" s="8">
        <v>7</v>
      </c>
      <c r="B26" s="10">
        <f t="shared" ca="1" si="0"/>
        <v>44187</v>
      </c>
      <c r="C26" s="8" t="s">
        <v>85</v>
      </c>
      <c r="D26" s="11" t="e">
        <f t="shared" si="2"/>
        <v>#REF!</v>
      </c>
      <c r="E26" s="12" t="e">
        <f t="shared" si="1"/>
        <v>#REF!</v>
      </c>
    </row>
    <row r="27" spans="1:5">
      <c r="A27" s="8">
        <v>8</v>
      </c>
      <c r="B27" s="10">
        <f t="shared" ca="1" si="0"/>
        <v>44218</v>
      </c>
      <c r="C27" s="8" t="s">
        <v>4</v>
      </c>
      <c r="D27" s="11" t="e">
        <f>(C16*0.3)/48</f>
        <v>#REF!</v>
      </c>
      <c r="E27" s="12" t="e">
        <f t="shared" si="1"/>
        <v>#REF!</v>
      </c>
    </row>
    <row r="28" spans="1:5">
      <c r="A28" s="8">
        <v>9</v>
      </c>
      <c r="B28" s="10">
        <f t="shared" ca="1" si="0"/>
        <v>44249</v>
      </c>
      <c r="C28" s="8" t="s">
        <v>5</v>
      </c>
      <c r="D28" s="11" t="e">
        <f t="shared" si="2"/>
        <v>#REF!</v>
      </c>
      <c r="E28" s="12" t="e">
        <f t="shared" si="1"/>
        <v>#REF!</v>
      </c>
    </row>
    <row r="29" spans="1:5">
      <c r="A29" s="8">
        <v>10</v>
      </c>
      <c r="B29" s="10">
        <f t="shared" ca="1" si="0"/>
        <v>44277</v>
      </c>
      <c r="C29" s="8" t="s">
        <v>6</v>
      </c>
      <c r="D29" s="11" t="e">
        <f t="shared" si="2"/>
        <v>#REF!</v>
      </c>
      <c r="E29" s="12" t="e">
        <f t="shared" si="1"/>
        <v>#REF!</v>
      </c>
    </row>
    <row r="30" spans="1:5">
      <c r="A30" s="8">
        <v>11</v>
      </c>
      <c r="B30" s="10">
        <f t="shared" ca="1" si="0"/>
        <v>44308</v>
      </c>
      <c r="C30" s="8" t="s">
        <v>7</v>
      </c>
      <c r="D30" s="11" t="e">
        <f t="shared" si="2"/>
        <v>#REF!</v>
      </c>
      <c r="E30" s="12" t="e">
        <f t="shared" si="1"/>
        <v>#REF!</v>
      </c>
    </row>
    <row r="31" spans="1:5">
      <c r="A31" s="8">
        <v>12</v>
      </c>
      <c r="B31" s="10">
        <f t="shared" ca="1" si="0"/>
        <v>44338</v>
      </c>
      <c r="C31" s="8" t="s">
        <v>8</v>
      </c>
      <c r="D31" s="11" t="e">
        <f t="shared" si="2"/>
        <v>#REF!</v>
      </c>
      <c r="E31" s="12" t="e">
        <f t="shared" si="1"/>
        <v>#REF!</v>
      </c>
    </row>
    <row r="32" spans="1:5">
      <c r="A32" s="8">
        <v>13</v>
      </c>
      <c r="B32" s="10">
        <f t="shared" ca="1" si="0"/>
        <v>44369</v>
      </c>
      <c r="C32" s="8" t="s">
        <v>9</v>
      </c>
      <c r="D32" s="11" t="e">
        <f t="shared" si="2"/>
        <v>#REF!</v>
      </c>
      <c r="E32" s="12" t="e">
        <f t="shared" si="1"/>
        <v>#REF!</v>
      </c>
    </row>
    <row r="33" spans="1:5">
      <c r="A33" s="8">
        <v>14</v>
      </c>
      <c r="B33" s="10">
        <f t="shared" ca="1" si="0"/>
        <v>44399</v>
      </c>
      <c r="C33" s="8" t="s">
        <v>10</v>
      </c>
      <c r="D33" s="11" t="e">
        <f t="shared" si="2"/>
        <v>#REF!</v>
      </c>
      <c r="E33" s="12" t="e">
        <f t="shared" si="1"/>
        <v>#REF!</v>
      </c>
    </row>
    <row r="34" spans="1:5">
      <c r="A34" s="8">
        <v>15</v>
      </c>
      <c r="B34" s="10">
        <f t="shared" ca="1" si="0"/>
        <v>44430</v>
      </c>
      <c r="C34" s="8" t="s">
        <v>11</v>
      </c>
      <c r="D34" s="11" t="e">
        <f t="shared" si="2"/>
        <v>#REF!</v>
      </c>
      <c r="E34" s="12" t="e">
        <f t="shared" si="1"/>
        <v>#REF!</v>
      </c>
    </row>
    <row r="35" spans="1:5">
      <c r="A35" s="8">
        <v>16</v>
      </c>
      <c r="B35" s="10">
        <f t="shared" ca="1" si="0"/>
        <v>44461</v>
      </c>
      <c r="C35" s="8" t="s">
        <v>12</v>
      </c>
      <c r="D35" s="11" t="e">
        <f t="shared" si="2"/>
        <v>#REF!</v>
      </c>
      <c r="E35" s="12" t="e">
        <f t="shared" si="1"/>
        <v>#REF!</v>
      </c>
    </row>
    <row r="36" spans="1:5">
      <c r="A36" s="8">
        <v>17</v>
      </c>
      <c r="B36" s="10">
        <f t="shared" ca="1" si="0"/>
        <v>44491</v>
      </c>
      <c r="C36" s="8" t="s">
        <v>13</v>
      </c>
      <c r="D36" s="11" t="e">
        <f t="shared" si="2"/>
        <v>#REF!</v>
      </c>
      <c r="E36" s="12" t="e">
        <f t="shared" si="1"/>
        <v>#REF!</v>
      </c>
    </row>
    <row r="37" spans="1:5">
      <c r="A37" s="8">
        <v>18</v>
      </c>
      <c r="B37" s="10">
        <f t="shared" ca="1" si="0"/>
        <v>44522</v>
      </c>
      <c r="C37" s="8" t="s">
        <v>14</v>
      </c>
      <c r="D37" s="11" t="e">
        <f t="shared" si="2"/>
        <v>#REF!</v>
      </c>
      <c r="E37" s="12" t="e">
        <f t="shared" si="1"/>
        <v>#REF!</v>
      </c>
    </row>
    <row r="38" spans="1:5">
      <c r="A38" s="8">
        <v>19</v>
      </c>
      <c r="B38" s="10">
        <f t="shared" ca="1" si="0"/>
        <v>44552</v>
      </c>
      <c r="C38" s="8" t="s">
        <v>15</v>
      </c>
      <c r="D38" s="11" t="e">
        <f t="shared" si="2"/>
        <v>#REF!</v>
      </c>
      <c r="E38" s="12" t="e">
        <f t="shared" si="1"/>
        <v>#REF!</v>
      </c>
    </row>
    <row r="39" spans="1:5">
      <c r="A39" s="8">
        <v>20</v>
      </c>
      <c r="B39" s="10">
        <f t="shared" ca="1" si="0"/>
        <v>44583</v>
      </c>
      <c r="C39" s="8" t="s">
        <v>19</v>
      </c>
      <c r="D39" s="11" t="e">
        <f t="shared" si="2"/>
        <v>#REF!</v>
      </c>
      <c r="E39" s="12" t="e">
        <f t="shared" si="1"/>
        <v>#REF!</v>
      </c>
    </row>
    <row r="40" spans="1:5">
      <c r="A40" s="8">
        <v>21</v>
      </c>
      <c r="B40" s="10">
        <f t="shared" ca="1" si="0"/>
        <v>44614</v>
      </c>
      <c r="C40" s="8" t="s">
        <v>20</v>
      </c>
      <c r="D40" s="11" t="e">
        <f t="shared" si="2"/>
        <v>#REF!</v>
      </c>
      <c r="E40" s="12" t="e">
        <f t="shared" si="1"/>
        <v>#REF!</v>
      </c>
    </row>
    <row r="41" spans="1:5">
      <c r="A41" s="8">
        <v>22</v>
      </c>
      <c r="B41" s="10">
        <f t="shared" ca="1" si="0"/>
        <v>44642</v>
      </c>
      <c r="C41" s="8" t="s">
        <v>21</v>
      </c>
      <c r="D41" s="11" t="e">
        <f t="shared" si="2"/>
        <v>#REF!</v>
      </c>
      <c r="E41" s="12" t="e">
        <f t="shared" si="1"/>
        <v>#REF!</v>
      </c>
    </row>
    <row r="42" spans="1:5">
      <c r="A42" s="8">
        <v>23</v>
      </c>
      <c r="B42" s="10">
        <f t="shared" ca="1" si="0"/>
        <v>44673</v>
      </c>
      <c r="C42" s="8" t="s">
        <v>22</v>
      </c>
      <c r="D42" s="11" t="e">
        <f t="shared" si="2"/>
        <v>#REF!</v>
      </c>
      <c r="E42" s="12" t="e">
        <f t="shared" si="1"/>
        <v>#REF!</v>
      </c>
    </row>
    <row r="43" spans="1:5">
      <c r="A43" s="8">
        <v>24</v>
      </c>
      <c r="B43" s="10">
        <f t="shared" ca="1" si="0"/>
        <v>44703</v>
      </c>
      <c r="C43" s="8" t="s">
        <v>23</v>
      </c>
      <c r="D43" s="11" t="e">
        <f t="shared" si="2"/>
        <v>#REF!</v>
      </c>
      <c r="E43" s="12" t="e">
        <f t="shared" si="1"/>
        <v>#REF!</v>
      </c>
    </row>
    <row r="44" spans="1:5">
      <c r="A44" s="8">
        <v>25</v>
      </c>
      <c r="B44" s="10">
        <f t="shared" ca="1" si="0"/>
        <v>44734</v>
      </c>
      <c r="C44" s="8" t="s">
        <v>24</v>
      </c>
      <c r="D44" s="11" t="e">
        <f t="shared" si="2"/>
        <v>#REF!</v>
      </c>
      <c r="E44" s="12" t="e">
        <f t="shared" si="1"/>
        <v>#REF!</v>
      </c>
    </row>
    <row r="45" spans="1:5">
      <c r="A45" s="8">
        <v>26</v>
      </c>
      <c r="B45" s="10">
        <f t="shared" ca="1" si="0"/>
        <v>44764</v>
      </c>
      <c r="C45" s="8" t="s">
        <v>25</v>
      </c>
      <c r="D45" s="11" t="e">
        <f t="shared" si="2"/>
        <v>#REF!</v>
      </c>
      <c r="E45" s="12" t="e">
        <f t="shared" ref="E45:E74" si="3">E44-D45</f>
        <v>#REF!</v>
      </c>
    </row>
    <row r="46" spans="1:5">
      <c r="A46" s="8">
        <v>27</v>
      </c>
      <c r="B46" s="10">
        <f t="shared" ca="1" si="0"/>
        <v>44795</v>
      </c>
      <c r="C46" s="8" t="s">
        <v>26</v>
      </c>
      <c r="D46" s="11" t="e">
        <f t="shared" si="2"/>
        <v>#REF!</v>
      </c>
      <c r="E46" s="12" t="e">
        <f t="shared" si="3"/>
        <v>#REF!</v>
      </c>
    </row>
    <row r="47" spans="1:5">
      <c r="A47" s="8">
        <v>28</v>
      </c>
      <c r="B47" s="10">
        <f t="shared" ca="1" si="0"/>
        <v>44826</v>
      </c>
      <c r="C47" s="8" t="s">
        <v>27</v>
      </c>
      <c r="D47" s="11" t="e">
        <f t="shared" si="2"/>
        <v>#REF!</v>
      </c>
      <c r="E47" s="12" t="e">
        <f t="shared" si="3"/>
        <v>#REF!</v>
      </c>
    </row>
    <row r="48" spans="1:5">
      <c r="A48" s="8">
        <v>29</v>
      </c>
      <c r="B48" s="10">
        <f t="shared" ca="1" si="0"/>
        <v>44856</v>
      </c>
      <c r="C48" s="8" t="s">
        <v>28</v>
      </c>
      <c r="D48" s="11" t="e">
        <f t="shared" si="2"/>
        <v>#REF!</v>
      </c>
      <c r="E48" s="12" t="e">
        <f t="shared" si="3"/>
        <v>#REF!</v>
      </c>
    </row>
    <row r="49" spans="1:5">
      <c r="A49" s="8">
        <v>30</v>
      </c>
      <c r="B49" s="10">
        <f t="shared" ca="1" si="0"/>
        <v>44887</v>
      </c>
      <c r="C49" s="8" t="s">
        <v>29</v>
      </c>
      <c r="D49" s="11" t="e">
        <f t="shared" si="2"/>
        <v>#REF!</v>
      </c>
      <c r="E49" s="12" t="e">
        <f t="shared" si="3"/>
        <v>#REF!</v>
      </c>
    </row>
    <row r="50" spans="1:5">
      <c r="A50" s="8">
        <v>31</v>
      </c>
      <c r="B50" s="10">
        <f t="shared" ca="1" si="0"/>
        <v>44917</v>
      </c>
      <c r="C50" s="8" t="s">
        <v>30</v>
      </c>
      <c r="D50" s="11" t="e">
        <f t="shared" si="2"/>
        <v>#REF!</v>
      </c>
      <c r="E50" s="12" t="e">
        <f t="shared" si="3"/>
        <v>#REF!</v>
      </c>
    </row>
    <row r="51" spans="1:5">
      <c r="A51" s="8">
        <v>32</v>
      </c>
      <c r="B51" s="10">
        <f t="shared" ca="1" si="0"/>
        <v>44948</v>
      </c>
      <c r="C51" s="8" t="s">
        <v>48</v>
      </c>
      <c r="D51" s="11" t="e">
        <f t="shared" si="2"/>
        <v>#REF!</v>
      </c>
      <c r="E51" s="12" t="e">
        <f t="shared" si="3"/>
        <v>#REF!</v>
      </c>
    </row>
    <row r="52" spans="1:5">
      <c r="A52" s="8">
        <v>33</v>
      </c>
      <c r="B52" s="10">
        <f t="shared" ca="1" si="0"/>
        <v>44979</v>
      </c>
      <c r="C52" s="8" t="s">
        <v>49</v>
      </c>
      <c r="D52" s="11" t="e">
        <f t="shared" si="2"/>
        <v>#REF!</v>
      </c>
      <c r="E52" s="12" t="e">
        <f t="shared" si="3"/>
        <v>#REF!</v>
      </c>
    </row>
    <row r="53" spans="1:5">
      <c r="A53" s="8">
        <v>34</v>
      </c>
      <c r="B53" s="10">
        <f t="shared" ca="1" si="0"/>
        <v>45007</v>
      </c>
      <c r="C53" s="8" t="s">
        <v>50</v>
      </c>
      <c r="D53" s="11" t="e">
        <f t="shared" si="2"/>
        <v>#REF!</v>
      </c>
      <c r="E53" s="12" t="e">
        <f t="shared" si="3"/>
        <v>#REF!</v>
      </c>
    </row>
    <row r="54" spans="1:5">
      <c r="A54" s="8">
        <v>35</v>
      </c>
      <c r="B54" s="10">
        <f t="shared" ca="1" si="0"/>
        <v>45038</v>
      </c>
      <c r="C54" s="8" t="s">
        <v>51</v>
      </c>
      <c r="D54" s="11" t="e">
        <f t="shared" si="2"/>
        <v>#REF!</v>
      </c>
      <c r="E54" s="12" t="e">
        <f t="shared" si="3"/>
        <v>#REF!</v>
      </c>
    </row>
    <row r="55" spans="1:5">
      <c r="A55" s="8">
        <v>36</v>
      </c>
      <c r="B55" s="10">
        <f t="shared" ca="1" si="0"/>
        <v>45068</v>
      </c>
      <c r="C55" s="8" t="s">
        <v>52</v>
      </c>
      <c r="D55" s="11" t="e">
        <f t="shared" si="2"/>
        <v>#REF!</v>
      </c>
      <c r="E55" s="12" t="e">
        <f t="shared" si="3"/>
        <v>#REF!</v>
      </c>
    </row>
    <row r="56" spans="1:5">
      <c r="A56" s="100">
        <v>37</v>
      </c>
      <c r="B56" s="101">
        <f t="shared" ca="1" si="0"/>
        <v>45099</v>
      </c>
      <c r="C56" s="100" t="s">
        <v>53</v>
      </c>
      <c r="D56" s="102" t="e">
        <f t="shared" si="2"/>
        <v>#REF!</v>
      </c>
      <c r="E56" s="103" t="e">
        <f t="shared" si="3"/>
        <v>#REF!</v>
      </c>
    </row>
    <row r="57" spans="1:5">
      <c r="A57" s="92">
        <v>38</v>
      </c>
      <c r="B57" s="93">
        <f t="shared" ca="1" si="0"/>
        <v>45129</v>
      </c>
      <c r="C57" s="92" t="s">
        <v>93</v>
      </c>
      <c r="D57" s="94" t="e">
        <f t="shared" si="2"/>
        <v>#REF!</v>
      </c>
      <c r="E57" s="95" t="e">
        <f t="shared" si="3"/>
        <v>#REF!</v>
      </c>
    </row>
    <row r="58" spans="1:5">
      <c r="A58" s="8">
        <v>39</v>
      </c>
      <c r="B58" s="10">
        <f t="shared" ca="1" si="0"/>
        <v>45160</v>
      </c>
      <c r="C58" s="8" t="s">
        <v>94</v>
      </c>
      <c r="D58" s="11" t="e">
        <f t="shared" si="2"/>
        <v>#REF!</v>
      </c>
      <c r="E58" s="12" t="e">
        <f t="shared" si="3"/>
        <v>#REF!</v>
      </c>
    </row>
    <row r="59" spans="1:5">
      <c r="A59" s="100">
        <v>40</v>
      </c>
      <c r="B59" s="101">
        <f t="shared" ca="1" si="0"/>
        <v>45191</v>
      </c>
      <c r="C59" s="100" t="s">
        <v>95</v>
      </c>
      <c r="D59" s="102" t="e">
        <f t="shared" si="2"/>
        <v>#REF!</v>
      </c>
      <c r="E59" s="103" t="e">
        <f t="shared" si="3"/>
        <v>#REF!</v>
      </c>
    </row>
    <row r="60" spans="1:5">
      <c r="A60" s="7">
        <v>41</v>
      </c>
      <c r="B60" s="96">
        <f t="shared" ca="1" si="0"/>
        <v>45221</v>
      </c>
      <c r="C60" s="7" t="s">
        <v>96</v>
      </c>
      <c r="D60" s="13" t="e">
        <f t="shared" si="2"/>
        <v>#REF!</v>
      </c>
      <c r="E60" s="97" t="e">
        <f t="shared" si="3"/>
        <v>#REF!</v>
      </c>
    </row>
    <row r="61" spans="1:5">
      <c r="A61" s="8">
        <v>42</v>
      </c>
      <c r="B61" s="10">
        <f t="shared" ca="1" si="0"/>
        <v>45252</v>
      </c>
      <c r="C61" s="8" t="s">
        <v>97</v>
      </c>
      <c r="D61" s="11" t="e">
        <f t="shared" si="2"/>
        <v>#REF!</v>
      </c>
      <c r="E61" s="12" t="e">
        <f t="shared" si="3"/>
        <v>#REF!</v>
      </c>
    </row>
    <row r="62" spans="1:5">
      <c r="A62" s="7">
        <v>43</v>
      </c>
      <c r="B62" s="96">
        <f t="shared" ca="1" si="0"/>
        <v>45282</v>
      </c>
      <c r="C62" s="7" t="s">
        <v>98</v>
      </c>
      <c r="D62" s="13" t="e">
        <f t="shared" si="2"/>
        <v>#REF!</v>
      </c>
      <c r="E62" s="97" t="e">
        <f t="shared" si="3"/>
        <v>#REF!</v>
      </c>
    </row>
    <row r="63" spans="1:5">
      <c r="A63" s="8">
        <v>44</v>
      </c>
      <c r="B63" s="10">
        <f t="shared" ca="1" si="0"/>
        <v>45313</v>
      </c>
      <c r="C63" s="8" t="s">
        <v>99</v>
      </c>
      <c r="D63" s="11" t="e">
        <f t="shared" si="2"/>
        <v>#REF!</v>
      </c>
      <c r="E63" s="12" t="e">
        <f t="shared" si="3"/>
        <v>#REF!</v>
      </c>
    </row>
    <row r="64" spans="1:5">
      <c r="A64" s="8">
        <v>45</v>
      </c>
      <c r="B64" s="10">
        <f t="shared" ca="1" si="0"/>
        <v>45344</v>
      </c>
      <c r="C64" s="8" t="s">
        <v>100</v>
      </c>
      <c r="D64" s="11" t="e">
        <f t="shared" si="2"/>
        <v>#REF!</v>
      </c>
      <c r="E64" s="12" t="e">
        <f t="shared" si="3"/>
        <v>#REF!</v>
      </c>
    </row>
    <row r="65" spans="1:5">
      <c r="A65" s="8">
        <v>46</v>
      </c>
      <c r="B65" s="10">
        <f t="shared" ca="1" si="0"/>
        <v>45373</v>
      </c>
      <c r="C65" s="8" t="s">
        <v>101</v>
      </c>
      <c r="D65" s="11" t="e">
        <f t="shared" si="2"/>
        <v>#REF!</v>
      </c>
      <c r="E65" s="12" t="e">
        <f t="shared" si="3"/>
        <v>#REF!</v>
      </c>
    </row>
    <row r="66" spans="1:5">
      <c r="A66" s="8">
        <v>47</v>
      </c>
      <c r="B66" s="10">
        <f t="shared" ca="1" si="0"/>
        <v>45404</v>
      </c>
      <c r="C66" s="8" t="s">
        <v>102</v>
      </c>
      <c r="D66" s="11" t="e">
        <f t="shared" si="2"/>
        <v>#REF!</v>
      </c>
      <c r="E66" s="12" t="e">
        <f t="shared" si="3"/>
        <v>#REF!</v>
      </c>
    </row>
    <row r="67" spans="1:5">
      <c r="A67" s="8">
        <v>48</v>
      </c>
      <c r="B67" s="10">
        <f t="shared" ca="1" si="0"/>
        <v>45434</v>
      </c>
      <c r="C67" s="8" t="s">
        <v>103</v>
      </c>
      <c r="D67" s="11" t="e">
        <f t="shared" si="2"/>
        <v>#REF!</v>
      </c>
      <c r="E67" s="12" t="e">
        <f t="shared" si="3"/>
        <v>#REF!</v>
      </c>
    </row>
    <row r="68" spans="1:5">
      <c r="A68" s="8">
        <v>49</v>
      </c>
      <c r="B68" s="10">
        <f t="shared" ca="1" si="0"/>
        <v>45465</v>
      </c>
      <c r="C68" s="8" t="s">
        <v>104</v>
      </c>
      <c r="D68" s="11" t="e">
        <f t="shared" si="2"/>
        <v>#REF!</v>
      </c>
      <c r="E68" s="12" t="e">
        <f t="shared" si="3"/>
        <v>#REF!</v>
      </c>
    </row>
    <row r="69" spans="1:5">
      <c r="A69" s="8">
        <v>50</v>
      </c>
      <c r="B69" s="10">
        <f t="shared" ca="1" si="0"/>
        <v>45495</v>
      </c>
      <c r="C69" s="8" t="s">
        <v>105</v>
      </c>
      <c r="D69" s="11" t="e">
        <f t="shared" si="2"/>
        <v>#REF!</v>
      </c>
      <c r="E69" s="12" t="e">
        <f t="shared" si="3"/>
        <v>#REF!</v>
      </c>
    </row>
    <row r="70" spans="1:5">
      <c r="A70" s="8">
        <v>51</v>
      </c>
      <c r="B70" s="10">
        <f t="shared" ca="1" si="0"/>
        <v>45526</v>
      </c>
      <c r="C70" s="8" t="s">
        <v>106</v>
      </c>
      <c r="D70" s="11" t="e">
        <f t="shared" si="2"/>
        <v>#REF!</v>
      </c>
      <c r="E70" s="12" t="e">
        <f t="shared" si="3"/>
        <v>#REF!</v>
      </c>
    </row>
    <row r="71" spans="1:5">
      <c r="A71" s="8">
        <v>52</v>
      </c>
      <c r="B71" s="10">
        <f t="shared" ca="1" si="0"/>
        <v>45557</v>
      </c>
      <c r="C71" s="8" t="s">
        <v>107</v>
      </c>
      <c r="D71" s="11" t="e">
        <f t="shared" si="2"/>
        <v>#REF!</v>
      </c>
      <c r="E71" s="12" t="e">
        <f t="shared" si="3"/>
        <v>#REF!</v>
      </c>
    </row>
    <row r="72" spans="1:5">
      <c r="A72" s="8">
        <v>53</v>
      </c>
      <c r="B72" s="10">
        <f t="shared" ca="1" si="0"/>
        <v>45587</v>
      </c>
      <c r="C72" s="8" t="s">
        <v>108</v>
      </c>
      <c r="D72" s="11" t="e">
        <f t="shared" si="2"/>
        <v>#REF!</v>
      </c>
      <c r="E72" s="12" t="e">
        <f t="shared" si="3"/>
        <v>#REF!</v>
      </c>
    </row>
    <row r="73" spans="1:5">
      <c r="A73" s="8">
        <v>54</v>
      </c>
      <c r="B73" s="10">
        <f t="shared" ca="1" si="0"/>
        <v>45618</v>
      </c>
      <c r="C73" s="8" t="s">
        <v>109</v>
      </c>
      <c r="D73" s="11" t="e">
        <f t="shared" si="2"/>
        <v>#REF!</v>
      </c>
      <c r="E73" s="12" t="e">
        <f t="shared" si="3"/>
        <v>#REF!</v>
      </c>
    </row>
    <row r="74" spans="1:5">
      <c r="A74" s="8">
        <v>55</v>
      </c>
      <c r="B74" s="10">
        <f t="shared" ca="1" si="0"/>
        <v>45648</v>
      </c>
      <c r="C74" s="8" t="s">
        <v>110</v>
      </c>
      <c r="D74" s="11" t="e">
        <f t="shared" si="2"/>
        <v>#REF!</v>
      </c>
      <c r="E74" s="12" t="e">
        <f t="shared" si="3"/>
        <v>#REF!</v>
      </c>
    </row>
    <row r="75" spans="1:5">
      <c r="A75" s="14">
        <v>56</v>
      </c>
      <c r="B75" s="15">
        <f t="shared" ca="1" si="0"/>
        <v>45679</v>
      </c>
      <c r="C75" s="14" t="s">
        <v>39</v>
      </c>
      <c r="D75" s="16" t="e">
        <f>C16*0.5</f>
        <v>#REF!</v>
      </c>
      <c r="E75" s="38" t="e">
        <f>E74-D75</f>
        <v>#REF!</v>
      </c>
    </row>
    <row r="76" spans="1:5">
      <c r="A76" s="17"/>
      <c r="B76" s="18"/>
      <c r="C76" s="19" t="s">
        <v>16</v>
      </c>
      <c r="D76" s="20" t="e">
        <f>SUM(D19:D75)</f>
        <v>#REF!</v>
      </c>
      <c r="E76" s="17"/>
    </row>
    <row r="77" spans="1:5">
      <c r="A77" s="3" t="s">
        <v>62</v>
      </c>
      <c r="B77" s="27"/>
      <c r="C77" s="28"/>
      <c r="D77" s="29"/>
      <c r="E77" s="30"/>
    </row>
    <row r="78" spans="1:5">
      <c r="A78" s="4" t="s">
        <v>70</v>
      </c>
      <c r="B78" s="30"/>
      <c r="C78" s="28"/>
      <c r="D78" s="29"/>
      <c r="E78" s="30"/>
    </row>
    <row r="79" spans="1:5">
      <c r="A79" s="4" t="s">
        <v>71</v>
      </c>
      <c r="B79" s="30"/>
      <c r="C79" s="28"/>
      <c r="D79" s="29"/>
      <c r="E79" s="30"/>
    </row>
    <row r="80" spans="1:5">
      <c r="A80" s="4" t="s">
        <v>89</v>
      </c>
      <c r="B80" s="30"/>
      <c r="C80" s="28"/>
      <c r="D80" s="30"/>
      <c r="E80" s="30"/>
    </row>
    <row r="81" spans="1:5">
      <c r="A81" s="4" t="s">
        <v>75</v>
      </c>
      <c r="B81" s="30"/>
      <c r="C81" s="28"/>
      <c r="D81" s="30"/>
      <c r="E81" s="30"/>
    </row>
    <row r="82" spans="1:5">
      <c r="A82" s="4" t="s">
        <v>63</v>
      </c>
      <c r="B82" s="30"/>
      <c r="C82" s="28"/>
      <c r="D82" s="30"/>
      <c r="E82" s="30"/>
    </row>
    <row r="84" spans="1:5">
      <c r="A84" s="1" t="s">
        <v>17</v>
      </c>
    </row>
    <row r="86" spans="1:5">
      <c r="A86" s="5"/>
      <c r="D86" s="5"/>
    </row>
    <row r="87" spans="1:5">
      <c r="A87" s="2" t="s">
        <v>18</v>
      </c>
      <c r="D87" s="2" t="s">
        <v>18</v>
      </c>
    </row>
  </sheetData>
  <sheetProtection password="CAF1" sheet="1" selectLockedCells="1"/>
  <mergeCells count="6">
    <mergeCell ref="B9:E9"/>
    <mergeCell ref="E1:E2"/>
    <mergeCell ref="B5:E5"/>
    <mergeCell ref="B6:E6"/>
    <mergeCell ref="B7:E7"/>
    <mergeCell ref="B8:E8"/>
  </mergeCells>
  <hyperlinks>
    <hyperlink ref="B1" location="'DATA SHEET'!A1" display="HIGHLANDS PRIME, INC." xr:uid="{00000000-0004-0000-0D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rowBreaks count="1" manualBreakCount="1">
    <brk id="56" max="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6" tint="-0.499984740745262"/>
  </sheetPr>
  <dimension ref="A1:E87"/>
  <sheetViews>
    <sheetView showGridLines="0" zoomScaleNormal="100" workbookViewId="0">
      <selection activeCell="B1" sqref="B1"/>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1"/>
      <c r="E5" s="352"/>
    </row>
    <row r="6" spans="1:5" s="43" customFormat="1">
      <c r="A6" s="48" t="s">
        <v>31</v>
      </c>
      <c r="B6" s="353" t="e">
        <f>VLOOKUP('DATA SHEET'!C10,#REF!, 1, FALSE)</f>
        <v>#REF!</v>
      </c>
      <c r="C6" s="353"/>
      <c r="D6" s="353"/>
      <c r="E6" s="354"/>
    </row>
    <row r="7" spans="1:5" s="43" customFormat="1">
      <c r="A7" s="48" t="s">
        <v>37</v>
      </c>
      <c r="B7" s="355" t="e">
        <f>VLOOKUP('DATA SHEET'!C10,#REF!, 3, FALSE)</f>
        <v>#REF!</v>
      </c>
      <c r="C7" s="355"/>
      <c r="D7" s="355"/>
      <c r="E7" s="356"/>
    </row>
    <row r="8" spans="1:5" s="43" customFormat="1">
      <c r="A8" s="48" t="s">
        <v>57</v>
      </c>
      <c r="B8" s="357" t="e">
        <f>VLOOKUP('DATA SHEET'!C10,#REF!, 5, FALSE)</f>
        <v>#REF!</v>
      </c>
      <c r="C8" s="357"/>
      <c r="D8" s="357"/>
      <c r="E8" s="358"/>
    </row>
    <row r="9" spans="1:5" s="43" customFormat="1">
      <c r="A9" s="49" t="s">
        <v>33</v>
      </c>
      <c r="B9" s="348" t="s">
        <v>92</v>
      </c>
      <c r="C9" s="348"/>
      <c r="D9" s="348"/>
      <c r="E9" s="349"/>
    </row>
    <row r="10" spans="1:5" s="43" customFormat="1">
      <c r="C10" s="45"/>
    </row>
    <row r="11" spans="1:5" s="43" customFormat="1">
      <c r="A11" s="46" t="s">
        <v>55</v>
      </c>
      <c r="C11" s="45"/>
    </row>
    <row r="12" spans="1:5" s="43" customFormat="1">
      <c r="A12" s="43" t="s">
        <v>57</v>
      </c>
      <c r="C12" s="50" t="e">
        <f>B8</f>
        <v>#REF!</v>
      </c>
      <c r="D12" s="45"/>
    </row>
    <row r="13" spans="1:5" s="43" customFormat="1">
      <c r="A13" s="43" t="s">
        <v>59</v>
      </c>
      <c r="C13" s="52">
        <v>750000</v>
      </c>
      <c r="D13" s="45"/>
    </row>
    <row r="14" spans="1:5" s="43" customFormat="1" hidden="1">
      <c r="C14" s="87" t="e">
        <f>C12-C13</f>
        <v>#REF!</v>
      </c>
      <c r="D14" s="45"/>
    </row>
    <row r="15" spans="1:5" s="43" customFormat="1" hidden="1">
      <c r="A15" s="43" t="s">
        <v>126</v>
      </c>
      <c r="B15" s="51">
        <v>0</v>
      </c>
      <c r="C15" s="87" t="e">
        <f>C14*B15</f>
        <v>#REF!</v>
      </c>
      <c r="D15" s="45"/>
    </row>
    <row r="16" spans="1:5" s="43" customFormat="1" ht="15" thickBot="1">
      <c r="A16" s="46" t="s">
        <v>58</v>
      </c>
      <c r="C16" s="98" t="e">
        <f>C14-C15</f>
        <v>#REF!</v>
      </c>
      <c r="D16" s="45"/>
    </row>
    <row r="17" spans="1:5" s="43" customFormat="1" ht="15" thickTop="1">
      <c r="C17" s="50"/>
      <c r="D17" s="45"/>
    </row>
    <row r="18" spans="1:5">
      <c r="A18" s="9" t="s">
        <v>34</v>
      </c>
      <c r="B18" s="9" t="s">
        <v>32</v>
      </c>
      <c r="C18" s="9" t="s">
        <v>2</v>
      </c>
      <c r="D18" s="9" t="s">
        <v>3</v>
      </c>
      <c r="E18" s="9" t="s">
        <v>68</v>
      </c>
    </row>
    <row r="19" spans="1:5">
      <c r="A19" s="8">
        <v>0</v>
      </c>
      <c r="B19" s="10">
        <f ca="1">'DATA SHEET'!C8</f>
        <v>43973</v>
      </c>
      <c r="C19" s="8" t="s">
        <v>38</v>
      </c>
      <c r="D19" s="11">
        <v>100000</v>
      </c>
      <c r="E19" s="12" t="e">
        <f>C16-D19</f>
        <v>#REF!</v>
      </c>
    </row>
    <row r="20" spans="1:5">
      <c r="A20" s="8">
        <v>1</v>
      </c>
      <c r="B20" s="10">
        <f ca="1">EDATE(B19,1)</f>
        <v>44004</v>
      </c>
      <c r="C20" s="8" t="s">
        <v>69</v>
      </c>
      <c r="D20" s="11" t="e">
        <f>(C16*0.1)-D19</f>
        <v>#REF!</v>
      </c>
      <c r="E20" s="12" t="e">
        <f>E19-D20</f>
        <v>#REF!</v>
      </c>
    </row>
    <row r="21" spans="1:5">
      <c r="A21" s="8">
        <v>2</v>
      </c>
      <c r="B21" s="10">
        <f t="shared" ref="B21:B75" ca="1" si="0">EDATE(B20,1)</f>
        <v>44034</v>
      </c>
      <c r="C21" s="8" t="s">
        <v>80</v>
      </c>
      <c r="D21" s="11" t="e">
        <f>(C16*0.1)/6</f>
        <v>#REF!</v>
      </c>
      <c r="E21" s="12" t="e">
        <f t="shared" ref="E21:E74" si="1">E20-D21</f>
        <v>#REF!</v>
      </c>
    </row>
    <row r="22" spans="1:5">
      <c r="A22" s="8">
        <v>3</v>
      </c>
      <c r="B22" s="10">
        <f t="shared" ca="1" si="0"/>
        <v>44065</v>
      </c>
      <c r="C22" s="8" t="s">
        <v>81</v>
      </c>
      <c r="D22" s="11" t="e">
        <f>D21</f>
        <v>#REF!</v>
      </c>
      <c r="E22" s="12" t="e">
        <f t="shared" si="1"/>
        <v>#REF!</v>
      </c>
    </row>
    <row r="23" spans="1:5">
      <c r="A23" s="8">
        <v>4</v>
      </c>
      <c r="B23" s="10">
        <f t="shared" ca="1" si="0"/>
        <v>44096</v>
      </c>
      <c r="C23" s="8" t="s">
        <v>82</v>
      </c>
      <c r="D23" s="11" t="e">
        <f t="shared" ref="D23:D74" si="2">D22</f>
        <v>#REF!</v>
      </c>
      <c r="E23" s="12" t="e">
        <f t="shared" si="1"/>
        <v>#REF!</v>
      </c>
    </row>
    <row r="24" spans="1:5">
      <c r="A24" s="8">
        <v>5</v>
      </c>
      <c r="B24" s="10">
        <f t="shared" ca="1" si="0"/>
        <v>44126</v>
      </c>
      <c r="C24" s="8" t="s">
        <v>83</v>
      </c>
      <c r="D24" s="11" t="e">
        <f t="shared" si="2"/>
        <v>#REF!</v>
      </c>
      <c r="E24" s="12" t="e">
        <f t="shared" si="1"/>
        <v>#REF!</v>
      </c>
    </row>
    <row r="25" spans="1:5">
      <c r="A25" s="8">
        <v>6</v>
      </c>
      <c r="B25" s="10">
        <f t="shared" ca="1" si="0"/>
        <v>44157</v>
      </c>
      <c r="C25" s="8" t="s">
        <v>84</v>
      </c>
      <c r="D25" s="11" t="e">
        <f t="shared" si="2"/>
        <v>#REF!</v>
      </c>
      <c r="E25" s="12" t="e">
        <f t="shared" si="1"/>
        <v>#REF!</v>
      </c>
    </row>
    <row r="26" spans="1:5">
      <c r="A26" s="8">
        <v>7</v>
      </c>
      <c r="B26" s="10">
        <f t="shared" ca="1" si="0"/>
        <v>44187</v>
      </c>
      <c r="C26" s="8" t="s">
        <v>85</v>
      </c>
      <c r="D26" s="11" t="e">
        <f t="shared" si="2"/>
        <v>#REF!</v>
      </c>
      <c r="E26" s="12" t="e">
        <f t="shared" si="1"/>
        <v>#REF!</v>
      </c>
    </row>
    <row r="27" spans="1:5">
      <c r="A27" s="8">
        <v>8</v>
      </c>
      <c r="B27" s="10">
        <f t="shared" ca="1" si="0"/>
        <v>44218</v>
      </c>
      <c r="C27" s="8" t="s">
        <v>4</v>
      </c>
      <c r="D27" s="11" t="e">
        <f>(C16*0.3)/48</f>
        <v>#REF!</v>
      </c>
      <c r="E27" s="12" t="e">
        <f t="shared" si="1"/>
        <v>#REF!</v>
      </c>
    </row>
    <row r="28" spans="1:5">
      <c r="A28" s="8">
        <v>9</v>
      </c>
      <c r="B28" s="10">
        <f t="shared" ca="1" si="0"/>
        <v>44249</v>
      </c>
      <c r="C28" s="8" t="s">
        <v>5</v>
      </c>
      <c r="D28" s="11" t="e">
        <f t="shared" si="2"/>
        <v>#REF!</v>
      </c>
      <c r="E28" s="12" t="e">
        <f t="shared" si="1"/>
        <v>#REF!</v>
      </c>
    </row>
    <row r="29" spans="1:5">
      <c r="A29" s="8">
        <v>10</v>
      </c>
      <c r="B29" s="10">
        <f t="shared" ca="1" si="0"/>
        <v>44277</v>
      </c>
      <c r="C29" s="8" t="s">
        <v>6</v>
      </c>
      <c r="D29" s="11" t="e">
        <f t="shared" si="2"/>
        <v>#REF!</v>
      </c>
      <c r="E29" s="12" t="e">
        <f t="shared" si="1"/>
        <v>#REF!</v>
      </c>
    </row>
    <row r="30" spans="1:5">
      <c r="A30" s="8">
        <v>11</v>
      </c>
      <c r="B30" s="10">
        <f t="shared" ca="1" si="0"/>
        <v>44308</v>
      </c>
      <c r="C30" s="8" t="s">
        <v>7</v>
      </c>
      <c r="D30" s="11" t="e">
        <f t="shared" si="2"/>
        <v>#REF!</v>
      </c>
      <c r="E30" s="12" t="e">
        <f t="shared" si="1"/>
        <v>#REF!</v>
      </c>
    </row>
    <row r="31" spans="1:5">
      <c r="A31" s="8">
        <v>12</v>
      </c>
      <c r="B31" s="10">
        <f t="shared" ca="1" si="0"/>
        <v>44338</v>
      </c>
      <c r="C31" s="8" t="s">
        <v>8</v>
      </c>
      <c r="D31" s="11" t="e">
        <f t="shared" si="2"/>
        <v>#REF!</v>
      </c>
      <c r="E31" s="12" t="e">
        <f t="shared" si="1"/>
        <v>#REF!</v>
      </c>
    </row>
    <row r="32" spans="1:5">
      <c r="A32" s="8">
        <v>13</v>
      </c>
      <c r="B32" s="10">
        <f t="shared" ca="1" si="0"/>
        <v>44369</v>
      </c>
      <c r="C32" s="8" t="s">
        <v>9</v>
      </c>
      <c r="D32" s="11" t="e">
        <f t="shared" si="2"/>
        <v>#REF!</v>
      </c>
      <c r="E32" s="12" t="e">
        <f t="shared" si="1"/>
        <v>#REF!</v>
      </c>
    </row>
    <row r="33" spans="1:5">
      <c r="A33" s="8">
        <v>14</v>
      </c>
      <c r="B33" s="10">
        <f t="shared" ca="1" si="0"/>
        <v>44399</v>
      </c>
      <c r="C33" s="8" t="s">
        <v>10</v>
      </c>
      <c r="D33" s="11" t="e">
        <f t="shared" si="2"/>
        <v>#REF!</v>
      </c>
      <c r="E33" s="12" t="e">
        <f t="shared" si="1"/>
        <v>#REF!</v>
      </c>
    </row>
    <row r="34" spans="1:5">
      <c r="A34" s="8">
        <v>15</v>
      </c>
      <c r="B34" s="10">
        <f t="shared" ca="1" si="0"/>
        <v>44430</v>
      </c>
      <c r="C34" s="8" t="s">
        <v>11</v>
      </c>
      <c r="D34" s="11" t="e">
        <f t="shared" si="2"/>
        <v>#REF!</v>
      </c>
      <c r="E34" s="12" t="e">
        <f t="shared" si="1"/>
        <v>#REF!</v>
      </c>
    </row>
    <row r="35" spans="1:5">
      <c r="A35" s="8">
        <v>16</v>
      </c>
      <c r="B35" s="10">
        <f t="shared" ca="1" si="0"/>
        <v>44461</v>
      </c>
      <c r="C35" s="8" t="s">
        <v>12</v>
      </c>
      <c r="D35" s="11" t="e">
        <f t="shared" si="2"/>
        <v>#REF!</v>
      </c>
      <c r="E35" s="12" t="e">
        <f t="shared" si="1"/>
        <v>#REF!</v>
      </c>
    </row>
    <row r="36" spans="1:5">
      <c r="A36" s="8">
        <v>17</v>
      </c>
      <c r="B36" s="10">
        <f t="shared" ca="1" si="0"/>
        <v>44491</v>
      </c>
      <c r="C36" s="8" t="s">
        <v>13</v>
      </c>
      <c r="D36" s="11" t="e">
        <f t="shared" si="2"/>
        <v>#REF!</v>
      </c>
      <c r="E36" s="12" t="e">
        <f t="shared" si="1"/>
        <v>#REF!</v>
      </c>
    </row>
    <row r="37" spans="1:5">
      <c r="A37" s="8">
        <v>18</v>
      </c>
      <c r="B37" s="10">
        <f t="shared" ca="1" si="0"/>
        <v>44522</v>
      </c>
      <c r="C37" s="8" t="s">
        <v>14</v>
      </c>
      <c r="D37" s="11" t="e">
        <f t="shared" si="2"/>
        <v>#REF!</v>
      </c>
      <c r="E37" s="12" t="e">
        <f t="shared" si="1"/>
        <v>#REF!</v>
      </c>
    </row>
    <row r="38" spans="1:5">
      <c r="A38" s="8">
        <v>19</v>
      </c>
      <c r="B38" s="10">
        <f t="shared" ca="1" si="0"/>
        <v>44552</v>
      </c>
      <c r="C38" s="8" t="s">
        <v>15</v>
      </c>
      <c r="D38" s="11" t="e">
        <f t="shared" si="2"/>
        <v>#REF!</v>
      </c>
      <c r="E38" s="12" t="e">
        <f t="shared" si="1"/>
        <v>#REF!</v>
      </c>
    </row>
    <row r="39" spans="1:5">
      <c r="A39" s="8">
        <v>20</v>
      </c>
      <c r="B39" s="10">
        <f t="shared" ca="1" si="0"/>
        <v>44583</v>
      </c>
      <c r="C39" s="8" t="s">
        <v>19</v>
      </c>
      <c r="D39" s="11" t="e">
        <f t="shared" si="2"/>
        <v>#REF!</v>
      </c>
      <c r="E39" s="12" t="e">
        <f t="shared" si="1"/>
        <v>#REF!</v>
      </c>
    </row>
    <row r="40" spans="1:5">
      <c r="A40" s="8">
        <v>21</v>
      </c>
      <c r="B40" s="10">
        <f t="shared" ca="1" si="0"/>
        <v>44614</v>
      </c>
      <c r="C40" s="8" t="s">
        <v>20</v>
      </c>
      <c r="D40" s="11" t="e">
        <f t="shared" si="2"/>
        <v>#REF!</v>
      </c>
      <c r="E40" s="12" t="e">
        <f t="shared" si="1"/>
        <v>#REF!</v>
      </c>
    </row>
    <row r="41" spans="1:5">
      <c r="A41" s="8">
        <v>22</v>
      </c>
      <c r="B41" s="10">
        <f t="shared" ca="1" si="0"/>
        <v>44642</v>
      </c>
      <c r="C41" s="8" t="s">
        <v>21</v>
      </c>
      <c r="D41" s="11" t="e">
        <f t="shared" si="2"/>
        <v>#REF!</v>
      </c>
      <c r="E41" s="12" t="e">
        <f t="shared" si="1"/>
        <v>#REF!</v>
      </c>
    </row>
    <row r="42" spans="1:5">
      <c r="A42" s="8">
        <v>23</v>
      </c>
      <c r="B42" s="10">
        <f t="shared" ca="1" si="0"/>
        <v>44673</v>
      </c>
      <c r="C42" s="8" t="s">
        <v>22</v>
      </c>
      <c r="D42" s="11" t="e">
        <f t="shared" si="2"/>
        <v>#REF!</v>
      </c>
      <c r="E42" s="12" t="e">
        <f t="shared" si="1"/>
        <v>#REF!</v>
      </c>
    </row>
    <row r="43" spans="1:5">
      <c r="A43" s="8">
        <v>24</v>
      </c>
      <c r="B43" s="10">
        <f t="shared" ca="1" si="0"/>
        <v>44703</v>
      </c>
      <c r="C43" s="8" t="s">
        <v>23</v>
      </c>
      <c r="D43" s="11" t="e">
        <f t="shared" si="2"/>
        <v>#REF!</v>
      </c>
      <c r="E43" s="12" t="e">
        <f t="shared" si="1"/>
        <v>#REF!</v>
      </c>
    </row>
    <row r="44" spans="1:5">
      <c r="A44" s="8">
        <v>25</v>
      </c>
      <c r="B44" s="10">
        <f t="shared" ca="1" si="0"/>
        <v>44734</v>
      </c>
      <c r="C44" s="8" t="s">
        <v>24</v>
      </c>
      <c r="D44" s="11" t="e">
        <f t="shared" si="2"/>
        <v>#REF!</v>
      </c>
      <c r="E44" s="12" t="e">
        <f t="shared" si="1"/>
        <v>#REF!</v>
      </c>
    </row>
    <row r="45" spans="1:5">
      <c r="A45" s="8">
        <v>26</v>
      </c>
      <c r="B45" s="10">
        <f t="shared" ca="1" si="0"/>
        <v>44764</v>
      </c>
      <c r="C45" s="8" t="s">
        <v>25</v>
      </c>
      <c r="D45" s="11" t="e">
        <f t="shared" si="2"/>
        <v>#REF!</v>
      </c>
      <c r="E45" s="12" t="e">
        <f t="shared" si="1"/>
        <v>#REF!</v>
      </c>
    </row>
    <row r="46" spans="1:5">
      <c r="A46" s="8">
        <v>27</v>
      </c>
      <c r="B46" s="10">
        <f t="shared" ca="1" si="0"/>
        <v>44795</v>
      </c>
      <c r="C46" s="8" t="s">
        <v>26</v>
      </c>
      <c r="D46" s="11" t="e">
        <f t="shared" si="2"/>
        <v>#REF!</v>
      </c>
      <c r="E46" s="12" t="e">
        <f t="shared" si="1"/>
        <v>#REF!</v>
      </c>
    </row>
    <row r="47" spans="1:5">
      <c r="A47" s="8">
        <v>28</v>
      </c>
      <c r="B47" s="10">
        <f t="shared" ca="1" si="0"/>
        <v>44826</v>
      </c>
      <c r="C47" s="8" t="s">
        <v>27</v>
      </c>
      <c r="D47" s="11" t="e">
        <f t="shared" si="2"/>
        <v>#REF!</v>
      </c>
      <c r="E47" s="12" t="e">
        <f t="shared" si="1"/>
        <v>#REF!</v>
      </c>
    </row>
    <row r="48" spans="1:5">
      <c r="A48" s="8">
        <v>29</v>
      </c>
      <c r="B48" s="10">
        <f t="shared" ca="1" si="0"/>
        <v>44856</v>
      </c>
      <c r="C48" s="8" t="s">
        <v>28</v>
      </c>
      <c r="D48" s="11" t="e">
        <f t="shared" si="2"/>
        <v>#REF!</v>
      </c>
      <c r="E48" s="12" t="e">
        <f t="shared" si="1"/>
        <v>#REF!</v>
      </c>
    </row>
    <row r="49" spans="1:5">
      <c r="A49" s="8">
        <v>30</v>
      </c>
      <c r="B49" s="10">
        <f t="shared" ca="1" si="0"/>
        <v>44887</v>
      </c>
      <c r="C49" s="8" t="s">
        <v>29</v>
      </c>
      <c r="D49" s="11" t="e">
        <f t="shared" si="2"/>
        <v>#REF!</v>
      </c>
      <c r="E49" s="12" t="e">
        <f t="shared" si="1"/>
        <v>#REF!</v>
      </c>
    </row>
    <row r="50" spans="1:5">
      <c r="A50" s="8">
        <v>31</v>
      </c>
      <c r="B50" s="10">
        <f t="shared" ca="1" si="0"/>
        <v>44917</v>
      </c>
      <c r="C50" s="8" t="s">
        <v>30</v>
      </c>
      <c r="D50" s="11" t="e">
        <f t="shared" si="2"/>
        <v>#REF!</v>
      </c>
      <c r="E50" s="12" t="e">
        <f t="shared" si="1"/>
        <v>#REF!</v>
      </c>
    </row>
    <row r="51" spans="1:5">
      <c r="A51" s="8">
        <v>32</v>
      </c>
      <c r="B51" s="10">
        <f t="shared" ca="1" si="0"/>
        <v>44948</v>
      </c>
      <c r="C51" s="8" t="s">
        <v>48</v>
      </c>
      <c r="D51" s="11" t="e">
        <f t="shared" si="2"/>
        <v>#REF!</v>
      </c>
      <c r="E51" s="12" t="e">
        <f t="shared" si="1"/>
        <v>#REF!</v>
      </c>
    </row>
    <row r="52" spans="1:5">
      <c r="A52" s="8">
        <v>33</v>
      </c>
      <c r="B52" s="10">
        <f t="shared" ca="1" si="0"/>
        <v>44979</v>
      </c>
      <c r="C52" s="8" t="s">
        <v>49</v>
      </c>
      <c r="D52" s="11" t="e">
        <f t="shared" si="2"/>
        <v>#REF!</v>
      </c>
      <c r="E52" s="12" t="e">
        <f t="shared" si="1"/>
        <v>#REF!</v>
      </c>
    </row>
    <row r="53" spans="1:5">
      <c r="A53" s="8">
        <v>34</v>
      </c>
      <c r="B53" s="10">
        <f t="shared" ca="1" si="0"/>
        <v>45007</v>
      </c>
      <c r="C53" s="8" t="s">
        <v>50</v>
      </c>
      <c r="D53" s="11" t="e">
        <f t="shared" si="2"/>
        <v>#REF!</v>
      </c>
      <c r="E53" s="12" t="e">
        <f t="shared" si="1"/>
        <v>#REF!</v>
      </c>
    </row>
    <row r="54" spans="1:5">
      <c r="A54" s="8">
        <v>35</v>
      </c>
      <c r="B54" s="10">
        <f t="shared" ca="1" si="0"/>
        <v>45038</v>
      </c>
      <c r="C54" s="8" t="s">
        <v>51</v>
      </c>
      <c r="D54" s="11" t="e">
        <f t="shared" si="2"/>
        <v>#REF!</v>
      </c>
      <c r="E54" s="12" t="e">
        <f t="shared" si="1"/>
        <v>#REF!</v>
      </c>
    </row>
    <row r="55" spans="1:5">
      <c r="A55" s="8">
        <v>36</v>
      </c>
      <c r="B55" s="10">
        <f t="shared" ca="1" si="0"/>
        <v>45068</v>
      </c>
      <c r="C55" s="8" t="s">
        <v>52</v>
      </c>
      <c r="D55" s="11" t="e">
        <f t="shared" si="2"/>
        <v>#REF!</v>
      </c>
      <c r="E55" s="12" t="e">
        <f t="shared" si="1"/>
        <v>#REF!</v>
      </c>
    </row>
    <row r="56" spans="1:5">
      <c r="A56" s="100">
        <v>37</v>
      </c>
      <c r="B56" s="101">
        <f t="shared" ca="1" si="0"/>
        <v>45099</v>
      </c>
      <c r="C56" s="100" t="s">
        <v>53</v>
      </c>
      <c r="D56" s="102" t="e">
        <f t="shared" si="2"/>
        <v>#REF!</v>
      </c>
      <c r="E56" s="103" t="e">
        <f t="shared" si="1"/>
        <v>#REF!</v>
      </c>
    </row>
    <row r="57" spans="1:5">
      <c r="A57" s="92">
        <v>38</v>
      </c>
      <c r="B57" s="93">
        <f t="shared" ca="1" si="0"/>
        <v>45129</v>
      </c>
      <c r="C57" s="92" t="s">
        <v>93</v>
      </c>
      <c r="D57" s="94" t="e">
        <f t="shared" si="2"/>
        <v>#REF!</v>
      </c>
      <c r="E57" s="95" t="e">
        <f t="shared" si="1"/>
        <v>#REF!</v>
      </c>
    </row>
    <row r="58" spans="1:5">
      <c r="A58" s="8">
        <v>39</v>
      </c>
      <c r="B58" s="10">
        <f t="shared" ca="1" si="0"/>
        <v>45160</v>
      </c>
      <c r="C58" s="8" t="s">
        <v>94</v>
      </c>
      <c r="D58" s="11" t="e">
        <f t="shared" si="2"/>
        <v>#REF!</v>
      </c>
      <c r="E58" s="12" t="e">
        <f t="shared" si="1"/>
        <v>#REF!</v>
      </c>
    </row>
    <row r="59" spans="1:5">
      <c r="A59" s="8">
        <v>40</v>
      </c>
      <c r="B59" s="10">
        <f t="shared" ca="1" si="0"/>
        <v>45191</v>
      </c>
      <c r="C59" s="8" t="s">
        <v>95</v>
      </c>
      <c r="D59" s="11" t="e">
        <f t="shared" si="2"/>
        <v>#REF!</v>
      </c>
      <c r="E59" s="12" t="e">
        <f t="shared" si="1"/>
        <v>#REF!</v>
      </c>
    </row>
    <row r="60" spans="1:5">
      <c r="A60" s="8">
        <v>41</v>
      </c>
      <c r="B60" s="10">
        <f t="shared" ca="1" si="0"/>
        <v>45221</v>
      </c>
      <c r="C60" s="8" t="s">
        <v>96</v>
      </c>
      <c r="D60" s="11" t="e">
        <f t="shared" si="2"/>
        <v>#REF!</v>
      </c>
      <c r="E60" s="12" t="e">
        <f t="shared" si="1"/>
        <v>#REF!</v>
      </c>
    </row>
    <row r="61" spans="1:5">
      <c r="A61" s="8">
        <v>42</v>
      </c>
      <c r="B61" s="10">
        <f t="shared" ca="1" si="0"/>
        <v>45252</v>
      </c>
      <c r="C61" s="8" t="s">
        <v>97</v>
      </c>
      <c r="D61" s="11" t="e">
        <f t="shared" si="2"/>
        <v>#REF!</v>
      </c>
      <c r="E61" s="12" t="e">
        <f t="shared" si="1"/>
        <v>#REF!</v>
      </c>
    </row>
    <row r="62" spans="1:5">
      <c r="A62" s="7">
        <v>43</v>
      </c>
      <c r="B62" s="96">
        <f t="shared" ca="1" si="0"/>
        <v>45282</v>
      </c>
      <c r="C62" s="7" t="s">
        <v>98</v>
      </c>
      <c r="D62" s="13" t="e">
        <f t="shared" si="2"/>
        <v>#REF!</v>
      </c>
      <c r="E62" s="97" t="e">
        <f t="shared" si="1"/>
        <v>#REF!</v>
      </c>
    </row>
    <row r="63" spans="1:5">
      <c r="A63" s="8">
        <v>44</v>
      </c>
      <c r="B63" s="10">
        <f t="shared" ca="1" si="0"/>
        <v>45313</v>
      </c>
      <c r="C63" s="8" t="s">
        <v>99</v>
      </c>
      <c r="D63" s="11" t="e">
        <f t="shared" si="2"/>
        <v>#REF!</v>
      </c>
      <c r="E63" s="12" t="e">
        <f t="shared" si="1"/>
        <v>#REF!</v>
      </c>
    </row>
    <row r="64" spans="1:5">
      <c r="A64" s="8">
        <v>45</v>
      </c>
      <c r="B64" s="10">
        <f t="shared" ca="1" si="0"/>
        <v>45344</v>
      </c>
      <c r="C64" s="8" t="s">
        <v>100</v>
      </c>
      <c r="D64" s="11" t="e">
        <f t="shared" si="2"/>
        <v>#REF!</v>
      </c>
      <c r="E64" s="12" t="e">
        <f t="shared" si="1"/>
        <v>#REF!</v>
      </c>
    </row>
    <row r="65" spans="1:5">
      <c r="A65" s="8">
        <v>46</v>
      </c>
      <c r="B65" s="10">
        <f t="shared" ca="1" si="0"/>
        <v>45373</v>
      </c>
      <c r="C65" s="8" t="s">
        <v>101</v>
      </c>
      <c r="D65" s="11" t="e">
        <f t="shared" si="2"/>
        <v>#REF!</v>
      </c>
      <c r="E65" s="12" t="e">
        <f t="shared" si="1"/>
        <v>#REF!</v>
      </c>
    </row>
    <row r="66" spans="1:5">
      <c r="A66" s="8">
        <v>47</v>
      </c>
      <c r="B66" s="10">
        <f t="shared" ca="1" si="0"/>
        <v>45404</v>
      </c>
      <c r="C66" s="8" t="s">
        <v>102</v>
      </c>
      <c r="D66" s="11" t="e">
        <f t="shared" si="2"/>
        <v>#REF!</v>
      </c>
      <c r="E66" s="12" t="e">
        <f t="shared" si="1"/>
        <v>#REF!</v>
      </c>
    </row>
    <row r="67" spans="1:5">
      <c r="A67" s="8">
        <v>48</v>
      </c>
      <c r="B67" s="10">
        <f t="shared" ca="1" si="0"/>
        <v>45434</v>
      </c>
      <c r="C67" s="8" t="s">
        <v>103</v>
      </c>
      <c r="D67" s="11" t="e">
        <f t="shared" si="2"/>
        <v>#REF!</v>
      </c>
      <c r="E67" s="12" t="e">
        <f t="shared" si="1"/>
        <v>#REF!</v>
      </c>
    </row>
    <row r="68" spans="1:5">
      <c r="A68" s="8">
        <v>49</v>
      </c>
      <c r="B68" s="10">
        <f t="shared" ca="1" si="0"/>
        <v>45465</v>
      </c>
      <c r="C68" s="8" t="s">
        <v>104</v>
      </c>
      <c r="D68" s="11" t="e">
        <f t="shared" si="2"/>
        <v>#REF!</v>
      </c>
      <c r="E68" s="12" t="e">
        <f t="shared" si="1"/>
        <v>#REF!</v>
      </c>
    </row>
    <row r="69" spans="1:5">
      <c r="A69" s="8">
        <v>50</v>
      </c>
      <c r="B69" s="10">
        <f t="shared" ca="1" si="0"/>
        <v>45495</v>
      </c>
      <c r="C69" s="8" t="s">
        <v>105</v>
      </c>
      <c r="D69" s="11" t="e">
        <f t="shared" si="2"/>
        <v>#REF!</v>
      </c>
      <c r="E69" s="12" t="e">
        <f t="shared" si="1"/>
        <v>#REF!</v>
      </c>
    </row>
    <row r="70" spans="1:5">
      <c r="A70" s="8">
        <v>51</v>
      </c>
      <c r="B70" s="10">
        <f t="shared" ca="1" si="0"/>
        <v>45526</v>
      </c>
      <c r="C70" s="8" t="s">
        <v>106</v>
      </c>
      <c r="D70" s="11" t="e">
        <f t="shared" si="2"/>
        <v>#REF!</v>
      </c>
      <c r="E70" s="12" t="e">
        <f t="shared" si="1"/>
        <v>#REF!</v>
      </c>
    </row>
    <row r="71" spans="1:5">
      <c r="A71" s="8">
        <v>52</v>
      </c>
      <c r="B71" s="10">
        <f t="shared" ca="1" si="0"/>
        <v>45557</v>
      </c>
      <c r="C71" s="8" t="s">
        <v>107</v>
      </c>
      <c r="D71" s="11" t="e">
        <f t="shared" si="2"/>
        <v>#REF!</v>
      </c>
      <c r="E71" s="12" t="e">
        <f t="shared" si="1"/>
        <v>#REF!</v>
      </c>
    </row>
    <row r="72" spans="1:5">
      <c r="A72" s="8">
        <v>53</v>
      </c>
      <c r="B72" s="10">
        <f t="shared" ca="1" si="0"/>
        <v>45587</v>
      </c>
      <c r="C72" s="8" t="s">
        <v>108</v>
      </c>
      <c r="D72" s="11" t="e">
        <f t="shared" si="2"/>
        <v>#REF!</v>
      </c>
      <c r="E72" s="12" t="e">
        <f t="shared" si="1"/>
        <v>#REF!</v>
      </c>
    </row>
    <row r="73" spans="1:5">
      <c r="A73" s="8">
        <v>54</v>
      </c>
      <c r="B73" s="10">
        <f t="shared" ca="1" si="0"/>
        <v>45618</v>
      </c>
      <c r="C73" s="8" t="s">
        <v>109</v>
      </c>
      <c r="D73" s="11" t="e">
        <f t="shared" si="2"/>
        <v>#REF!</v>
      </c>
      <c r="E73" s="12" t="e">
        <f t="shared" si="1"/>
        <v>#REF!</v>
      </c>
    </row>
    <row r="74" spans="1:5">
      <c r="A74" s="8">
        <v>55</v>
      </c>
      <c r="B74" s="10">
        <f t="shared" ca="1" si="0"/>
        <v>45648</v>
      </c>
      <c r="C74" s="8" t="s">
        <v>110</v>
      </c>
      <c r="D74" s="11" t="e">
        <f t="shared" si="2"/>
        <v>#REF!</v>
      </c>
      <c r="E74" s="12" t="e">
        <f t="shared" si="1"/>
        <v>#REF!</v>
      </c>
    </row>
    <row r="75" spans="1:5">
      <c r="A75" s="14">
        <v>56</v>
      </c>
      <c r="B75" s="15">
        <f t="shared" ca="1" si="0"/>
        <v>45679</v>
      </c>
      <c r="C75" s="14" t="s">
        <v>39</v>
      </c>
      <c r="D75" s="16" t="e">
        <f>C16*0.5</f>
        <v>#REF!</v>
      </c>
      <c r="E75" s="38" t="e">
        <f>E74-D75</f>
        <v>#REF!</v>
      </c>
    </row>
    <row r="76" spans="1:5">
      <c r="A76" s="17"/>
      <c r="B76" s="18"/>
      <c r="C76" s="19" t="s">
        <v>16</v>
      </c>
      <c r="D76" s="20" t="e">
        <f>SUM(D19:D75)</f>
        <v>#REF!</v>
      </c>
      <c r="E76" s="17"/>
    </row>
    <row r="77" spans="1:5">
      <c r="A77" s="3" t="s">
        <v>62</v>
      </c>
      <c r="B77" s="27"/>
      <c r="C77" s="28"/>
      <c r="D77" s="29"/>
      <c r="E77" s="30"/>
    </row>
    <row r="78" spans="1:5">
      <c r="A78" s="4" t="s">
        <v>70</v>
      </c>
      <c r="B78" s="30"/>
      <c r="C78" s="28"/>
      <c r="D78" s="29"/>
      <c r="E78" s="30"/>
    </row>
    <row r="79" spans="1:5">
      <c r="A79" s="4" t="s">
        <v>71</v>
      </c>
      <c r="B79" s="30"/>
      <c r="C79" s="28"/>
      <c r="D79" s="29"/>
      <c r="E79" s="30"/>
    </row>
    <row r="80" spans="1:5">
      <c r="A80" s="4" t="s">
        <v>89</v>
      </c>
      <c r="B80" s="30"/>
      <c r="C80" s="28"/>
      <c r="D80" s="30"/>
      <c r="E80" s="30"/>
    </row>
    <row r="81" spans="1:5">
      <c r="A81" s="4" t="s">
        <v>75</v>
      </c>
      <c r="B81" s="30"/>
      <c r="C81" s="28"/>
      <c r="D81" s="30"/>
      <c r="E81" s="30"/>
    </row>
    <row r="82" spans="1:5">
      <c r="A82" s="4" t="s">
        <v>63</v>
      </c>
      <c r="B82" s="30"/>
      <c r="C82" s="28"/>
      <c r="D82" s="30"/>
      <c r="E82" s="30"/>
    </row>
    <row r="84" spans="1:5">
      <c r="A84" s="1" t="s">
        <v>17</v>
      </c>
    </row>
    <row r="86" spans="1:5">
      <c r="A86" s="5"/>
      <c r="D86" s="5"/>
    </row>
    <row r="87" spans="1:5">
      <c r="A87" s="2" t="s">
        <v>18</v>
      </c>
      <c r="D87" s="2" t="s">
        <v>18</v>
      </c>
    </row>
  </sheetData>
  <sheetProtection password="CAF1" sheet="1" selectLockedCells="1"/>
  <mergeCells count="6">
    <mergeCell ref="B9:E9"/>
    <mergeCell ref="E1:E2"/>
    <mergeCell ref="B5:E5"/>
    <mergeCell ref="B6:E6"/>
    <mergeCell ref="B7:E7"/>
    <mergeCell ref="B8:E8"/>
  </mergeCells>
  <hyperlinks>
    <hyperlink ref="B1" location="'DATA SHEET'!A1" display="HIGHLANDS PRIME, INC." xr:uid="{00000000-0004-0000-0E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rowBreaks count="1" manualBreakCount="1">
    <brk id="56" max="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3">
    <tabColor rgb="FFFFC000"/>
    <pageSetUpPr fitToPage="1"/>
  </sheetPr>
  <dimension ref="A1:E65"/>
  <sheetViews>
    <sheetView showGridLines="0" view="pageLayout" zoomScaleNormal="93" workbookViewId="0">
      <selection activeCell="B10" sqref="B10:D10"/>
    </sheetView>
  </sheetViews>
  <sheetFormatPr baseColWidth="10" defaultColWidth="9.1640625" defaultRowHeight="14"/>
  <cols>
    <col min="1" max="1" width="24.5" style="114" customWidth="1"/>
    <col min="2" max="2" width="12.6640625" style="114" customWidth="1"/>
    <col min="3" max="3" width="20.1640625" style="116" customWidth="1"/>
    <col min="4" max="5" width="15.6640625" style="114" customWidth="1"/>
    <col min="6" max="16384" width="9.1640625" style="114"/>
  </cols>
  <sheetData>
    <row r="1" spans="1:5" ht="12.75" customHeight="1">
      <c r="B1" s="115" t="s">
        <v>35</v>
      </c>
      <c r="E1" s="361" t="s">
        <v>66</v>
      </c>
    </row>
    <row r="2" spans="1:5">
      <c r="B2" s="117" t="s">
        <v>207</v>
      </c>
      <c r="E2" s="361"/>
    </row>
    <row r="3" spans="1:5">
      <c r="B3" s="117" t="s">
        <v>36</v>
      </c>
    </row>
    <row r="5" spans="1:5">
      <c r="A5" s="118" t="s">
        <v>0</v>
      </c>
      <c r="B5" s="362" t="str">
        <f>'DATA SHEET'!C9</f>
        <v xml:space="preserve"> </v>
      </c>
      <c r="C5" s="362"/>
      <c r="D5" s="363"/>
    </row>
    <row r="6" spans="1:5">
      <c r="A6" s="119" t="s">
        <v>31</v>
      </c>
      <c r="B6" s="364" t="str">
        <f>VLOOKUP('DATA SHEET'!$C$10,' Glenview PL'!C6:F30,1,FALSE)</f>
        <v>GB</v>
      </c>
      <c r="C6" s="364"/>
      <c r="D6" s="365"/>
    </row>
    <row r="7" spans="1:5">
      <c r="A7" s="119" t="s">
        <v>37</v>
      </c>
      <c r="B7" s="366">
        <f>VLOOKUP('DATA SHEET'!C10,' Glenview PL'!C6:F30,3,FALSE)</f>
        <v>67.900000000000006</v>
      </c>
      <c r="C7" s="366"/>
      <c r="D7" s="367"/>
    </row>
    <row r="8" spans="1:5">
      <c r="A8" s="119" t="s">
        <v>194</v>
      </c>
      <c r="B8" s="147" t="str">
        <f>VLOOKUP('DATA SHEET'!C10,' Glenview PL'!C6:D30,2,0)</f>
        <v>1-Bedroom Terrace Suite</v>
      </c>
      <c r="C8" s="147"/>
      <c r="D8" s="148"/>
    </row>
    <row r="9" spans="1:5">
      <c r="A9" s="119" t="s">
        <v>204</v>
      </c>
      <c r="B9" s="368">
        <f>VLOOKUP('DATA SHEET'!C10,' Glenview PL'!C6:F30,4,0)</f>
        <v>8851760</v>
      </c>
      <c r="C9" s="368"/>
      <c r="D9" s="369"/>
    </row>
    <row r="10" spans="1:5">
      <c r="A10" s="120" t="s">
        <v>33</v>
      </c>
      <c r="B10" s="359" t="s">
        <v>205</v>
      </c>
      <c r="C10" s="359"/>
      <c r="D10" s="360"/>
    </row>
    <row r="12" spans="1:5">
      <c r="A12" s="117" t="s">
        <v>55</v>
      </c>
    </row>
    <row r="13" spans="1:5">
      <c r="A13" s="114" t="s">
        <v>192</v>
      </c>
      <c r="C13" s="121">
        <f>B9-750000</f>
        <v>8101760</v>
      </c>
      <c r="D13" s="155" t="str">
        <f>LEFT(B8,9)</f>
        <v>1-Bedroom</v>
      </c>
    </row>
    <row r="14" spans="1:5">
      <c r="A14" s="156" t="s">
        <v>186</v>
      </c>
      <c r="B14" s="192">
        <f>VLOOKUP('DATA SHEET'!C10,' Glenview PL'!C6:G30,5,0)</f>
        <v>230000</v>
      </c>
      <c r="C14" s="139">
        <f>IF(B14&gt;VLOOKUP(B6,' Glenview PL'!C:G,5,0),"beyond maximum discount",('INST1_Non mem'!C13*'INST1_Non mem'!B14))</f>
        <v>1863404800000</v>
      </c>
      <c r="D14" s="161">
        <f>VLOOKUP(B6,' Glenview PL'!C:G,5,0)</f>
        <v>230000</v>
      </c>
      <c r="E14" s="158">
        <v>0.05</v>
      </c>
    </row>
    <row r="15" spans="1:5">
      <c r="A15" s="156" t="s">
        <v>72</v>
      </c>
      <c r="B15" s="151">
        <v>0.01</v>
      </c>
      <c r="C15" s="133">
        <f>IF(B15&gt;1%,"Error",((C13-C14)*B15))</f>
        <v>-18633966982.400002</v>
      </c>
      <c r="D15" s="190"/>
    </row>
    <row r="16" spans="1:5">
      <c r="C16" s="121">
        <f>C13-C14-C15</f>
        <v>-1844762731257.6001</v>
      </c>
      <c r="D16" s="141"/>
    </row>
    <row r="17" spans="1:5">
      <c r="A17" s="114" t="s">
        <v>56</v>
      </c>
      <c r="C17" s="122">
        <v>750000</v>
      </c>
      <c r="D17" s="116"/>
    </row>
    <row r="18" spans="1:5" ht="15" thickBot="1">
      <c r="A18" s="117" t="s">
        <v>58</v>
      </c>
      <c r="B18" s="117"/>
      <c r="C18" s="134">
        <f>C16+C17</f>
        <v>-1844761981257.6001</v>
      </c>
      <c r="D18" s="116"/>
    </row>
    <row r="19" spans="1:5" ht="15" thickTop="1"/>
    <row r="20" spans="1:5">
      <c r="A20" s="124" t="s">
        <v>34</v>
      </c>
      <c r="B20" s="124" t="s">
        <v>32</v>
      </c>
      <c r="C20" s="124" t="s">
        <v>2</v>
      </c>
      <c r="D20" s="124" t="s">
        <v>3</v>
      </c>
      <c r="E20" s="124" t="s">
        <v>68</v>
      </c>
    </row>
    <row r="21" spans="1:5">
      <c r="A21" s="140">
        <v>0</v>
      </c>
      <c r="B21" s="163">
        <f ca="1">'DATA SHEET'!C8</f>
        <v>43973</v>
      </c>
      <c r="C21" s="140" t="s">
        <v>38</v>
      </c>
      <c r="D21" s="162">
        <f>IF(D13="1-Bedroom",50000,100000)</f>
        <v>50000</v>
      </c>
      <c r="E21" s="164">
        <f>C18-D21</f>
        <v>-1844762031257.6001</v>
      </c>
    </row>
    <row r="22" spans="1:5">
      <c r="A22" s="140">
        <v>1</v>
      </c>
      <c r="B22" s="165">
        <f ca="1">EDATE(B21,1)</f>
        <v>44004</v>
      </c>
      <c r="C22" s="153" t="s">
        <v>197</v>
      </c>
      <c r="D22" s="154">
        <f>(C18*10%)-D21</f>
        <v>-184476248125.76001</v>
      </c>
      <c r="E22" s="166">
        <f>E21-D22</f>
        <v>-1660285783131.8401</v>
      </c>
    </row>
    <row r="23" spans="1:5">
      <c r="A23" s="153">
        <v>2</v>
      </c>
      <c r="B23" s="165">
        <f t="shared" ref="B23:B53" ca="1" si="0">EDATE(B22,1)</f>
        <v>44034</v>
      </c>
      <c r="C23" s="153" t="s">
        <v>4</v>
      </c>
      <c r="D23" s="154">
        <f>(C18*10%)/30</f>
        <v>-6149206604.1920004</v>
      </c>
      <c r="E23" s="166">
        <f t="shared" ref="E23:E46" si="1">E22-D23</f>
        <v>-1654136576527.6482</v>
      </c>
    </row>
    <row r="24" spans="1:5">
      <c r="A24" s="140">
        <v>3</v>
      </c>
      <c r="B24" s="165">
        <f t="shared" ca="1" si="0"/>
        <v>44065</v>
      </c>
      <c r="C24" s="153" t="s">
        <v>5</v>
      </c>
      <c r="D24" s="154">
        <f>D23</f>
        <v>-6149206604.1920004</v>
      </c>
      <c r="E24" s="166">
        <f t="shared" si="1"/>
        <v>-1647987369923.4563</v>
      </c>
    </row>
    <row r="25" spans="1:5">
      <c r="A25" s="153">
        <v>4</v>
      </c>
      <c r="B25" s="165">
        <f t="shared" ca="1" si="0"/>
        <v>44096</v>
      </c>
      <c r="C25" s="153" t="s">
        <v>6</v>
      </c>
      <c r="D25" s="154">
        <f>D24</f>
        <v>-6149206604.1920004</v>
      </c>
      <c r="E25" s="166">
        <f t="shared" si="1"/>
        <v>-1641838163319.2644</v>
      </c>
    </row>
    <row r="26" spans="1:5">
      <c r="A26" s="140">
        <v>5</v>
      </c>
      <c r="B26" s="165">
        <f t="shared" ca="1" si="0"/>
        <v>44126</v>
      </c>
      <c r="C26" s="153" t="s">
        <v>7</v>
      </c>
      <c r="D26" s="154">
        <f t="shared" ref="D26:D52" si="2">D25</f>
        <v>-6149206604.1920004</v>
      </c>
      <c r="E26" s="166">
        <f t="shared" si="1"/>
        <v>-1635688956715.0725</v>
      </c>
    </row>
    <row r="27" spans="1:5">
      <c r="A27" s="153">
        <v>6</v>
      </c>
      <c r="B27" s="165">
        <f t="shared" ca="1" si="0"/>
        <v>44157</v>
      </c>
      <c r="C27" s="153" t="s">
        <v>8</v>
      </c>
      <c r="D27" s="154">
        <f t="shared" si="2"/>
        <v>-6149206604.1920004</v>
      </c>
      <c r="E27" s="166">
        <f t="shared" si="1"/>
        <v>-1629539750110.8806</v>
      </c>
    </row>
    <row r="28" spans="1:5">
      <c r="A28" s="140">
        <v>7</v>
      </c>
      <c r="B28" s="165">
        <f t="shared" ca="1" si="0"/>
        <v>44187</v>
      </c>
      <c r="C28" s="153" t="s">
        <v>9</v>
      </c>
      <c r="D28" s="154">
        <f t="shared" si="2"/>
        <v>-6149206604.1920004</v>
      </c>
      <c r="E28" s="166">
        <f t="shared" si="1"/>
        <v>-1623390543506.6887</v>
      </c>
    </row>
    <row r="29" spans="1:5">
      <c r="A29" s="153">
        <v>8</v>
      </c>
      <c r="B29" s="165">
        <f t="shared" ca="1" si="0"/>
        <v>44218</v>
      </c>
      <c r="C29" s="153" t="s">
        <v>10</v>
      </c>
      <c r="D29" s="154">
        <f t="shared" si="2"/>
        <v>-6149206604.1920004</v>
      </c>
      <c r="E29" s="166">
        <f t="shared" si="1"/>
        <v>-1617241336902.4968</v>
      </c>
    </row>
    <row r="30" spans="1:5">
      <c r="A30" s="140">
        <v>9</v>
      </c>
      <c r="B30" s="165">
        <f t="shared" ca="1" si="0"/>
        <v>44249</v>
      </c>
      <c r="C30" s="153" t="s">
        <v>11</v>
      </c>
      <c r="D30" s="154">
        <f t="shared" si="2"/>
        <v>-6149206604.1920004</v>
      </c>
      <c r="E30" s="166">
        <f t="shared" si="1"/>
        <v>-1611092130298.3049</v>
      </c>
    </row>
    <row r="31" spans="1:5">
      <c r="A31" s="153">
        <v>10</v>
      </c>
      <c r="B31" s="165">
        <f t="shared" ca="1" si="0"/>
        <v>44277</v>
      </c>
      <c r="C31" s="153" t="s">
        <v>12</v>
      </c>
      <c r="D31" s="154">
        <f t="shared" si="2"/>
        <v>-6149206604.1920004</v>
      </c>
      <c r="E31" s="166">
        <f t="shared" si="1"/>
        <v>-1604942923694.113</v>
      </c>
    </row>
    <row r="32" spans="1:5">
      <c r="A32" s="140">
        <v>11</v>
      </c>
      <c r="B32" s="165">
        <f t="shared" ca="1" si="0"/>
        <v>44308</v>
      </c>
      <c r="C32" s="153" t="s">
        <v>13</v>
      </c>
      <c r="D32" s="154">
        <f t="shared" si="2"/>
        <v>-6149206604.1920004</v>
      </c>
      <c r="E32" s="166">
        <f t="shared" si="1"/>
        <v>-1598793717089.9211</v>
      </c>
    </row>
    <row r="33" spans="1:5">
      <c r="A33" s="153">
        <v>12</v>
      </c>
      <c r="B33" s="165">
        <f t="shared" ca="1" si="0"/>
        <v>44338</v>
      </c>
      <c r="C33" s="153" t="s">
        <v>14</v>
      </c>
      <c r="D33" s="154">
        <f t="shared" si="2"/>
        <v>-6149206604.1920004</v>
      </c>
      <c r="E33" s="166">
        <f t="shared" si="1"/>
        <v>-1592644510485.7292</v>
      </c>
    </row>
    <row r="34" spans="1:5">
      <c r="A34" s="140">
        <v>13</v>
      </c>
      <c r="B34" s="165">
        <f t="shared" ca="1" si="0"/>
        <v>44369</v>
      </c>
      <c r="C34" s="153" t="s">
        <v>15</v>
      </c>
      <c r="D34" s="154">
        <f t="shared" si="2"/>
        <v>-6149206604.1920004</v>
      </c>
      <c r="E34" s="166">
        <f t="shared" si="1"/>
        <v>-1586495303881.5374</v>
      </c>
    </row>
    <row r="35" spans="1:5">
      <c r="A35" s="153">
        <v>14</v>
      </c>
      <c r="B35" s="165">
        <f t="shared" ca="1" si="0"/>
        <v>44399</v>
      </c>
      <c r="C35" s="153" t="s">
        <v>19</v>
      </c>
      <c r="D35" s="154">
        <f t="shared" si="2"/>
        <v>-6149206604.1920004</v>
      </c>
      <c r="E35" s="166">
        <f t="shared" si="1"/>
        <v>-1580346097277.3455</v>
      </c>
    </row>
    <row r="36" spans="1:5">
      <c r="A36" s="140">
        <v>15</v>
      </c>
      <c r="B36" s="165">
        <f t="shared" ca="1" si="0"/>
        <v>44430</v>
      </c>
      <c r="C36" s="153" t="s">
        <v>20</v>
      </c>
      <c r="D36" s="154">
        <f t="shared" si="2"/>
        <v>-6149206604.1920004</v>
      </c>
      <c r="E36" s="166">
        <f t="shared" si="1"/>
        <v>-1574196890673.1536</v>
      </c>
    </row>
    <row r="37" spans="1:5">
      <c r="A37" s="153">
        <v>16</v>
      </c>
      <c r="B37" s="165">
        <f t="shared" ca="1" si="0"/>
        <v>44461</v>
      </c>
      <c r="C37" s="153" t="s">
        <v>21</v>
      </c>
      <c r="D37" s="154">
        <f t="shared" si="2"/>
        <v>-6149206604.1920004</v>
      </c>
      <c r="E37" s="166">
        <f t="shared" si="1"/>
        <v>-1568047684068.9617</v>
      </c>
    </row>
    <row r="38" spans="1:5">
      <c r="A38" s="140">
        <v>17</v>
      </c>
      <c r="B38" s="165">
        <f t="shared" ca="1" si="0"/>
        <v>44491</v>
      </c>
      <c r="C38" s="153" t="s">
        <v>22</v>
      </c>
      <c r="D38" s="154">
        <f t="shared" si="2"/>
        <v>-6149206604.1920004</v>
      </c>
      <c r="E38" s="166">
        <f t="shared" si="1"/>
        <v>-1561898477464.7698</v>
      </c>
    </row>
    <row r="39" spans="1:5">
      <c r="A39" s="153">
        <v>18</v>
      </c>
      <c r="B39" s="165">
        <f t="shared" ca="1" si="0"/>
        <v>44522</v>
      </c>
      <c r="C39" s="153" t="s">
        <v>23</v>
      </c>
      <c r="D39" s="154">
        <f t="shared" si="2"/>
        <v>-6149206604.1920004</v>
      </c>
      <c r="E39" s="166">
        <f t="shared" si="1"/>
        <v>-1555749270860.5779</v>
      </c>
    </row>
    <row r="40" spans="1:5">
      <c r="A40" s="140">
        <v>19</v>
      </c>
      <c r="B40" s="165">
        <f t="shared" ca="1" si="0"/>
        <v>44552</v>
      </c>
      <c r="C40" s="153" t="s">
        <v>24</v>
      </c>
      <c r="D40" s="154">
        <f t="shared" si="2"/>
        <v>-6149206604.1920004</v>
      </c>
      <c r="E40" s="166">
        <f t="shared" si="1"/>
        <v>-1549600064256.386</v>
      </c>
    </row>
    <row r="41" spans="1:5">
      <c r="A41" s="153">
        <v>20</v>
      </c>
      <c r="B41" s="165">
        <f t="shared" ca="1" si="0"/>
        <v>44583</v>
      </c>
      <c r="C41" s="153" t="s">
        <v>25</v>
      </c>
      <c r="D41" s="154">
        <f t="shared" si="2"/>
        <v>-6149206604.1920004</v>
      </c>
      <c r="E41" s="166">
        <f t="shared" si="1"/>
        <v>-1543450857652.1941</v>
      </c>
    </row>
    <row r="42" spans="1:5">
      <c r="A42" s="140">
        <v>21</v>
      </c>
      <c r="B42" s="165">
        <f t="shared" ca="1" si="0"/>
        <v>44614</v>
      </c>
      <c r="C42" s="153" t="s">
        <v>26</v>
      </c>
      <c r="D42" s="154">
        <f t="shared" si="2"/>
        <v>-6149206604.1920004</v>
      </c>
      <c r="E42" s="166">
        <f t="shared" si="1"/>
        <v>-1537301651048.0022</v>
      </c>
    </row>
    <row r="43" spans="1:5">
      <c r="A43" s="153">
        <v>22</v>
      </c>
      <c r="B43" s="165">
        <f t="shared" ca="1" si="0"/>
        <v>44642</v>
      </c>
      <c r="C43" s="153" t="s">
        <v>27</v>
      </c>
      <c r="D43" s="154">
        <f t="shared" si="2"/>
        <v>-6149206604.1920004</v>
      </c>
      <c r="E43" s="166">
        <f t="shared" si="1"/>
        <v>-1531152444443.8103</v>
      </c>
    </row>
    <row r="44" spans="1:5">
      <c r="A44" s="140">
        <v>23</v>
      </c>
      <c r="B44" s="165">
        <f t="shared" ca="1" si="0"/>
        <v>44673</v>
      </c>
      <c r="C44" s="153" t="s">
        <v>28</v>
      </c>
      <c r="D44" s="154">
        <f t="shared" si="2"/>
        <v>-6149206604.1920004</v>
      </c>
      <c r="E44" s="166">
        <f t="shared" si="1"/>
        <v>-1525003237839.6184</v>
      </c>
    </row>
    <row r="45" spans="1:5">
      <c r="A45" s="153">
        <v>24</v>
      </c>
      <c r="B45" s="165">
        <f t="shared" ca="1" si="0"/>
        <v>44703</v>
      </c>
      <c r="C45" s="153" t="s">
        <v>29</v>
      </c>
      <c r="D45" s="154">
        <f t="shared" si="2"/>
        <v>-6149206604.1920004</v>
      </c>
      <c r="E45" s="166">
        <f t="shared" si="1"/>
        <v>-1518854031235.4265</v>
      </c>
    </row>
    <row r="46" spans="1:5">
      <c r="A46" s="140">
        <v>25</v>
      </c>
      <c r="B46" s="165">
        <f t="shared" ca="1" si="0"/>
        <v>44734</v>
      </c>
      <c r="C46" s="153" t="s">
        <v>30</v>
      </c>
      <c r="D46" s="154">
        <f t="shared" si="2"/>
        <v>-6149206604.1920004</v>
      </c>
      <c r="E46" s="166">
        <f t="shared" si="1"/>
        <v>-1512704824631.2346</v>
      </c>
    </row>
    <row r="47" spans="1:5">
      <c r="A47" s="153">
        <v>26</v>
      </c>
      <c r="B47" s="165">
        <f t="shared" ca="1" si="0"/>
        <v>44764</v>
      </c>
      <c r="C47" s="153" t="s">
        <v>48</v>
      </c>
      <c r="D47" s="154">
        <f t="shared" si="2"/>
        <v>-6149206604.1920004</v>
      </c>
      <c r="E47" s="166">
        <f t="shared" ref="E47:E53" si="3">E46-D47</f>
        <v>-1506555618027.0427</v>
      </c>
    </row>
    <row r="48" spans="1:5">
      <c r="A48" s="140">
        <v>27</v>
      </c>
      <c r="B48" s="165">
        <f t="shared" ca="1" si="0"/>
        <v>44795</v>
      </c>
      <c r="C48" s="153" t="s">
        <v>49</v>
      </c>
      <c r="D48" s="154">
        <f t="shared" si="2"/>
        <v>-6149206604.1920004</v>
      </c>
      <c r="E48" s="166">
        <f t="shared" si="3"/>
        <v>-1500406411422.8508</v>
      </c>
    </row>
    <row r="49" spans="1:5">
      <c r="A49" s="153">
        <v>28</v>
      </c>
      <c r="B49" s="165">
        <f t="shared" ca="1" si="0"/>
        <v>44826</v>
      </c>
      <c r="C49" s="153" t="s">
        <v>50</v>
      </c>
      <c r="D49" s="154">
        <f t="shared" si="2"/>
        <v>-6149206604.1920004</v>
      </c>
      <c r="E49" s="166">
        <f t="shared" si="3"/>
        <v>-1494257204818.6589</v>
      </c>
    </row>
    <row r="50" spans="1:5">
      <c r="A50" s="140">
        <v>29</v>
      </c>
      <c r="B50" s="165">
        <f t="shared" ca="1" si="0"/>
        <v>44856</v>
      </c>
      <c r="C50" s="153" t="s">
        <v>51</v>
      </c>
      <c r="D50" s="154">
        <f t="shared" si="2"/>
        <v>-6149206604.1920004</v>
      </c>
      <c r="E50" s="166">
        <f t="shared" si="3"/>
        <v>-1488107998214.467</v>
      </c>
    </row>
    <row r="51" spans="1:5">
      <c r="A51" s="153">
        <v>30</v>
      </c>
      <c r="B51" s="165">
        <f t="shared" ca="1" si="0"/>
        <v>44887</v>
      </c>
      <c r="C51" s="153" t="s">
        <v>52</v>
      </c>
      <c r="D51" s="154">
        <f t="shared" si="2"/>
        <v>-6149206604.1920004</v>
      </c>
      <c r="E51" s="166">
        <f t="shared" si="3"/>
        <v>-1481958791610.2751</v>
      </c>
    </row>
    <row r="52" spans="1:5">
      <c r="A52" s="140">
        <v>31</v>
      </c>
      <c r="B52" s="165">
        <f t="shared" ca="1" si="0"/>
        <v>44917</v>
      </c>
      <c r="C52" s="153" t="s">
        <v>53</v>
      </c>
      <c r="D52" s="154">
        <f t="shared" si="2"/>
        <v>-6149206604.1920004</v>
      </c>
      <c r="E52" s="166">
        <f t="shared" si="3"/>
        <v>-1475809585006.0833</v>
      </c>
    </row>
    <row r="53" spans="1:5">
      <c r="A53" s="153">
        <v>50</v>
      </c>
      <c r="B53" s="165">
        <f t="shared" ca="1" si="0"/>
        <v>44948</v>
      </c>
      <c r="C53" s="153" t="s">
        <v>196</v>
      </c>
      <c r="D53" s="168">
        <f>C18*0.8</f>
        <v>-1475809585006.0801</v>
      </c>
      <c r="E53" s="166">
        <f t="shared" si="3"/>
        <v>-3.173828125E-3</v>
      </c>
    </row>
    <row r="54" spans="1:5">
      <c r="A54" s="125"/>
      <c r="B54" s="126"/>
      <c r="C54" s="169"/>
      <c r="D54" s="128">
        <f>SUM(D21:D53)</f>
        <v>-1844761981257.6001</v>
      </c>
      <c r="E54" s="125"/>
    </row>
    <row r="55" spans="1:5">
      <c r="A55" s="129" t="s">
        <v>62</v>
      </c>
      <c r="B55" s="135"/>
      <c r="C55" s="136"/>
      <c r="D55" s="137"/>
      <c r="E55" s="138"/>
    </row>
    <row r="56" spans="1:5">
      <c r="A56" s="130" t="s">
        <v>70</v>
      </c>
      <c r="B56" s="138"/>
      <c r="C56" s="136"/>
      <c r="D56" s="137"/>
      <c r="E56" s="138"/>
    </row>
    <row r="57" spans="1:5">
      <c r="A57" s="130" t="s">
        <v>71</v>
      </c>
      <c r="B57" s="138"/>
      <c r="C57" s="136"/>
      <c r="D57" s="137"/>
      <c r="E57" s="138"/>
    </row>
    <row r="58" spans="1:5">
      <c r="A58" s="130" t="s">
        <v>89</v>
      </c>
      <c r="B58" s="138"/>
      <c r="C58" s="136"/>
      <c r="D58" s="138"/>
      <c r="E58" s="138"/>
    </row>
    <row r="59" spans="1:5">
      <c r="A59" s="130" t="s">
        <v>75</v>
      </c>
      <c r="B59" s="138"/>
      <c r="C59" s="136"/>
      <c r="D59" s="138"/>
      <c r="E59" s="138"/>
    </row>
    <row r="60" spans="1:5">
      <c r="A60" s="130" t="s">
        <v>63</v>
      </c>
      <c r="B60" s="138"/>
      <c r="C60" s="136"/>
      <c r="D60" s="138"/>
      <c r="E60" s="138"/>
    </row>
    <row r="62" spans="1:5">
      <c r="A62" s="114" t="s">
        <v>17</v>
      </c>
    </row>
    <row r="64" spans="1:5">
      <c r="A64" s="131"/>
      <c r="D64" s="131"/>
    </row>
    <row r="65" spans="1:4">
      <c r="A65" s="116" t="s">
        <v>18</v>
      </c>
      <c r="D65" s="116" t="s">
        <v>18</v>
      </c>
    </row>
  </sheetData>
  <sheetProtection selectLockedCells="1"/>
  <mergeCells count="6">
    <mergeCell ref="B10:D10"/>
    <mergeCell ref="E1:E2"/>
    <mergeCell ref="B5:D5"/>
    <mergeCell ref="B6:D6"/>
    <mergeCell ref="B7:D7"/>
    <mergeCell ref="B9:D9"/>
  </mergeCells>
  <hyperlinks>
    <hyperlink ref="B1" location="'DATA SHEET'!A1" display="HIGHLANDS PRIME, INC." xr:uid="{00000000-0004-0000-0F00-000000000000}"/>
  </hyperlinks>
  <printOptions horizontalCentered="1"/>
  <pageMargins left="0.7" right="0.7" top="0.5" bottom="0.75" header="0.05" footer="0.3"/>
  <pageSetup scale="80" orientation="portrait" r:id="rId1"/>
  <headerFooter alignWithMargins="0">
    <oddFooter>&amp;L&amp;8A project of HIGHLANDS PRIME, INC. Horizon Terraces HLURB License To Sell No. 032272&amp;R&amp;8Page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4">
    <tabColor theme="6" tint="-0.249977111117893"/>
    <pageSetUpPr fitToPage="1"/>
  </sheetPr>
  <dimension ref="A1:E66"/>
  <sheetViews>
    <sheetView showGridLines="0" view="pageLayout" zoomScaleNormal="100" workbookViewId="0">
      <selection activeCell="A16" sqref="A16"/>
    </sheetView>
  </sheetViews>
  <sheetFormatPr baseColWidth="10" defaultColWidth="9.1640625" defaultRowHeight="14"/>
  <cols>
    <col min="1" max="1" width="21.33203125" style="114" customWidth="1"/>
    <col min="2" max="2" width="12.6640625" style="114" customWidth="1"/>
    <col min="3" max="3" width="16.6640625" style="116" customWidth="1"/>
    <col min="4" max="5" width="15.6640625" style="114" customWidth="1"/>
    <col min="6" max="16384" width="9.1640625" style="114"/>
  </cols>
  <sheetData>
    <row r="1" spans="1:5" ht="12.75" customHeight="1">
      <c r="B1" s="115" t="s">
        <v>35</v>
      </c>
      <c r="E1" s="361" t="s">
        <v>66</v>
      </c>
    </row>
    <row r="2" spans="1:5">
      <c r="B2" s="117" t="s">
        <v>193</v>
      </c>
      <c r="E2" s="361"/>
    </row>
    <row r="3" spans="1:5">
      <c r="B3" s="117" t="s">
        <v>36</v>
      </c>
    </row>
    <row r="5" spans="1:5">
      <c r="A5" s="118" t="s">
        <v>0</v>
      </c>
      <c r="B5" s="362" t="str">
        <f>'DATA SHEET'!C9</f>
        <v xml:space="preserve"> </v>
      </c>
      <c r="C5" s="362"/>
      <c r="D5" s="363"/>
    </row>
    <row r="6" spans="1:5">
      <c r="A6" s="119" t="s">
        <v>31</v>
      </c>
      <c r="B6" s="364" t="str">
        <f>VLOOKUP('DATA SHEET'!$C$10,' Glenview PL'!C6:F30,1,FALSE)</f>
        <v>GB</v>
      </c>
      <c r="C6" s="364"/>
      <c r="D6" s="365"/>
    </row>
    <row r="7" spans="1:5">
      <c r="A7" s="119" t="s">
        <v>37</v>
      </c>
      <c r="B7" s="366">
        <f>VLOOKUP('DATA SHEET'!C10,' Glenview PL'!C6:F30,3,0)</f>
        <v>67.900000000000006</v>
      </c>
      <c r="C7" s="366"/>
      <c r="D7" s="367"/>
    </row>
    <row r="8" spans="1:5">
      <c r="A8" s="119" t="s">
        <v>194</v>
      </c>
      <c r="B8" s="147" t="str">
        <f>VLOOKUP('DATA SHEET'!C10,' Glenview PL'!C6:D30,2,0)</f>
        <v>1-Bedroom Terrace Suite</v>
      </c>
      <c r="C8" s="147"/>
      <c r="D8" s="148"/>
    </row>
    <row r="9" spans="1:5">
      <c r="A9" s="119" t="s">
        <v>204</v>
      </c>
      <c r="B9" s="368">
        <f>VLOOKUP('DATA SHEET'!C10,' Glenview PL'!C6:F30,4,0)</f>
        <v>8851760</v>
      </c>
      <c r="C9" s="368"/>
      <c r="D9" s="369"/>
    </row>
    <row r="10" spans="1:5">
      <c r="A10" s="120" t="s">
        <v>33</v>
      </c>
      <c r="B10" s="359" t="s">
        <v>205</v>
      </c>
      <c r="C10" s="359"/>
      <c r="D10" s="360"/>
    </row>
    <row r="12" spans="1:5">
      <c r="A12" s="117" t="s">
        <v>55</v>
      </c>
    </row>
    <row r="13" spans="1:5">
      <c r="A13" s="114" t="s">
        <v>57</v>
      </c>
      <c r="C13" s="121">
        <f>B9</f>
        <v>8851760</v>
      </c>
      <c r="D13" s="155" t="str">
        <f>LEFT(B8,9)</f>
        <v>1-Bedroom</v>
      </c>
    </row>
    <row r="14" spans="1:5">
      <c r="A14" s="114" t="s">
        <v>59</v>
      </c>
      <c r="C14" s="133">
        <v>750000</v>
      </c>
      <c r="D14" s="116"/>
    </row>
    <row r="15" spans="1:5">
      <c r="C15" s="121">
        <f>C13-C14</f>
        <v>8101760</v>
      </c>
      <c r="D15" s="116"/>
    </row>
    <row r="16" spans="1:5">
      <c r="A16" s="156" t="s">
        <v>190</v>
      </c>
      <c r="B16" s="192">
        <f>VLOOKUP('DATA SHEET'!C10,' Glenview PL'!C6:G30,5,0)</f>
        <v>230000</v>
      </c>
      <c r="C16" s="139">
        <f>IF(B16&gt;VLOOKUP(B6,' Glenview PL'!C:G,5,0),"beyond maximum discount",(C15*B16))</f>
        <v>1863404800000</v>
      </c>
      <c r="D16" s="159">
        <f>VLOOKUP(B6,' Glenview PL'!C:G,5,0)</f>
        <v>230000</v>
      </c>
      <c r="E16" s="121"/>
    </row>
    <row r="17" spans="1:5">
      <c r="A17" s="156" t="s">
        <v>191</v>
      </c>
      <c r="B17" s="151">
        <v>0.01</v>
      </c>
      <c r="C17" s="139">
        <f>IF(B17&gt;1%,"Error",((C15-C16)*B17))</f>
        <v>-18633966982.400002</v>
      </c>
      <c r="D17" s="116"/>
      <c r="E17" s="121"/>
    </row>
    <row r="18" spans="1:5" hidden="1">
      <c r="A18" s="156" t="s">
        <v>199</v>
      </c>
      <c r="B18" s="151"/>
      <c r="C18" s="139">
        <f>IF(B18&lt;=2%,((C15-C16-C17)*B18),"BEYOND MAX DISC.")</f>
        <v>0</v>
      </c>
      <c r="D18" s="116"/>
      <c r="E18" s="121"/>
    </row>
    <row r="19" spans="1:5" ht="15" thickBot="1">
      <c r="A19" s="117" t="s">
        <v>58</v>
      </c>
      <c r="B19" s="123"/>
      <c r="C19" s="134">
        <f>C15-C16-C17-C18</f>
        <v>-1844762731257.6001</v>
      </c>
      <c r="D19" s="116"/>
    </row>
    <row r="20" spans="1:5" ht="15" thickTop="1"/>
    <row r="21" spans="1:5">
      <c r="A21" s="124" t="s">
        <v>34</v>
      </c>
      <c r="B21" s="124" t="s">
        <v>32</v>
      </c>
      <c r="C21" s="124" t="s">
        <v>2</v>
      </c>
      <c r="D21" s="124" t="s">
        <v>3</v>
      </c>
      <c r="E21" s="124" t="s">
        <v>68</v>
      </c>
    </row>
    <row r="22" spans="1:5">
      <c r="A22" s="140">
        <v>0</v>
      </c>
      <c r="B22" s="163">
        <f ca="1">'DATA SHEET'!C8</f>
        <v>43973</v>
      </c>
      <c r="C22" s="140" t="s">
        <v>38</v>
      </c>
      <c r="D22" s="162">
        <f>IF(D13="1-Bedroom",50000,100000)</f>
        <v>50000</v>
      </c>
      <c r="E22" s="164">
        <f>C19-D22</f>
        <v>-1844762781257.6001</v>
      </c>
    </row>
    <row r="23" spans="1:5">
      <c r="A23" s="140">
        <v>1</v>
      </c>
      <c r="B23" s="165">
        <f ca="1">EDATE(B22,1)</f>
        <v>44004</v>
      </c>
      <c r="C23" s="153" t="s">
        <v>69</v>
      </c>
      <c r="D23" s="154">
        <f>(C$19*10%)-D22</f>
        <v>-184476323125.76001</v>
      </c>
      <c r="E23" s="166">
        <f>E22-D23</f>
        <v>-1660286458131.8401</v>
      </c>
    </row>
    <row r="24" spans="1:5">
      <c r="A24" s="153">
        <v>2</v>
      </c>
      <c r="B24" s="165">
        <f t="shared" ref="B24:B54" ca="1" si="0">EDATE(B23,1)</f>
        <v>44034</v>
      </c>
      <c r="C24" s="153" t="s">
        <v>4</v>
      </c>
      <c r="D24" s="154">
        <f>(C19*10%)/30</f>
        <v>-6149209104.1920004</v>
      </c>
      <c r="E24" s="166">
        <f t="shared" ref="E24:E54" si="1">E23-D24</f>
        <v>-1654137249027.6482</v>
      </c>
    </row>
    <row r="25" spans="1:5">
      <c r="A25" s="140">
        <v>3</v>
      </c>
      <c r="B25" s="165">
        <f t="shared" ca="1" si="0"/>
        <v>44065</v>
      </c>
      <c r="C25" s="153" t="s">
        <v>5</v>
      </c>
      <c r="D25" s="154">
        <f>D24</f>
        <v>-6149209104.1920004</v>
      </c>
      <c r="E25" s="166">
        <f t="shared" si="1"/>
        <v>-1647988039923.4563</v>
      </c>
    </row>
    <row r="26" spans="1:5">
      <c r="A26" s="153">
        <v>4</v>
      </c>
      <c r="B26" s="165">
        <f t="shared" ca="1" si="0"/>
        <v>44096</v>
      </c>
      <c r="C26" s="153" t="s">
        <v>6</v>
      </c>
      <c r="D26" s="154">
        <f t="shared" ref="D26:D53" si="2">D25</f>
        <v>-6149209104.1920004</v>
      </c>
      <c r="E26" s="166">
        <f t="shared" si="1"/>
        <v>-1641838830819.2644</v>
      </c>
    </row>
    <row r="27" spans="1:5">
      <c r="A27" s="140">
        <v>5</v>
      </c>
      <c r="B27" s="165">
        <f t="shared" ca="1" si="0"/>
        <v>44126</v>
      </c>
      <c r="C27" s="153" t="s">
        <v>7</v>
      </c>
      <c r="D27" s="154">
        <f t="shared" si="2"/>
        <v>-6149209104.1920004</v>
      </c>
      <c r="E27" s="166">
        <f t="shared" si="1"/>
        <v>-1635689621715.0725</v>
      </c>
    </row>
    <row r="28" spans="1:5">
      <c r="A28" s="153">
        <v>6</v>
      </c>
      <c r="B28" s="165">
        <f t="shared" ca="1" si="0"/>
        <v>44157</v>
      </c>
      <c r="C28" s="153" t="s">
        <v>8</v>
      </c>
      <c r="D28" s="154">
        <f t="shared" si="2"/>
        <v>-6149209104.1920004</v>
      </c>
      <c r="E28" s="166">
        <f t="shared" si="1"/>
        <v>-1629540412610.8806</v>
      </c>
    </row>
    <row r="29" spans="1:5">
      <c r="A29" s="140">
        <v>7</v>
      </c>
      <c r="B29" s="165">
        <f t="shared" ca="1" si="0"/>
        <v>44187</v>
      </c>
      <c r="C29" s="153" t="s">
        <v>9</v>
      </c>
      <c r="D29" s="154">
        <f t="shared" si="2"/>
        <v>-6149209104.1920004</v>
      </c>
      <c r="E29" s="166">
        <f t="shared" si="1"/>
        <v>-1623391203506.6887</v>
      </c>
    </row>
    <row r="30" spans="1:5">
      <c r="A30" s="153">
        <v>8</v>
      </c>
      <c r="B30" s="165">
        <f t="shared" ca="1" si="0"/>
        <v>44218</v>
      </c>
      <c r="C30" s="153" t="s">
        <v>10</v>
      </c>
      <c r="D30" s="154">
        <f t="shared" si="2"/>
        <v>-6149209104.1920004</v>
      </c>
      <c r="E30" s="166">
        <f t="shared" si="1"/>
        <v>-1617241994402.4968</v>
      </c>
    </row>
    <row r="31" spans="1:5">
      <c r="A31" s="140">
        <v>9</v>
      </c>
      <c r="B31" s="165">
        <f t="shared" ca="1" si="0"/>
        <v>44249</v>
      </c>
      <c r="C31" s="153" t="s">
        <v>11</v>
      </c>
      <c r="D31" s="154">
        <f t="shared" si="2"/>
        <v>-6149209104.1920004</v>
      </c>
      <c r="E31" s="166">
        <f t="shared" si="1"/>
        <v>-1611092785298.3049</v>
      </c>
    </row>
    <row r="32" spans="1:5">
      <c r="A32" s="153">
        <v>10</v>
      </c>
      <c r="B32" s="165">
        <f t="shared" ca="1" si="0"/>
        <v>44277</v>
      </c>
      <c r="C32" s="153" t="s">
        <v>12</v>
      </c>
      <c r="D32" s="154">
        <f t="shared" si="2"/>
        <v>-6149209104.1920004</v>
      </c>
      <c r="E32" s="166">
        <f t="shared" si="1"/>
        <v>-1604943576194.113</v>
      </c>
    </row>
    <row r="33" spans="1:5">
      <c r="A33" s="140">
        <v>11</v>
      </c>
      <c r="B33" s="165">
        <f t="shared" ca="1" si="0"/>
        <v>44308</v>
      </c>
      <c r="C33" s="153" t="s">
        <v>13</v>
      </c>
      <c r="D33" s="154">
        <f t="shared" si="2"/>
        <v>-6149209104.1920004</v>
      </c>
      <c r="E33" s="166">
        <f t="shared" si="1"/>
        <v>-1598794367089.9211</v>
      </c>
    </row>
    <row r="34" spans="1:5">
      <c r="A34" s="153">
        <v>12</v>
      </c>
      <c r="B34" s="165">
        <f t="shared" ca="1" si="0"/>
        <v>44338</v>
      </c>
      <c r="C34" s="153" t="s">
        <v>14</v>
      </c>
      <c r="D34" s="154">
        <f t="shared" si="2"/>
        <v>-6149209104.1920004</v>
      </c>
      <c r="E34" s="166">
        <f t="shared" si="1"/>
        <v>-1592645157985.7292</v>
      </c>
    </row>
    <row r="35" spans="1:5">
      <c r="A35" s="140">
        <v>13</v>
      </c>
      <c r="B35" s="165">
        <f t="shared" ca="1" si="0"/>
        <v>44369</v>
      </c>
      <c r="C35" s="153" t="s">
        <v>15</v>
      </c>
      <c r="D35" s="154">
        <f t="shared" si="2"/>
        <v>-6149209104.1920004</v>
      </c>
      <c r="E35" s="166">
        <f t="shared" si="1"/>
        <v>-1586495948881.5374</v>
      </c>
    </row>
    <row r="36" spans="1:5">
      <c r="A36" s="153">
        <v>14</v>
      </c>
      <c r="B36" s="165">
        <f t="shared" ca="1" si="0"/>
        <v>44399</v>
      </c>
      <c r="C36" s="153" t="s">
        <v>19</v>
      </c>
      <c r="D36" s="154">
        <f t="shared" si="2"/>
        <v>-6149209104.1920004</v>
      </c>
      <c r="E36" s="166">
        <f t="shared" si="1"/>
        <v>-1580346739777.3455</v>
      </c>
    </row>
    <row r="37" spans="1:5">
      <c r="A37" s="140">
        <v>15</v>
      </c>
      <c r="B37" s="165">
        <f t="shared" ca="1" si="0"/>
        <v>44430</v>
      </c>
      <c r="C37" s="153" t="s">
        <v>20</v>
      </c>
      <c r="D37" s="154">
        <f t="shared" si="2"/>
        <v>-6149209104.1920004</v>
      </c>
      <c r="E37" s="166">
        <f t="shared" si="1"/>
        <v>-1574197530673.1536</v>
      </c>
    </row>
    <row r="38" spans="1:5">
      <c r="A38" s="153">
        <v>16</v>
      </c>
      <c r="B38" s="165">
        <f t="shared" ca="1" si="0"/>
        <v>44461</v>
      </c>
      <c r="C38" s="153" t="s">
        <v>21</v>
      </c>
      <c r="D38" s="154">
        <f t="shared" si="2"/>
        <v>-6149209104.1920004</v>
      </c>
      <c r="E38" s="166">
        <f t="shared" si="1"/>
        <v>-1568048321568.9617</v>
      </c>
    </row>
    <row r="39" spans="1:5">
      <c r="A39" s="140">
        <v>17</v>
      </c>
      <c r="B39" s="165">
        <f t="shared" ca="1" si="0"/>
        <v>44491</v>
      </c>
      <c r="C39" s="153" t="s">
        <v>22</v>
      </c>
      <c r="D39" s="154">
        <f t="shared" si="2"/>
        <v>-6149209104.1920004</v>
      </c>
      <c r="E39" s="166">
        <f t="shared" si="1"/>
        <v>-1561899112464.7698</v>
      </c>
    </row>
    <row r="40" spans="1:5">
      <c r="A40" s="153">
        <v>18</v>
      </c>
      <c r="B40" s="165">
        <f t="shared" ca="1" si="0"/>
        <v>44522</v>
      </c>
      <c r="C40" s="153" t="s">
        <v>23</v>
      </c>
      <c r="D40" s="154">
        <f t="shared" si="2"/>
        <v>-6149209104.1920004</v>
      </c>
      <c r="E40" s="166">
        <f t="shared" si="1"/>
        <v>-1555749903360.5779</v>
      </c>
    </row>
    <row r="41" spans="1:5">
      <c r="A41" s="140">
        <v>19</v>
      </c>
      <c r="B41" s="165">
        <f t="shared" ca="1" si="0"/>
        <v>44552</v>
      </c>
      <c r="C41" s="153" t="s">
        <v>24</v>
      </c>
      <c r="D41" s="154">
        <f t="shared" si="2"/>
        <v>-6149209104.1920004</v>
      </c>
      <c r="E41" s="166">
        <f t="shared" si="1"/>
        <v>-1549600694256.386</v>
      </c>
    </row>
    <row r="42" spans="1:5">
      <c r="A42" s="153">
        <v>20</v>
      </c>
      <c r="B42" s="165">
        <f t="shared" ca="1" si="0"/>
        <v>44583</v>
      </c>
      <c r="C42" s="153" t="s">
        <v>25</v>
      </c>
      <c r="D42" s="154">
        <f t="shared" si="2"/>
        <v>-6149209104.1920004</v>
      </c>
      <c r="E42" s="166">
        <f t="shared" si="1"/>
        <v>-1543451485152.1941</v>
      </c>
    </row>
    <row r="43" spans="1:5">
      <c r="A43" s="140">
        <v>21</v>
      </c>
      <c r="B43" s="165">
        <f t="shared" ca="1" si="0"/>
        <v>44614</v>
      </c>
      <c r="C43" s="153" t="s">
        <v>26</v>
      </c>
      <c r="D43" s="154">
        <f t="shared" si="2"/>
        <v>-6149209104.1920004</v>
      </c>
      <c r="E43" s="166">
        <f t="shared" si="1"/>
        <v>-1537302276048.0022</v>
      </c>
    </row>
    <row r="44" spans="1:5">
      <c r="A44" s="153">
        <v>22</v>
      </c>
      <c r="B44" s="165">
        <f t="shared" ca="1" si="0"/>
        <v>44642</v>
      </c>
      <c r="C44" s="153" t="s">
        <v>27</v>
      </c>
      <c r="D44" s="154">
        <f t="shared" si="2"/>
        <v>-6149209104.1920004</v>
      </c>
      <c r="E44" s="166">
        <f t="shared" si="1"/>
        <v>-1531153066943.8103</v>
      </c>
    </row>
    <row r="45" spans="1:5">
      <c r="A45" s="140">
        <v>23</v>
      </c>
      <c r="B45" s="165">
        <f t="shared" ca="1" si="0"/>
        <v>44673</v>
      </c>
      <c r="C45" s="153" t="s">
        <v>28</v>
      </c>
      <c r="D45" s="154">
        <f t="shared" si="2"/>
        <v>-6149209104.1920004</v>
      </c>
      <c r="E45" s="166">
        <f t="shared" si="1"/>
        <v>-1525003857839.6184</v>
      </c>
    </row>
    <row r="46" spans="1:5">
      <c r="A46" s="153">
        <v>24</v>
      </c>
      <c r="B46" s="165">
        <f t="shared" ca="1" si="0"/>
        <v>44703</v>
      </c>
      <c r="C46" s="153" t="s">
        <v>29</v>
      </c>
      <c r="D46" s="154">
        <f t="shared" si="2"/>
        <v>-6149209104.1920004</v>
      </c>
      <c r="E46" s="166">
        <f t="shared" si="1"/>
        <v>-1518854648735.4265</v>
      </c>
    </row>
    <row r="47" spans="1:5">
      <c r="A47" s="140">
        <v>25</v>
      </c>
      <c r="B47" s="165">
        <f t="shared" ca="1" si="0"/>
        <v>44734</v>
      </c>
      <c r="C47" s="153" t="s">
        <v>30</v>
      </c>
      <c r="D47" s="154">
        <f t="shared" si="2"/>
        <v>-6149209104.1920004</v>
      </c>
      <c r="E47" s="166">
        <f t="shared" si="1"/>
        <v>-1512705439631.2346</v>
      </c>
    </row>
    <row r="48" spans="1:5">
      <c r="A48" s="153">
        <v>26</v>
      </c>
      <c r="B48" s="165">
        <f t="shared" ca="1" si="0"/>
        <v>44764</v>
      </c>
      <c r="C48" s="153" t="s">
        <v>48</v>
      </c>
      <c r="D48" s="154">
        <f t="shared" si="2"/>
        <v>-6149209104.1920004</v>
      </c>
      <c r="E48" s="166">
        <f t="shared" si="1"/>
        <v>-1506556230527.0427</v>
      </c>
    </row>
    <row r="49" spans="1:5">
      <c r="A49" s="140">
        <v>27</v>
      </c>
      <c r="B49" s="165">
        <f t="shared" ca="1" si="0"/>
        <v>44795</v>
      </c>
      <c r="C49" s="153" t="s">
        <v>49</v>
      </c>
      <c r="D49" s="154">
        <f t="shared" si="2"/>
        <v>-6149209104.1920004</v>
      </c>
      <c r="E49" s="166">
        <f t="shared" si="1"/>
        <v>-1500407021422.8508</v>
      </c>
    </row>
    <row r="50" spans="1:5">
      <c r="A50" s="153">
        <v>28</v>
      </c>
      <c r="B50" s="165">
        <f t="shared" ca="1" si="0"/>
        <v>44826</v>
      </c>
      <c r="C50" s="153" t="s">
        <v>50</v>
      </c>
      <c r="D50" s="154">
        <f t="shared" si="2"/>
        <v>-6149209104.1920004</v>
      </c>
      <c r="E50" s="166">
        <f t="shared" si="1"/>
        <v>-1494257812318.6589</v>
      </c>
    </row>
    <row r="51" spans="1:5">
      <c r="A51" s="140">
        <v>29</v>
      </c>
      <c r="B51" s="165">
        <f t="shared" ca="1" si="0"/>
        <v>44856</v>
      </c>
      <c r="C51" s="153" t="s">
        <v>51</v>
      </c>
      <c r="D51" s="154">
        <f t="shared" si="2"/>
        <v>-6149209104.1920004</v>
      </c>
      <c r="E51" s="166">
        <f t="shared" si="1"/>
        <v>-1488108603214.467</v>
      </c>
    </row>
    <row r="52" spans="1:5">
      <c r="A52" s="153">
        <v>30</v>
      </c>
      <c r="B52" s="165">
        <f t="shared" ca="1" si="0"/>
        <v>44887</v>
      </c>
      <c r="C52" s="153" t="s">
        <v>52</v>
      </c>
      <c r="D52" s="154">
        <f t="shared" si="2"/>
        <v>-6149209104.1920004</v>
      </c>
      <c r="E52" s="166">
        <f t="shared" si="1"/>
        <v>-1481959394110.2751</v>
      </c>
    </row>
    <row r="53" spans="1:5">
      <c r="A53" s="140">
        <v>31</v>
      </c>
      <c r="B53" s="165">
        <f t="shared" ca="1" si="0"/>
        <v>44917</v>
      </c>
      <c r="C53" s="153" t="s">
        <v>53</v>
      </c>
      <c r="D53" s="154">
        <f t="shared" si="2"/>
        <v>-6149209104.1920004</v>
      </c>
      <c r="E53" s="166">
        <f t="shared" si="1"/>
        <v>-1475810185006.0833</v>
      </c>
    </row>
    <row r="54" spans="1:5">
      <c r="A54" s="153">
        <v>50</v>
      </c>
      <c r="B54" s="165">
        <f t="shared" ca="1" si="0"/>
        <v>44948</v>
      </c>
      <c r="C54" s="167" t="s">
        <v>189</v>
      </c>
      <c r="D54" s="168">
        <f>C19*0.8</f>
        <v>-1475810185006.0801</v>
      </c>
      <c r="E54" s="166">
        <f t="shared" si="1"/>
        <v>-3.173828125E-3</v>
      </c>
    </row>
    <row r="55" spans="1:5">
      <c r="A55" s="125"/>
      <c r="B55" s="126"/>
      <c r="C55" s="127" t="s">
        <v>16</v>
      </c>
      <c r="D55" s="128">
        <f>SUM(D22:D54)</f>
        <v>-1844762731257.6001</v>
      </c>
      <c r="E55" s="125"/>
    </row>
    <row r="56" spans="1:5" ht="15.75" customHeight="1">
      <c r="A56" s="129" t="s">
        <v>62</v>
      </c>
      <c r="B56" s="135"/>
      <c r="C56" s="136"/>
      <c r="D56" s="137"/>
      <c r="E56" s="138"/>
    </row>
    <row r="57" spans="1:5" ht="15.75" customHeight="1">
      <c r="A57" s="130" t="s">
        <v>70</v>
      </c>
      <c r="B57" s="138"/>
      <c r="C57" s="136"/>
      <c r="D57" s="137"/>
      <c r="E57" s="138"/>
    </row>
    <row r="58" spans="1:5" ht="15.75" customHeight="1">
      <c r="A58" s="130" t="s">
        <v>71</v>
      </c>
      <c r="B58" s="138"/>
      <c r="C58" s="136"/>
      <c r="D58" s="137"/>
      <c r="E58" s="138"/>
    </row>
    <row r="59" spans="1:5" ht="15.75" customHeight="1">
      <c r="A59" s="130" t="s">
        <v>89</v>
      </c>
      <c r="B59" s="138"/>
      <c r="C59" s="136"/>
      <c r="D59" s="138"/>
      <c r="E59" s="138"/>
    </row>
    <row r="60" spans="1:5" ht="15.75" customHeight="1">
      <c r="A60" s="130" t="s">
        <v>75</v>
      </c>
      <c r="B60" s="138"/>
      <c r="C60" s="136"/>
      <c r="D60" s="138"/>
      <c r="E60" s="138"/>
    </row>
    <row r="61" spans="1:5" ht="15.75" customHeight="1">
      <c r="A61" s="130" t="s">
        <v>63</v>
      </c>
      <c r="B61" s="138"/>
      <c r="C61" s="136"/>
      <c r="D61" s="138"/>
      <c r="E61" s="138"/>
    </row>
    <row r="63" spans="1:5">
      <c r="A63" s="114" t="s">
        <v>17</v>
      </c>
    </row>
    <row r="65" spans="1:4">
      <c r="A65" s="131"/>
      <c r="D65" s="131"/>
    </row>
    <row r="66" spans="1:4">
      <c r="A66" s="116" t="s">
        <v>18</v>
      </c>
      <c r="D66" s="116" t="s">
        <v>18</v>
      </c>
    </row>
  </sheetData>
  <sheetProtection password="CAF1" sheet="1" selectLockedCells="1"/>
  <mergeCells count="6">
    <mergeCell ref="B10:D10"/>
    <mergeCell ref="E1:E2"/>
    <mergeCell ref="B5:D5"/>
    <mergeCell ref="B6:D6"/>
    <mergeCell ref="B7:D7"/>
    <mergeCell ref="B9:D9"/>
  </mergeCells>
  <hyperlinks>
    <hyperlink ref="B1" location="'DATA SHEET'!A1" display="HIGHLANDS PRIME, INC." xr:uid="{00000000-0004-0000-1000-000000000000}"/>
  </hyperlinks>
  <printOptions horizontalCentered="1"/>
  <pageMargins left="0.7" right="0.7" top="0.75" bottom="0.5" header="0.3" footer="0.3"/>
  <pageSetup scale="85" orientation="portrait" r:id="rId1"/>
  <headerFooter>
    <oddFooter>&amp;L&amp;8A project of HIGHLANDS PRIME, INC. Horizon Terraces HLURB License To Sell No. 032272&amp;R&amp;8Page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5">
    <tabColor rgb="FFFFC000"/>
    <pageSetUpPr fitToPage="1"/>
  </sheetPr>
  <dimension ref="A1:E96"/>
  <sheetViews>
    <sheetView showGridLines="0" view="pageLayout" zoomScaleNormal="100" workbookViewId="0">
      <selection activeCell="A16" sqref="A16"/>
    </sheetView>
  </sheetViews>
  <sheetFormatPr baseColWidth="10" defaultColWidth="9.1640625" defaultRowHeight="14"/>
  <cols>
    <col min="1" max="1" width="21.1640625" style="114" customWidth="1"/>
    <col min="2" max="2" width="12.6640625" style="114" customWidth="1"/>
    <col min="3" max="3" width="16.6640625" style="116" customWidth="1"/>
    <col min="4" max="5" width="15.6640625" style="114" customWidth="1"/>
    <col min="6" max="16384" width="9.1640625" style="114"/>
  </cols>
  <sheetData>
    <row r="1" spans="1:5" ht="12.75" customHeight="1">
      <c r="B1" s="115" t="s">
        <v>35</v>
      </c>
      <c r="E1" s="361" t="s">
        <v>66</v>
      </c>
    </row>
    <row r="2" spans="1:5">
      <c r="B2" s="117" t="s">
        <v>193</v>
      </c>
      <c r="E2" s="361"/>
    </row>
    <row r="3" spans="1:5">
      <c r="B3" s="117" t="s">
        <v>36</v>
      </c>
    </row>
    <row r="5" spans="1:5">
      <c r="A5" s="118" t="s">
        <v>0</v>
      </c>
      <c r="B5" s="362" t="str">
        <f>'DATA SHEET'!C9</f>
        <v xml:space="preserve"> </v>
      </c>
      <c r="C5" s="362"/>
      <c r="D5" s="363"/>
    </row>
    <row r="6" spans="1:5">
      <c r="A6" s="119" t="s">
        <v>31</v>
      </c>
      <c r="B6" s="364" t="str">
        <f>VLOOKUP('DATA SHEET'!$C$10,' Glenview PL'!C6:F30,1,FALSE)</f>
        <v>GB</v>
      </c>
      <c r="C6" s="364"/>
      <c r="D6" s="365"/>
    </row>
    <row r="7" spans="1:5">
      <c r="A7" s="119" t="s">
        <v>37</v>
      </c>
      <c r="B7" s="370">
        <f>VLOOKUP('DATA SHEET'!C10,' Glenview PL'!C6:F30,3,0)</f>
        <v>67.900000000000006</v>
      </c>
      <c r="C7" s="370"/>
      <c r="D7" s="371"/>
    </row>
    <row r="8" spans="1:5">
      <c r="A8" s="119" t="s">
        <v>194</v>
      </c>
      <c r="B8" s="147" t="str">
        <f>VLOOKUP('DATA SHEET'!C10,' Glenview PL'!C6:D30,2,0)</f>
        <v>1-Bedroom Terrace Suite</v>
      </c>
      <c r="C8" s="149"/>
      <c r="D8" s="150"/>
    </row>
    <row r="9" spans="1:5">
      <c r="A9" s="119" t="s">
        <v>204</v>
      </c>
      <c r="B9" s="372">
        <f>VLOOKUP('DATA SHEET'!C10,' Glenview PL'!C6:F30,4,0)</f>
        <v>8851760</v>
      </c>
      <c r="C9" s="372"/>
      <c r="D9" s="373"/>
    </row>
    <row r="10" spans="1:5">
      <c r="A10" s="120" t="s">
        <v>33</v>
      </c>
      <c r="B10" s="359" t="s">
        <v>206</v>
      </c>
      <c r="C10" s="359"/>
      <c r="D10" s="360"/>
    </row>
    <row r="12" spans="1:5">
      <c r="A12" s="117" t="s">
        <v>55</v>
      </c>
    </row>
    <row r="13" spans="1:5">
      <c r="A13" s="114" t="s">
        <v>192</v>
      </c>
      <c r="C13" s="121">
        <f>B9-750000</f>
        <v>8101760</v>
      </c>
      <c r="D13" s="155" t="str">
        <f>LEFT(B8,9)</f>
        <v>1-Bedroom</v>
      </c>
    </row>
    <row r="14" spans="1:5">
      <c r="A14" s="157" t="s">
        <v>187</v>
      </c>
      <c r="B14" s="192">
        <f>VLOOKUP('DATA SHEET'!C10,' Glenview PL'!C6:G30,5,0)</f>
        <v>230000</v>
      </c>
      <c r="C14" s="139">
        <f>IF(B14&gt;VLOOKUP(B6,' Glenview PL'!C:G,5,0),"beyond maximum discount",(C13*B14))</f>
        <v>1863404800000</v>
      </c>
      <c r="D14" s="160">
        <f>VLOOKUP(B6,' Glenview PL'!C:G,5,0)</f>
        <v>230000</v>
      </c>
    </row>
    <row r="15" spans="1:5" hidden="1">
      <c r="A15" s="142" t="s">
        <v>123</v>
      </c>
      <c r="B15" s="123">
        <v>0</v>
      </c>
      <c r="C15" s="133" t="e">
        <f>#REF!*B15</f>
        <v>#REF!</v>
      </c>
      <c r="D15" s="116"/>
    </row>
    <row r="16" spans="1:5" hidden="1">
      <c r="A16" s="142"/>
      <c r="C16" s="121" t="e">
        <f>#REF!-C15</f>
        <v>#REF!</v>
      </c>
      <c r="D16" s="116"/>
    </row>
    <row r="17" spans="1:5">
      <c r="A17" s="157" t="s">
        <v>72</v>
      </c>
      <c r="B17" s="151">
        <v>0.02</v>
      </c>
      <c r="C17" s="133">
        <f>IF(B17&gt;2%,"Error",((C13-C14)*B17))</f>
        <v>-37267933964.800003</v>
      </c>
      <c r="D17" s="116"/>
    </row>
    <row r="18" spans="1:5">
      <c r="A18" s="157"/>
      <c r="B18" s="151"/>
      <c r="C18" s="191">
        <f>C13-C14-C17</f>
        <v>-1826128764275.2</v>
      </c>
      <c r="D18" s="116"/>
    </row>
    <row r="19" spans="1:5">
      <c r="A19" s="142" t="s">
        <v>56</v>
      </c>
      <c r="C19" s="122">
        <v>750000</v>
      </c>
      <c r="D19" s="116"/>
    </row>
    <row r="20" spans="1:5" ht="15" thickBot="1">
      <c r="A20" s="117" t="s">
        <v>58</v>
      </c>
      <c r="B20" s="117"/>
      <c r="C20" s="134">
        <f>C18+C19</f>
        <v>-1826128014275.2</v>
      </c>
      <c r="D20" s="116"/>
    </row>
    <row r="21" spans="1:5" ht="15" thickTop="1"/>
    <row r="22" spans="1:5">
      <c r="A22" s="124" t="s">
        <v>34</v>
      </c>
      <c r="B22" s="124" t="s">
        <v>32</v>
      </c>
      <c r="C22" s="124" t="s">
        <v>2</v>
      </c>
      <c r="D22" s="124" t="s">
        <v>3</v>
      </c>
      <c r="E22" s="124" t="s">
        <v>68</v>
      </c>
    </row>
    <row r="23" spans="1:5">
      <c r="A23" s="140">
        <v>0</v>
      </c>
      <c r="B23" s="163">
        <f ca="1">'DATA SHEET'!C8</f>
        <v>43973</v>
      </c>
      <c r="C23" s="140" t="s">
        <v>38</v>
      </c>
      <c r="D23" s="162">
        <f>IF(D13="1-Bedroom",50000,100000)</f>
        <v>50000</v>
      </c>
      <c r="E23" s="164">
        <f>C20-D23</f>
        <v>-1826128064275.2</v>
      </c>
    </row>
    <row r="24" spans="1:5">
      <c r="A24" s="140">
        <v>1</v>
      </c>
      <c r="B24" s="165">
        <f ca="1">EDATE(B23,1)</f>
        <v>44004</v>
      </c>
      <c r="C24" s="153" t="s">
        <v>69</v>
      </c>
      <c r="D24" s="154">
        <f>(C20*20%)-D23</f>
        <v>-365225652855.04004</v>
      </c>
      <c r="E24" s="166">
        <f>E23-D24</f>
        <v>-1460902411420.1599</v>
      </c>
    </row>
    <row r="25" spans="1:5">
      <c r="A25" s="140">
        <v>2</v>
      </c>
      <c r="B25" s="165">
        <f t="shared" ref="B25:B53" ca="1" si="0">EDATE(B24,1)</f>
        <v>44034</v>
      </c>
      <c r="C25" s="153" t="s">
        <v>4</v>
      </c>
      <c r="D25" s="154">
        <f>(C20*80%)/60</f>
        <v>-24348373523.669334</v>
      </c>
      <c r="E25" s="166">
        <f t="shared" ref="E25:E48" si="1">E24-D25</f>
        <v>-1436554037896.4905</v>
      </c>
    </row>
    <row r="26" spans="1:5">
      <c r="A26" s="140">
        <v>3</v>
      </c>
      <c r="B26" s="165">
        <f t="shared" ca="1" si="0"/>
        <v>44065</v>
      </c>
      <c r="C26" s="153" t="s">
        <v>5</v>
      </c>
      <c r="D26" s="154">
        <f>D25</f>
        <v>-24348373523.669334</v>
      </c>
      <c r="E26" s="166">
        <f t="shared" si="1"/>
        <v>-1412205664372.821</v>
      </c>
    </row>
    <row r="27" spans="1:5">
      <c r="A27" s="140">
        <v>4</v>
      </c>
      <c r="B27" s="165">
        <f t="shared" ca="1" si="0"/>
        <v>44096</v>
      </c>
      <c r="C27" s="153" t="s">
        <v>6</v>
      </c>
      <c r="D27" s="154">
        <f t="shared" ref="D27:D53" si="2">D26</f>
        <v>-24348373523.669334</v>
      </c>
      <c r="E27" s="166">
        <f t="shared" si="1"/>
        <v>-1387857290849.1516</v>
      </c>
    </row>
    <row r="28" spans="1:5">
      <c r="A28" s="140">
        <v>5</v>
      </c>
      <c r="B28" s="165">
        <f t="shared" ca="1" si="0"/>
        <v>44126</v>
      </c>
      <c r="C28" s="153" t="s">
        <v>7</v>
      </c>
      <c r="D28" s="154">
        <f t="shared" si="2"/>
        <v>-24348373523.669334</v>
      </c>
      <c r="E28" s="166">
        <f t="shared" si="1"/>
        <v>-1363508917325.4822</v>
      </c>
    </row>
    <row r="29" spans="1:5">
      <c r="A29" s="140">
        <v>6</v>
      </c>
      <c r="B29" s="165">
        <f ca="1">EDATE(B28,1)</f>
        <v>44157</v>
      </c>
      <c r="C29" s="153" t="s">
        <v>8</v>
      </c>
      <c r="D29" s="154">
        <f t="shared" si="2"/>
        <v>-24348373523.669334</v>
      </c>
      <c r="E29" s="166">
        <f t="shared" si="1"/>
        <v>-1339160543801.8127</v>
      </c>
    </row>
    <row r="30" spans="1:5">
      <c r="A30" s="140">
        <v>7</v>
      </c>
      <c r="B30" s="165">
        <f t="shared" ca="1" si="0"/>
        <v>44187</v>
      </c>
      <c r="C30" s="153" t="s">
        <v>9</v>
      </c>
      <c r="D30" s="154">
        <f t="shared" si="2"/>
        <v>-24348373523.669334</v>
      </c>
      <c r="E30" s="166">
        <f t="shared" si="1"/>
        <v>-1314812170278.1433</v>
      </c>
    </row>
    <row r="31" spans="1:5">
      <c r="A31" s="140">
        <v>8</v>
      </c>
      <c r="B31" s="165">
        <f t="shared" ca="1" si="0"/>
        <v>44218</v>
      </c>
      <c r="C31" s="153" t="s">
        <v>10</v>
      </c>
      <c r="D31" s="154">
        <f t="shared" si="2"/>
        <v>-24348373523.669334</v>
      </c>
      <c r="E31" s="166">
        <f t="shared" si="1"/>
        <v>-1290463796754.4739</v>
      </c>
    </row>
    <row r="32" spans="1:5">
      <c r="A32" s="140">
        <v>9</v>
      </c>
      <c r="B32" s="165">
        <f t="shared" ca="1" si="0"/>
        <v>44249</v>
      </c>
      <c r="C32" s="153" t="s">
        <v>11</v>
      </c>
      <c r="D32" s="154">
        <f t="shared" si="2"/>
        <v>-24348373523.669334</v>
      </c>
      <c r="E32" s="166">
        <f t="shared" si="1"/>
        <v>-1266115423230.8044</v>
      </c>
    </row>
    <row r="33" spans="1:5">
      <c r="A33" s="140">
        <v>10</v>
      </c>
      <c r="B33" s="165">
        <f t="shared" ca="1" si="0"/>
        <v>44277</v>
      </c>
      <c r="C33" s="153" t="s">
        <v>12</v>
      </c>
      <c r="D33" s="154">
        <f t="shared" si="2"/>
        <v>-24348373523.669334</v>
      </c>
      <c r="E33" s="166">
        <f t="shared" si="1"/>
        <v>-1241767049707.135</v>
      </c>
    </row>
    <row r="34" spans="1:5">
      <c r="A34" s="140">
        <v>11</v>
      </c>
      <c r="B34" s="165">
        <f t="shared" ca="1" si="0"/>
        <v>44308</v>
      </c>
      <c r="C34" s="153" t="s">
        <v>13</v>
      </c>
      <c r="D34" s="154">
        <f t="shared" si="2"/>
        <v>-24348373523.669334</v>
      </c>
      <c r="E34" s="166">
        <f t="shared" si="1"/>
        <v>-1217418676183.4656</v>
      </c>
    </row>
    <row r="35" spans="1:5">
      <c r="A35" s="140">
        <v>12</v>
      </c>
      <c r="B35" s="165">
        <f t="shared" ca="1" si="0"/>
        <v>44338</v>
      </c>
      <c r="C35" s="153" t="s">
        <v>14</v>
      </c>
      <c r="D35" s="154">
        <f t="shared" si="2"/>
        <v>-24348373523.669334</v>
      </c>
      <c r="E35" s="166">
        <f t="shared" si="1"/>
        <v>-1193070302659.7961</v>
      </c>
    </row>
    <row r="36" spans="1:5">
      <c r="A36" s="140">
        <v>13</v>
      </c>
      <c r="B36" s="165">
        <f t="shared" ca="1" si="0"/>
        <v>44369</v>
      </c>
      <c r="C36" s="153" t="s">
        <v>15</v>
      </c>
      <c r="D36" s="154">
        <f t="shared" si="2"/>
        <v>-24348373523.669334</v>
      </c>
      <c r="E36" s="166">
        <f t="shared" si="1"/>
        <v>-1168721929136.1267</v>
      </c>
    </row>
    <row r="37" spans="1:5">
      <c r="A37" s="140">
        <v>14</v>
      </c>
      <c r="B37" s="165">
        <f t="shared" ca="1" si="0"/>
        <v>44399</v>
      </c>
      <c r="C37" s="153" t="s">
        <v>19</v>
      </c>
      <c r="D37" s="154">
        <f t="shared" si="2"/>
        <v>-24348373523.669334</v>
      </c>
      <c r="E37" s="166">
        <f t="shared" si="1"/>
        <v>-1144373555612.4573</v>
      </c>
    </row>
    <row r="38" spans="1:5">
      <c r="A38" s="140">
        <v>15</v>
      </c>
      <c r="B38" s="165">
        <f t="shared" ca="1" si="0"/>
        <v>44430</v>
      </c>
      <c r="C38" s="153" t="s">
        <v>20</v>
      </c>
      <c r="D38" s="154">
        <f t="shared" si="2"/>
        <v>-24348373523.669334</v>
      </c>
      <c r="E38" s="166">
        <f t="shared" si="1"/>
        <v>-1120025182088.7878</v>
      </c>
    </row>
    <row r="39" spans="1:5">
      <c r="A39" s="140">
        <v>16</v>
      </c>
      <c r="B39" s="165">
        <f t="shared" ca="1" si="0"/>
        <v>44461</v>
      </c>
      <c r="C39" s="153" t="s">
        <v>21</v>
      </c>
      <c r="D39" s="154">
        <f t="shared" si="2"/>
        <v>-24348373523.669334</v>
      </c>
      <c r="E39" s="166">
        <f t="shared" si="1"/>
        <v>-1095676808565.1185</v>
      </c>
    </row>
    <row r="40" spans="1:5">
      <c r="A40" s="140">
        <v>17</v>
      </c>
      <c r="B40" s="165">
        <f t="shared" ca="1" si="0"/>
        <v>44491</v>
      </c>
      <c r="C40" s="153" t="s">
        <v>22</v>
      </c>
      <c r="D40" s="154">
        <f t="shared" si="2"/>
        <v>-24348373523.669334</v>
      </c>
      <c r="E40" s="166">
        <f t="shared" si="1"/>
        <v>-1071328435041.4492</v>
      </c>
    </row>
    <row r="41" spans="1:5">
      <c r="A41" s="140">
        <v>18</v>
      </c>
      <c r="B41" s="165">
        <f t="shared" ca="1" si="0"/>
        <v>44522</v>
      </c>
      <c r="C41" s="153" t="s">
        <v>23</v>
      </c>
      <c r="D41" s="154">
        <f t="shared" si="2"/>
        <v>-24348373523.669334</v>
      </c>
      <c r="E41" s="166">
        <f t="shared" si="1"/>
        <v>-1046980061517.7799</v>
      </c>
    </row>
    <row r="42" spans="1:5">
      <c r="A42" s="140">
        <v>19</v>
      </c>
      <c r="B42" s="165">
        <f t="shared" ca="1" si="0"/>
        <v>44552</v>
      </c>
      <c r="C42" s="153" t="s">
        <v>24</v>
      </c>
      <c r="D42" s="154">
        <f t="shared" si="2"/>
        <v>-24348373523.669334</v>
      </c>
      <c r="E42" s="166">
        <f t="shared" si="1"/>
        <v>-1022631687994.1106</v>
      </c>
    </row>
    <row r="43" spans="1:5">
      <c r="A43" s="140">
        <v>20</v>
      </c>
      <c r="B43" s="165">
        <f t="shared" ca="1" si="0"/>
        <v>44583</v>
      </c>
      <c r="C43" s="153" t="s">
        <v>25</v>
      </c>
      <c r="D43" s="154">
        <f t="shared" si="2"/>
        <v>-24348373523.669334</v>
      </c>
      <c r="E43" s="166">
        <f t="shared" si="1"/>
        <v>-998283314470.44128</v>
      </c>
    </row>
    <row r="44" spans="1:5">
      <c r="A44" s="140">
        <v>21</v>
      </c>
      <c r="B44" s="165">
        <f t="shared" ca="1" si="0"/>
        <v>44614</v>
      </c>
      <c r="C44" s="153" t="s">
        <v>26</v>
      </c>
      <c r="D44" s="154">
        <f t="shared" si="2"/>
        <v>-24348373523.669334</v>
      </c>
      <c r="E44" s="166">
        <f t="shared" si="1"/>
        <v>-973934940946.77197</v>
      </c>
    </row>
    <row r="45" spans="1:5">
      <c r="A45" s="140">
        <v>22</v>
      </c>
      <c r="B45" s="165">
        <f t="shared" ca="1" si="0"/>
        <v>44642</v>
      </c>
      <c r="C45" s="153" t="s">
        <v>27</v>
      </c>
      <c r="D45" s="154">
        <f t="shared" si="2"/>
        <v>-24348373523.669334</v>
      </c>
      <c r="E45" s="166">
        <f t="shared" si="1"/>
        <v>-949586567423.10266</v>
      </c>
    </row>
    <row r="46" spans="1:5">
      <c r="A46" s="140">
        <v>23</v>
      </c>
      <c r="B46" s="165">
        <f t="shared" ca="1" si="0"/>
        <v>44673</v>
      </c>
      <c r="C46" s="153" t="s">
        <v>28</v>
      </c>
      <c r="D46" s="154">
        <f t="shared" si="2"/>
        <v>-24348373523.669334</v>
      </c>
      <c r="E46" s="166">
        <f t="shared" si="1"/>
        <v>-925238193899.43335</v>
      </c>
    </row>
    <row r="47" spans="1:5">
      <c r="A47" s="140">
        <v>24</v>
      </c>
      <c r="B47" s="165">
        <f t="shared" ca="1" si="0"/>
        <v>44703</v>
      </c>
      <c r="C47" s="153" t="s">
        <v>29</v>
      </c>
      <c r="D47" s="154">
        <f t="shared" si="2"/>
        <v>-24348373523.669334</v>
      </c>
      <c r="E47" s="166">
        <f t="shared" si="1"/>
        <v>-900889820375.76404</v>
      </c>
    </row>
    <row r="48" spans="1:5">
      <c r="A48" s="140">
        <v>25</v>
      </c>
      <c r="B48" s="165">
        <f t="shared" ca="1" si="0"/>
        <v>44734</v>
      </c>
      <c r="C48" s="153" t="s">
        <v>30</v>
      </c>
      <c r="D48" s="154">
        <f t="shared" si="2"/>
        <v>-24348373523.669334</v>
      </c>
      <c r="E48" s="166">
        <f t="shared" si="1"/>
        <v>-876541446852.09473</v>
      </c>
    </row>
    <row r="49" spans="1:5">
      <c r="A49" s="140">
        <v>26</v>
      </c>
      <c r="B49" s="165">
        <f t="shared" ca="1" si="0"/>
        <v>44764</v>
      </c>
      <c r="C49" s="153" t="s">
        <v>48</v>
      </c>
      <c r="D49" s="154">
        <f t="shared" si="2"/>
        <v>-24348373523.669334</v>
      </c>
      <c r="E49" s="166">
        <f t="shared" ref="E49:E54" si="3">E48-D49</f>
        <v>-852193073328.42542</v>
      </c>
    </row>
    <row r="50" spans="1:5">
      <c r="A50" s="140">
        <v>27</v>
      </c>
      <c r="B50" s="165">
        <f t="shared" ca="1" si="0"/>
        <v>44795</v>
      </c>
      <c r="C50" s="153" t="s">
        <v>49</v>
      </c>
      <c r="D50" s="154">
        <f t="shared" si="2"/>
        <v>-24348373523.669334</v>
      </c>
      <c r="E50" s="166">
        <f t="shared" si="3"/>
        <v>-827844699804.7561</v>
      </c>
    </row>
    <row r="51" spans="1:5">
      <c r="A51" s="140">
        <v>28</v>
      </c>
      <c r="B51" s="165">
        <f t="shared" ca="1" si="0"/>
        <v>44826</v>
      </c>
      <c r="C51" s="153" t="s">
        <v>50</v>
      </c>
      <c r="D51" s="154">
        <f t="shared" si="2"/>
        <v>-24348373523.669334</v>
      </c>
      <c r="E51" s="166">
        <f t="shared" si="3"/>
        <v>-803496326281.08679</v>
      </c>
    </row>
    <row r="52" spans="1:5">
      <c r="A52" s="140">
        <v>29</v>
      </c>
      <c r="B52" s="165">
        <f t="shared" ca="1" si="0"/>
        <v>44856</v>
      </c>
      <c r="C52" s="153" t="s">
        <v>51</v>
      </c>
      <c r="D52" s="154">
        <f t="shared" si="2"/>
        <v>-24348373523.669334</v>
      </c>
      <c r="E52" s="166">
        <f t="shared" si="3"/>
        <v>-779147952757.41748</v>
      </c>
    </row>
    <row r="53" spans="1:5">
      <c r="A53" s="140">
        <v>30</v>
      </c>
      <c r="B53" s="165">
        <f t="shared" ca="1" si="0"/>
        <v>44887</v>
      </c>
      <c r="C53" s="153" t="s">
        <v>52</v>
      </c>
      <c r="D53" s="154">
        <f t="shared" si="2"/>
        <v>-24348373523.669334</v>
      </c>
      <c r="E53" s="166">
        <f t="shared" si="3"/>
        <v>-754799579233.74817</v>
      </c>
    </row>
    <row r="54" spans="1:5">
      <c r="A54" s="140">
        <v>31</v>
      </c>
      <c r="B54" s="165">
        <f ca="1">EDATE(B53,1)</f>
        <v>44917</v>
      </c>
      <c r="C54" s="153" t="s">
        <v>53</v>
      </c>
      <c r="D54" s="154">
        <f>D53</f>
        <v>-24348373523.669334</v>
      </c>
      <c r="E54" s="166">
        <f t="shared" si="3"/>
        <v>-730451205710.07886</v>
      </c>
    </row>
    <row r="55" spans="1:5">
      <c r="A55" s="140">
        <v>32</v>
      </c>
      <c r="B55" s="165">
        <f t="shared" ref="B55:B84" ca="1" si="4">EDATE(B54,1)</f>
        <v>44948</v>
      </c>
      <c r="C55" s="153" t="s">
        <v>93</v>
      </c>
      <c r="D55" s="154">
        <f t="shared" ref="D55:D84" si="5">D54</f>
        <v>-24348373523.669334</v>
      </c>
      <c r="E55" s="166">
        <f t="shared" ref="E55:E84" si="6">E54-D55</f>
        <v>-706102832186.40955</v>
      </c>
    </row>
    <row r="56" spans="1:5">
      <c r="A56" s="140">
        <v>33</v>
      </c>
      <c r="B56" s="165">
        <f t="shared" ca="1" si="4"/>
        <v>44979</v>
      </c>
      <c r="C56" s="153" t="s">
        <v>94</v>
      </c>
      <c r="D56" s="154">
        <f t="shared" si="5"/>
        <v>-24348373523.669334</v>
      </c>
      <c r="E56" s="166">
        <f t="shared" si="6"/>
        <v>-681754458662.74023</v>
      </c>
    </row>
    <row r="57" spans="1:5">
      <c r="A57" s="140">
        <v>34</v>
      </c>
      <c r="B57" s="165">
        <f t="shared" ca="1" si="4"/>
        <v>45007</v>
      </c>
      <c r="C57" s="153" t="s">
        <v>95</v>
      </c>
      <c r="D57" s="154">
        <f t="shared" si="5"/>
        <v>-24348373523.669334</v>
      </c>
      <c r="E57" s="166">
        <f t="shared" si="6"/>
        <v>-657406085139.07092</v>
      </c>
    </row>
    <row r="58" spans="1:5">
      <c r="A58" s="140">
        <v>35</v>
      </c>
      <c r="B58" s="165">
        <f t="shared" ca="1" si="4"/>
        <v>45038</v>
      </c>
      <c r="C58" s="153" t="s">
        <v>96</v>
      </c>
      <c r="D58" s="154">
        <f t="shared" si="5"/>
        <v>-24348373523.669334</v>
      </c>
      <c r="E58" s="166">
        <f t="shared" si="6"/>
        <v>-633057711615.40161</v>
      </c>
    </row>
    <row r="59" spans="1:5">
      <c r="A59" s="140">
        <v>36</v>
      </c>
      <c r="B59" s="165">
        <f t="shared" ca="1" si="4"/>
        <v>45068</v>
      </c>
      <c r="C59" s="153" t="s">
        <v>97</v>
      </c>
      <c r="D59" s="154">
        <f t="shared" si="5"/>
        <v>-24348373523.669334</v>
      </c>
      <c r="E59" s="166">
        <f t="shared" si="6"/>
        <v>-608709338091.7323</v>
      </c>
    </row>
    <row r="60" spans="1:5">
      <c r="A60" s="140">
        <v>37</v>
      </c>
      <c r="B60" s="165">
        <f t="shared" ca="1" si="4"/>
        <v>45099</v>
      </c>
      <c r="C60" s="153" t="s">
        <v>98</v>
      </c>
      <c r="D60" s="154">
        <f t="shared" si="5"/>
        <v>-24348373523.669334</v>
      </c>
      <c r="E60" s="166">
        <f t="shared" si="6"/>
        <v>-584360964568.06299</v>
      </c>
    </row>
    <row r="61" spans="1:5">
      <c r="A61" s="140">
        <v>38</v>
      </c>
      <c r="B61" s="165">
        <f t="shared" ca="1" si="4"/>
        <v>45129</v>
      </c>
      <c r="C61" s="153" t="s">
        <v>99</v>
      </c>
      <c r="D61" s="154">
        <f t="shared" si="5"/>
        <v>-24348373523.669334</v>
      </c>
      <c r="E61" s="166">
        <f t="shared" si="6"/>
        <v>-560012591044.39368</v>
      </c>
    </row>
    <row r="62" spans="1:5">
      <c r="A62" s="140">
        <v>39</v>
      </c>
      <c r="B62" s="165">
        <f t="shared" ca="1" si="4"/>
        <v>45160</v>
      </c>
      <c r="C62" s="153" t="s">
        <v>100</v>
      </c>
      <c r="D62" s="154">
        <f t="shared" si="5"/>
        <v>-24348373523.669334</v>
      </c>
      <c r="E62" s="166">
        <f t="shared" si="6"/>
        <v>-535664217520.72437</v>
      </c>
    </row>
    <row r="63" spans="1:5">
      <c r="A63" s="140">
        <v>40</v>
      </c>
      <c r="B63" s="165">
        <f t="shared" ca="1" si="4"/>
        <v>45191</v>
      </c>
      <c r="C63" s="153" t="s">
        <v>101</v>
      </c>
      <c r="D63" s="154">
        <f t="shared" si="5"/>
        <v>-24348373523.669334</v>
      </c>
      <c r="E63" s="166">
        <f t="shared" si="6"/>
        <v>-511315843997.05505</v>
      </c>
    </row>
    <row r="64" spans="1:5">
      <c r="A64" s="140">
        <v>41</v>
      </c>
      <c r="B64" s="165">
        <f t="shared" ca="1" si="4"/>
        <v>45221</v>
      </c>
      <c r="C64" s="153" t="s">
        <v>102</v>
      </c>
      <c r="D64" s="154">
        <f t="shared" si="5"/>
        <v>-24348373523.669334</v>
      </c>
      <c r="E64" s="166">
        <f t="shared" si="6"/>
        <v>-486967470473.38574</v>
      </c>
    </row>
    <row r="65" spans="1:5">
      <c r="A65" s="140">
        <v>42</v>
      </c>
      <c r="B65" s="165">
        <f t="shared" ca="1" si="4"/>
        <v>45252</v>
      </c>
      <c r="C65" s="153" t="s">
        <v>103</v>
      </c>
      <c r="D65" s="154">
        <f t="shared" si="5"/>
        <v>-24348373523.669334</v>
      </c>
      <c r="E65" s="166">
        <f t="shared" si="6"/>
        <v>-462619096949.71643</v>
      </c>
    </row>
    <row r="66" spans="1:5">
      <c r="A66" s="140">
        <v>43</v>
      </c>
      <c r="B66" s="165">
        <f t="shared" ca="1" si="4"/>
        <v>45282</v>
      </c>
      <c r="C66" s="153" t="s">
        <v>104</v>
      </c>
      <c r="D66" s="154">
        <f t="shared" si="5"/>
        <v>-24348373523.669334</v>
      </c>
      <c r="E66" s="166">
        <f t="shared" si="6"/>
        <v>-438270723426.04712</v>
      </c>
    </row>
    <row r="67" spans="1:5">
      <c r="A67" s="140">
        <v>44</v>
      </c>
      <c r="B67" s="165">
        <f t="shared" ca="1" si="4"/>
        <v>45313</v>
      </c>
      <c r="C67" s="153" t="s">
        <v>105</v>
      </c>
      <c r="D67" s="154">
        <f t="shared" si="5"/>
        <v>-24348373523.669334</v>
      </c>
      <c r="E67" s="166">
        <f t="shared" si="6"/>
        <v>-413922349902.37781</v>
      </c>
    </row>
    <row r="68" spans="1:5">
      <c r="A68" s="140">
        <v>45</v>
      </c>
      <c r="B68" s="165">
        <f t="shared" ca="1" si="4"/>
        <v>45344</v>
      </c>
      <c r="C68" s="153" t="s">
        <v>106</v>
      </c>
      <c r="D68" s="154">
        <f t="shared" si="5"/>
        <v>-24348373523.669334</v>
      </c>
      <c r="E68" s="166">
        <f t="shared" si="6"/>
        <v>-389573976378.7085</v>
      </c>
    </row>
    <row r="69" spans="1:5">
      <c r="A69" s="140">
        <v>46</v>
      </c>
      <c r="B69" s="165">
        <f t="shared" ca="1" si="4"/>
        <v>45373</v>
      </c>
      <c r="C69" s="153" t="s">
        <v>107</v>
      </c>
      <c r="D69" s="154">
        <f t="shared" si="5"/>
        <v>-24348373523.669334</v>
      </c>
      <c r="E69" s="166">
        <f t="shared" si="6"/>
        <v>-365225602855.03918</v>
      </c>
    </row>
    <row r="70" spans="1:5">
      <c r="A70" s="140">
        <v>47</v>
      </c>
      <c r="B70" s="165">
        <f t="shared" ca="1" si="4"/>
        <v>45404</v>
      </c>
      <c r="C70" s="153" t="s">
        <v>108</v>
      </c>
      <c r="D70" s="154">
        <f t="shared" si="5"/>
        <v>-24348373523.669334</v>
      </c>
      <c r="E70" s="166">
        <f t="shared" si="6"/>
        <v>-340877229331.36987</v>
      </c>
    </row>
    <row r="71" spans="1:5">
      <c r="A71" s="140">
        <v>48</v>
      </c>
      <c r="B71" s="165">
        <f t="shared" ca="1" si="4"/>
        <v>45434</v>
      </c>
      <c r="C71" s="153" t="s">
        <v>109</v>
      </c>
      <c r="D71" s="154">
        <f t="shared" si="5"/>
        <v>-24348373523.669334</v>
      </c>
      <c r="E71" s="166">
        <f t="shared" si="6"/>
        <v>-316528855807.70056</v>
      </c>
    </row>
    <row r="72" spans="1:5">
      <c r="A72" s="140">
        <v>49</v>
      </c>
      <c r="B72" s="165">
        <f t="shared" ca="1" si="4"/>
        <v>45465</v>
      </c>
      <c r="C72" s="153" t="s">
        <v>110</v>
      </c>
      <c r="D72" s="154">
        <f t="shared" si="5"/>
        <v>-24348373523.669334</v>
      </c>
      <c r="E72" s="166">
        <f t="shared" si="6"/>
        <v>-292180482284.03125</v>
      </c>
    </row>
    <row r="73" spans="1:5">
      <c r="A73" s="140">
        <v>50</v>
      </c>
      <c r="B73" s="165">
        <f t="shared" ca="1" si="4"/>
        <v>45495</v>
      </c>
      <c r="C73" s="153" t="s">
        <v>111</v>
      </c>
      <c r="D73" s="154">
        <f t="shared" si="5"/>
        <v>-24348373523.669334</v>
      </c>
      <c r="E73" s="166">
        <f t="shared" si="6"/>
        <v>-267832108760.36191</v>
      </c>
    </row>
    <row r="74" spans="1:5">
      <c r="A74" s="140">
        <v>51</v>
      </c>
      <c r="B74" s="165">
        <f t="shared" ca="1" si="4"/>
        <v>45526</v>
      </c>
      <c r="C74" s="153" t="s">
        <v>112</v>
      </c>
      <c r="D74" s="154">
        <f t="shared" si="5"/>
        <v>-24348373523.669334</v>
      </c>
      <c r="E74" s="166">
        <f t="shared" si="6"/>
        <v>-243483735236.69257</v>
      </c>
    </row>
    <row r="75" spans="1:5">
      <c r="A75" s="140">
        <v>52</v>
      </c>
      <c r="B75" s="165">
        <f t="shared" ca="1" si="4"/>
        <v>45557</v>
      </c>
      <c r="C75" s="153" t="s">
        <v>113</v>
      </c>
      <c r="D75" s="154">
        <f t="shared" si="5"/>
        <v>-24348373523.669334</v>
      </c>
      <c r="E75" s="166">
        <f t="shared" si="6"/>
        <v>-219135361713.02322</v>
      </c>
    </row>
    <row r="76" spans="1:5">
      <c r="A76" s="140">
        <v>53</v>
      </c>
      <c r="B76" s="165">
        <f t="shared" ca="1" si="4"/>
        <v>45587</v>
      </c>
      <c r="C76" s="153" t="s">
        <v>114</v>
      </c>
      <c r="D76" s="154">
        <f t="shared" si="5"/>
        <v>-24348373523.669334</v>
      </c>
      <c r="E76" s="166">
        <f t="shared" si="6"/>
        <v>-194786988189.35388</v>
      </c>
    </row>
    <row r="77" spans="1:5">
      <c r="A77" s="140">
        <v>54</v>
      </c>
      <c r="B77" s="165">
        <f t="shared" ca="1" si="4"/>
        <v>45618</v>
      </c>
      <c r="C77" s="153" t="s">
        <v>115</v>
      </c>
      <c r="D77" s="154">
        <f t="shared" si="5"/>
        <v>-24348373523.669334</v>
      </c>
      <c r="E77" s="166">
        <f t="shared" si="6"/>
        <v>-170438614665.68454</v>
      </c>
    </row>
    <row r="78" spans="1:5">
      <c r="A78" s="140">
        <v>55</v>
      </c>
      <c r="B78" s="165">
        <f t="shared" ca="1" si="4"/>
        <v>45648</v>
      </c>
      <c r="C78" s="153" t="s">
        <v>116</v>
      </c>
      <c r="D78" s="154">
        <f t="shared" si="5"/>
        <v>-24348373523.669334</v>
      </c>
      <c r="E78" s="166">
        <f t="shared" si="6"/>
        <v>-146090241142.0152</v>
      </c>
    </row>
    <row r="79" spans="1:5">
      <c r="A79" s="140">
        <v>56</v>
      </c>
      <c r="B79" s="165">
        <f t="shared" ca="1" si="4"/>
        <v>45679</v>
      </c>
      <c r="C79" s="153" t="s">
        <v>117</v>
      </c>
      <c r="D79" s="154">
        <f t="shared" si="5"/>
        <v>-24348373523.669334</v>
      </c>
      <c r="E79" s="166">
        <f t="shared" si="6"/>
        <v>-121741867618.34586</v>
      </c>
    </row>
    <row r="80" spans="1:5">
      <c r="A80" s="140">
        <v>57</v>
      </c>
      <c r="B80" s="165">
        <f t="shared" ca="1" si="4"/>
        <v>45710</v>
      </c>
      <c r="C80" s="153" t="s">
        <v>118</v>
      </c>
      <c r="D80" s="154">
        <f t="shared" si="5"/>
        <v>-24348373523.669334</v>
      </c>
      <c r="E80" s="166">
        <f t="shared" si="6"/>
        <v>-97393494094.676514</v>
      </c>
    </row>
    <row r="81" spans="1:5" ht="12" customHeight="1">
      <c r="A81" s="140">
        <v>58</v>
      </c>
      <c r="B81" s="165">
        <f t="shared" ca="1" si="4"/>
        <v>45738</v>
      </c>
      <c r="C81" s="153" t="s">
        <v>119</v>
      </c>
      <c r="D81" s="154">
        <f t="shared" si="5"/>
        <v>-24348373523.669334</v>
      </c>
      <c r="E81" s="166">
        <f t="shared" si="6"/>
        <v>-73045120571.007172</v>
      </c>
    </row>
    <row r="82" spans="1:5" ht="12" customHeight="1">
      <c r="A82" s="140">
        <v>59</v>
      </c>
      <c r="B82" s="165">
        <f t="shared" ca="1" si="4"/>
        <v>45769</v>
      </c>
      <c r="C82" s="153" t="s">
        <v>120</v>
      </c>
      <c r="D82" s="154">
        <f t="shared" si="5"/>
        <v>-24348373523.669334</v>
      </c>
      <c r="E82" s="166">
        <f t="shared" si="6"/>
        <v>-48696747047.337837</v>
      </c>
    </row>
    <row r="83" spans="1:5" ht="12" customHeight="1">
      <c r="A83" s="140">
        <v>60</v>
      </c>
      <c r="B83" s="165">
        <f t="shared" ca="1" si="4"/>
        <v>45799</v>
      </c>
      <c r="C83" s="153" t="s">
        <v>121</v>
      </c>
      <c r="D83" s="154">
        <f t="shared" si="5"/>
        <v>-24348373523.669334</v>
      </c>
      <c r="E83" s="166">
        <f t="shared" si="6"/>
        <v>-24348373523.668503</v>
      </c>
    </row>
    <row r="84" spans="1:5" ht="12" customHeight="1">
      <c r="A84" s="140">
        <v>61</v>
      </c>
      <c r="B84" s="165">
        <f t="shared" ca="1" si="4"/>
        <v>45830</v>
      </c>
      <c r="C84" s="153" t="s">
        <v>122</v>
      </c>
      <c r="D84" s="154">
        <f t="shared" si="5"/>
        <v>-24348373523.669334</v>
      </c>
      <c r="E84" s="166">
        <f t="shared" si="6"/>
        <v>8.3160400390625E-4</v>
      </c>
    </row>
    <row r="85" spans="1:5">
      <c r="A85" s="125"/>
      <c r="B85" s="126"/>
      <c r="C85" s="127" t="s">
        <v>16</v>
      </c>
      <c r="D85" s="128">
        <f>SUM(D23:D84)</f>
        <v>-1826128014275.2024</v>
      </c>
      <c r="E85" s="125"/>
    </row>
    <row r="86" spans="1:5">
      <c r="A86" s="129" t="s">
        <v>62</v>
      </c>
      <c r="B86" s="135"/>
      <c r="C86" s="136"/>
      <c r="D86" s="137"/>
      <c r="E86" s="138"/>
    </row>
    <row r="87" spans="1:5">
      <c r="A87" s="130" t="s">
        <v>70</v>
      </c>
      <c r="B87" s="138"/>
      <c r="C87" s="136"/>
      <c r="D87" s="137"/>
      <c r="E87" s="138"/>
    </row>
    <row r="88" spans="1:5">
      <c r="A88" s="130" t="s">
        <v>71</v>
      </c>
      <c r="B88" s="138"/>
      <c r="C88" s="136"/>
      <c r="D88" s="137"/>
      <c r="E88" s="138"/>
    </row>
    <row r="89" spans="1:5">
      <c r="A89" s="130" t="s">
        <v>89</v>
      </c>
      <c r="B89" s="138"/>
      <c r="C89" s="136"/>
      <c r="D89" s="138"/>
      <c r="E89" s="138"/>
    </row>
    <row r="90" spans="1:5">
      <c r="A90" s="130" t="s">
        <v>75</v>
      </c>
      <c r="B90" s="138"/>
      <c r="C90" s="136"/>
      <c r="D90" s="138"/>
      <c r="E90" s="138"/>
    </row>
    <row r="91" spans="1:5">
      <c r="A91" s="130" t="s">
        <v>63</v>
      </c>
      <c r="B91" s="138"/>
      <c r="C91" s="136"/>
      <c r="D91" s="138"/>
      <c r="E91" s="138"/>
    </row>
    <row r="93" spans="1:5">
      <c r="A93" s="114" t="s">
        <v>17</v>
      </c>
    </row>
    <row r="95" spans="1:5">
      <c r="A95" s="131"/>
      <c r="D95" s="131"/>
    </row>
    <row r="96" spans="1:5">
      <c r="A96" s="116" t="s">
        <v>18</v>
      </c>
      <c r="D96" s="116" t="s">
        <v>18</v>
      </c>
    </row>
  </sheetData>
  <sheetProtection password="CAF1" sheet="1" selectLockedCells="1"/>
  <mergeCells count="6">
    <mergeCell ref="B10:D10"/>
    <mergeCell ref="E1:E2"/>
    <mergeCell ref="B5:D5"/>
    <mergeCell ref="B6:D6"/>
    <mergeCell ref="B7:D7"/>
    <mergeCell ref="B9:D9"/>
  </mergeCells>
  <hyperlinks>
    <hyperlink ref="B1" location="'DATA SHEET'!A1" display="HIGHLANDS PRIME, INC." xr:uid="{00000000-0004-0000-1100-000000000000}"/>
  </hyperlinks>
  <printOptions horizontalCentered="1"/>
  <pageMargins left="0.7" right="0.7" top="0.75" bottom="0.5" header="0.3" footer="0.3"/>
  <pageSetup scale="61" orientation="portrait" r:id="rId1"/>
  <headerFooter>
    <oddFooter>&amp;L&amp;8A project of HIGHLANDS PRIME, INC. Horizon Terraces HLURB License To Sell No. 032272&amp;R&amp;8Page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6">
    <tabColor theme="6" tint="-0.249977111117893"/>
    <pageSetUpPr fitToPage="1"/>
  </sheetPr>
  <dimension ref="A1:E98"/>
  <sheetViews>
    <sheetView showGridLines="0" view="pageLayout" topLeftCell="A4" zoomScaleNormal="100" workbookViewId="0">
      <selection activeCell="A16" sqref="A16"/>
    </sheetView>
  </sheetViews>
  <sheetFormatPr baseColWidth="10" defaultColWidth="9.1640625" defaultRowHeight="14"/>
  <cols>
    <col min="1" max="1" width="23.5" style="114" customWidth="1"/>
    <col min="2" max="2" width="12.6640625" style="114" customWidth="1"/>
    <col min="3" max="3" width="16.6640625" style="116" customWidth="1"/>
    <col min="4" max="5" width="15.6640625" style="114" customWidth="1"/>
    <col min="6" max="16384" width="9.1640625" style="114"/>
  </cols>
  <sheetData>
    <row r="1" spans="1:5" ht="12.75" customHeight="1">
      <c r="B1" s="115" t="s">
        <v>35</v>
      </c>
      <c r="E1" s="361" t="s">
        <v>66</v>
      </c>
    </row>
    <row r="2" spans="1:5">
      <c r="B2" s="117" t="s">
        <v>193</v>
      </c>
      <c r="E2" s="361"/>
    </row>
    <row r="3" spans="1:5">
      <c r="B3" s="117" t="s">
        <v>36</v>
      </c>
    </row>
    <row r="5" spans="1:5">
      <c r="A5" s="118" t="s">
        <v>0</v>
      </c>
      <c r="B5" s="362" t="str">
        <f>'DATA SHEET'!C9</f>
        <v xml:space="preserve"> </v>
      </c>
      <c r="C5" s="362"/>
      <c r="D5" s="363"/>
    </row>
    <row r="6" spans="1:5">
      <c r="A6" s="119" t="s">
        <v>31</v>
      </c>
      <c r="B6" s="364" t="str">
        <f>VLOOKUP('DATA SHEET'!$C$10,' Glenview PL'!C6:F30,1,FALSE)</f>
        <v>GB</v>
      </c>
      <c r="C6" s="364"/>
      <c r="D6" s="365"/>
    </row>
    <row r="7" spans="1:5">
      <c r="A7" s="119" t="s">
        <v>37</v>
      </c>
      <c r="B7" s="370">
        <f>VLOOKUP('DATA SHEET'!C10,' Glenview PL'!C6:F30,3,0)</f>
        <v>67.900000000000006</v>
      </c>
      <c r="C7" s="370"/>
      <c r="D7" s="371"/>
    </row>
    <row r="8" spans="1:5">
      <c r="A8" s="119" t="s">
        <v>194</v>
      </c>
      <c r="B8" s="147" t="str">
        <f>VLOOKUP('DATA SHEET'!C10,' Glenview PL'!C6:D30,2,0)</f>
        <v>1-Bedroom Terrace Suite</v>
      </c>
      <c r="C8" s="149"/>
      <c r="D8" s="150"/>
    </row>
    <row r="9" spans="1:5">
      <c r="A9" s="119" t="s">
        <v>204</v>
      </c>
      <c r="B9" s="372">
        <f>VLOOKUP('DATA SHEET'!C10,' Glenview PL'!C6:F30,4,0)</f>
        <v>8851760</v>
      </c>
      <c r="C9" s="372"/>
      <c r="D9" s="373"/>
    </row>
    <row r="10" spans="1:5">
      <c r="A10" s="120" t="s">
        <v>33</v>
      </c>
      <c r="B10" s="359" t="s">
        <v>206</v>
      </c>
      <c r="C10" s="359"/>
      <c r="D10" s="360"/>
    </row>
    <row r="12" spans="1:5">
      <c r="A12" s="117" t="s">
        <v>55</v>
      </c>
    </row>
    <row r="13" spans="1:5">
      <c r="A13" s="114" t="s">
        <v>57</v>
      </c>
      <c r="C13" s="121">
        <f>B9</f>
        <v>8851760</v>
      </c>
      <c r="D13" s="155" t="str">
        <f>LEFT(B8,9)</f>
        <v>1-Bedroom</v>
      </c>
    </row>
    <row r="14" spans="1:5">
      <c r="A14" s="114" t="s">
        <v>59</v>
      </c>
      <c r="C14" s="133">
        <v>750000</v>
      </c>
      <c r="D14" s="116"/>
    </row>
    <row r="15" spans="1:5">
      <c r="C15" s="139">
        <f>C13-C14</f>
        <v>8101760</v>
      </c>
      <c r="D15" s="116"/>
    </row>
    <row r="16" spans="1:5">
      <c r="A16" s="156" t="s">
        <v>187</v>
      </c>
      <c r="B16" s="192">
        <f>VLOOKUP('DATA SHEET'!C10,' Glenview PL'!C6:G30,5,0)</f>
        <v>230000</v>
      </c>
      <c r="C16" s="139">
        <f>IF(B16&gt;VLOOKUP(B6,' Glenview PL'!C:G,5,0),"beyond maximum discount",(C15*B16))</f>
        <v>1863404800000</v>
      </c>
      <c r="D16" s="160">
        <f>VLOOKUP(B6,' Glenview PL'!C:G,5,0)</f>
        <v>230000</v>
      </c>
    </row>
    <row r="17" spans="1:5" hidden="1">
      <c r="C17" s="133" t="e">
        <f>#REF!*B17</f>
        <v>#REF!</v>
      </c>
      <c r="D17" s="116"/>
    </row>
    <row r="18" spans="1:5" hidden="1">
      <c r="A18" s="114" t="s">
        <v>188</v>
      </c>
      <c r="B18" s="132">
        <v>0.02</v>
      </c>
      <c r="C18" s="121" t="e">
        <f>#REF!-C17</f>
        <v>#REF!</v>
      </c>
      <c r="D18" s="116"/>
    </row>
    <row r="19" spans="1:5" hidden="1">
      <c r="A19" s="156" t="s">
        <v>199</v>
      </c>
      <c r="B19" s="151"/>
      <c r="C19" s="139">
        <f>IF(B19&lt;=2%,((C15-C16)*B19),"BEYOND MAX DISC.")</f>
        <v>0</v>
      </c>
      <c r="D19" s="116"/>
    </row>
    <row r="20" spans="1:5">
      <c r="A20" s="156" t="s">
        <v>72</v>
      </c>
      <c r="B20" s="151">
        <v>0.02</v>
      </c>
      <c r="C20" s="133">
        <f>(C15-C16)*B20</f>
        <v>-37267933964.800003</v>
      </c>
      <c r="D20" s="116"/>
    </row>
    <row r="21" spans="1:5" ht="15" thickBot="1">
      <c r="A21" s="117" t="s">
        <v>58</v>
      </c>
      <c r="B21" s="143"/>
      <c r="C21" s="152">
        <f>C15-C16-C20</f>
        <v>-1826128764275.2</v>
      </c>
      <c r="D21" s="116"/>
    </row>
    <row r="22" spans="1:5" ht="15" thickTop="1">
      <c r="B22" s="123"/>
      <c r="C22" s="139"/>
      <c r="D22" s="116"/>
    </row>
    <row r="24" spans="1:5">
      <c r="A24" s="124" t="s">
        <v>34</v>
      </c>
      <c r="B24" s="124" t="s">
        <v>32</v>
      </c>
      <c r="C24" s="124" t="s">
        <v>2</v>
      </c>
      <c r="D24" s="124" t="s">
        <v>3</v>
      </c>
      <c r="E24" s="124" t="s">
        <v>68</v>
      </c>
    </row>
    <row r="25" spans="1:5">
      <c r="A25" s="140">
        <v>0</v>
      </c>
      <c r="B25" s="163">
        <f ca="1">'DATA SHEET'!C8</f>
        <v>43973</v>
      </c>
      <c r="C25" s="140" t="s">
        <v>38</v>
      </c>
      <c r="D25" s="162">
        <f>IF(D13="1-Bedroom",50000,100000)</f>
        <v>50000</v>
      </c>
      <c r="E25" s="164">
        <f>C21-D25</f>
        <v>-1826128814275.2</v>
      </c>
    </row>
    <row r="26" spans="1:5">
      <c r="A26" s="140">
        <v>1</v>
      </c>
      <c r="B26" s="165">
        <f ca="1">EDATE(B25,1)</f>
        <v>44004</v>
      </c>
      <c r="C26" s="153" t="s">
        <v>69</v>
      </c>
      <c r="D26" s="154">
        <f>(C21*20%)-D25</f>
        <v>-365225802855.04004</v>
      </c>
      <c r="E26" s="166">
        <f>E25-D26</f>
        <v>-1460903011420.1599</v>
      </c>
    </row>
    <row r="27" spans="1:5">
      <c r="A27" s="140">
        <v>2</v>
      </c>
      <c r="B27" s="165">
        <f t="shared" ref="B27:B86" ca="1" si="0">EDATE(B26,1)</f>
        <v>44034</v>
      </c>
      <c r="C27" s="153" t="s">
        <v>4</v>
      </c>
      <c r="D27" s="154">
        <f>(C21*80%)/60</f>
        <v>-24348383523.669334</v>
      </c>
      <c r="E27" s="166">
        <f>E26-D27</f>
        <v>-1436554627896.4905</v>
      </c>
    </row>
    <row r="28" spans="1:5">
      <c r="A28" s="140">
        <v>3</v>
      </c>
      <c r="B28" s="165">
        <f t="shared" ca="1" si="0"/>
        <v>44065</v>
      </c>
      <c r="C28" s="153" t="s">
        <v>5</v>
      </c>
      <c r="D28" s="154">
        <f>D27</f>
        <v>-24348383523.669334</v>
      </c>
      <c r="E28" s="166">
        <f t="shared" ref="E28:E50" si="1">E27-D28</f>
        <v>-1412206244372.821</v>
      </c>
    </row>
    <row r="29" spans="1:5">
      <c r="A29" s="140">
        <v>4</v>
      </c>
      <c r="B29" s="165">
        <f t="shared" ca="1" si="0"/>
        <v>44096</v>
      </c>
      <c r="C29" s="153" t="s">
        <v>6</v>
      </c>
      <c r="D29" s="154">
        <f t="shared" ref="D29:D86" si="2">D28</f>
        <v>-24348383523.669334</v>
      </c>
      <c r="E29" s="166">
        <f t="shared" si="1"/>
        <v>-1387857860849.1516</v>
      </c>
    </row>
    <row r="30" spans="1:5">
      <c r="A30" s="140">
        <v>5</v>
      </c>
      <c r="B30" s="165">
        <f t="shared" ca="1" si="0"/>
        <v>44126</v>
      </c>
      <c r="C30" s="153" t="s">
        <v>7</v>
      </c>
      <c r="D30" s="154">
        <f t="shared" si="2"/>
        <v>-24348383523.669334</v>
      </c>
      <c r="E30" s="166">
        <f t="shared" si="1"/>
        <v>-1363509477325.4822</v>
      </c>
    </row>
    <row r="31" spans="1:5">
      <c r="A31" s="140">
        <v>6</v>
      </c>
      <c r="B31" s="165">
        <f t="shared" ca="1" si="0"/>
        <v>44157</v>
      </c>
      <c r="C31" s="153" t="s">
        <v>8</v>
      </c>
      <c r="D31" s="154">
        <f t="shared" si="2"/>
        <v>-24348383523.669334</v>
      </c>
      <c r="E31" s="166">
        <f t="shared" si="1"/>
        <v>-1339161093801.8127</v>
      </c>
    </row>
    <row r="32" spans="1:5">
      <c r="A32" s="140">
        <v>7</v>
      </c>
      <c r="B32" s="165">
        <f t="shared" ca="1" si="0"/>
        <v>44187</v>
      </c>
      <c r="C32" s="153" t="s">
        <v>9</v>
      </c>
      <c r="D32" s="154">
        <f t="shared" si="2"/>
        <v>-24348383523.669334</v>
      </c>
      <c r="E32" s="166">
        <f t="shared" si="1"/>
        <v>-1314812710278.1433</v>
      </c>
    </row>
    <row r="33" spans="1:5">
      <c r="A33" s="140">
        <v>8</v>
      </c>
      <c r="B33" s="165">
        <f t="shared" ca="1" si="0"/>
        <v>44218</v>
      </c>
      <c r="C33" s="153" t="s">
        <v>10</v>
      </c>
      <c r="D33" s="154">
        <f t="shared" si="2"/>
        <v>-24348383523.669334</v>
      </c>
      <c r="E33" s="166">
        <f t="shared" si="1"/>
        <v>-1290464326754.4739</v>
      </c>
    </row>
    <row r="34" spans="1:5">
      <c r="A34" s="140">
        <v>9</v>
      </c>
      <c r="B34" s="165">
        <f t="shared" ca="1" si="0"/>
        <v>44249</v>
      </c>
      <c r="C34" s="153" t="s">
        <v>11</v>
      </c>
      <c r="D34" s="154">
        <f t="shared" si="2"/>
        <v>-24348383523.669334</v>
      </c>
      <c r="E34" s="166">
        <f t="shared" si="1"/>
        <v>-1266115943230.8044</v>
      </c>
    </row>
    <row r="35" spans="1:5">
      <c r="A35" s="140">
        <v>10</v>
      </c>
      <c r="B35" s="165">
        <f t="shared" ca="1" si="0"/>
        <v>44277</v>
      </c>
      <c r="C35" s="153" t="s">
        <v>12</v>
      </c>
      <c r="D35" s="154">
        <f t="shared" si="2"/>
        <v>-24348383523.669334</v>
      </c>
      <c r="E35" s="166">
        <f t="shared" si="1"/>
        <v>-1241767559707.135</v>
      </c>
    </row>
    <row r="36" spans="1:5">
      <c r="A36" s="140">
        <v>11</v>
      </c>
      <c r="B36" s="165">
        <f t="shared" ca="1" si="0"/>
        <v>44308</v>
      </c>
      <c r="C36" s="153" t="s">
        <v>13</v>
      </c>
      <c r="D36" s="154">
        <f t="shared" si="2"/>
        <v>-24348383523.669334</v>
      </c>
      <c r="E36" s="166">
        <f t="shared" si="1"/>
        <v>-1217419176183.4656</v>
      </c>
    </row>
    <row r="37" spans="1:5">
      <c r="A37" s="140">
        <v>12</v>
      </c>
      <c r="B37" s="165">
        <f t="shared" ca="1" si="0"/>
        <v>44338</v>
      </c>
      <c r="C37" s="153" t="s">
        <v>14</v>
      </c>
      <c r="D37" s="154">
        <f t="shared" si="2"/>
        <v>-24348383523.669334</v>
      </c>
      <c r="E37" s="166">
        <f t="shared" si="1"/>
        <v>-1193070792659.7961</v>
      </c>
    </row>
    <row r="38" spans="1:5">
      <c r="A38" s="140">
        <v>13</v>
      </c>
      <c r="B38" s="165">
        <f t="shared" ca="1" si="0"/>
        <v>44369</v>
      </c>
      <c r="C38" s="153" t="s">
        <v>15</v>
      </c>
      <c r="D38" s="154">
        <f t="shared" si="2"/>
        <v>-24348383523.669334</v>
      </c>
      <c r="E38" s="166">
        <f t="shared" si="1"/>
        <v>-1168722409136.1267</v>
      </c>
    </row>
    <row r="39" spans="1:5">
      <c r="A39" s="140">
        <v>14</v>
      </c>
      <c r="B39" s="165">
        <f t="shared" ca="1" si="0"/>
        <v>44399</v>
      </c>
      <c r="C39" s="153" t="s">
        <v>19</v>
      </c>
      <c r="D39" s="154">
        <f t="shared" si="2"/>
        <v>-24348383523.669334</v>
      </c>
      <c r="E39" s="166">
        <f t="shared" si="1"/>
        <v>-1144374025612.4573</v>
      </c>
    </row>
    <row r="40" spans="1:5">
      <c r="A40" s="140">
        <v>15</v>
      </c>
      <c r="B40" s="165">
        <f t="shared" ca="1" si="0"/>
        <v>44430</v>
      </c>
      <c r="C40" s="153" t="s">
        <v>20</v>
      </c>
      <c r="D40" s="154">
        <f t="shared" si="2"/>
        <v>-24348383523.669334</v>
      </c>
      <c r="E40" s="166">
        <f t="shared" si="1"/>
        <v>-1120025642088.7878</v>
      </c>
    </row>
    <row r="41" spans="1:5">
      <c r="A41" s="140">
        <v>16</v>
      </c>
      <c r="B41" s="165">
        <f t="shared" ca="1" si="0"/>
        <v>44461</v>
      </c>
      <c r="C41" s="153" t="s">
        <v>21</v>
      </c>
      <c r="D41" s="154">
        <f t="shared" si="2"/>
        <v>-24348383523.669334</v>
      </c>
      <c r="E41" s="166">
        <f t="shared" si="1"/>
        <v>-1095677258565.1185</v>
      </c>
    </row>
    <row r="42" spans="1:5">
      <c r="A42" s="140">
        <v>17</v>
      </c>
      <c r="B42" s="165">
        <f t="shared" ca="1" si="0"/>
        <v>44491</v>
      </c>
      <c r="C42" s="153" t="s">
        <v>22</v>
      </c>
      <c r="D42" s="154">
        <f t="shared" si="2"/>
        <v>-24348383523.669334</v>
      </c>
      <c r="E42" s="166">
        <f t="shared" si="1"/>
        <v>-1071328875041.4492</v>
      </c>
    </row>
    <row r="43" spans="1:5">
      <c r="A43" s="140">
        <v>18</v>
      </c>
      <c r="B43" s="165">
        <f t="shared" ca="1" si="0"/>
        <v>44522</v>
      </c>
      <c r="C43" s="153" t="s">
        <v>23</v>
      </c>
      <c r="D43" s="154">
        <f t="shared" si="2"/>
        <v>-24348383523.669334</v>
      </c>
      <c r="E43" s="166">
        <f t="shared" si="1"/>
        <v>-1046980491517.7799</v>
      </c>
    </row>
    <row r="44" spans="1:5">
      <c r="A44" s="140">
        <v>19</v>
      </c>
      <c r="B44" s="165">
        <f t="shared" ca="1" si="0"/>
        <v>44552</v>
      </c>
      <c r="C44" s="153" t="s">
        <v>24</v>
      </c>
      <c r="D44" s="154">
        <f t="shared" si="2"/>
        <v>-24348383523.669334</v>
      </c>
      <c r="E44" s="166">
        <f t="shared" si="1"/>
        <v>-1022632107994.1106</v>
      </c>
    </row>
    <row r="45" spans="1:5">
      <c r="A45" s="140">
        <v>20</v>
      </c>
      <c r="B45" s="165">
        <f t="shared" ca="1" si="0"/>
        <v>44583</v>
      </c>
      <c r="C45" s="153" t="s">
        <v>25</v>
      </c>
      <c r="D45" s="154">
        <f t="shared" si="2"/>
        <v>-24348383523.669334</v>
      </c>
      <c r="E45" s="166">
        <f t="shared" si="1"/>
        <v>-998283724470.44128</v>
      </c>
    </row>
    <row r="46" spans="1:5">
      <c r="A46" s="140">
        <v>21</v>
      </c>
      <c r="B46" s="165">
        <f t="shared" ca="1" si="0"/>
        <v>44614</v>
      </c>
      <c r="C46" s="153" t="s">
        <v>26</v>
      </c>
      <c r="D46" s="154">
        <f t="shared" si="2"/>
        <v>-24348383523.669334</v>
      </c>
      <c r="E46" s="166">
        <f t="shared" si="1"/>
        <v>-973935340946.77197</v>
      </c>
    </row>
    <row r="47" spans="1:5">
      <c r="A47" s="140">
        <v>22</v>
      </c>
      <c r="B47" s="165">
        <f t="shared" ca="1" si="0"/>
        <v>44642</v>
      </c>
      <c r="C47" s="153" t="s">
        <v>27</v>
      </c>
      <c r="D47" s="154">
        <f t="shared" si="2"/>
        <v>-24348383523.669334</v>
      </c>
      <c r="E47" s="166">
        <f t="shared" si="1"/>
        <v>-949586957423.10266</v>
      </c>
    </row>
    <row r="48" spans="1:5">
      <c r="A48" s="140">
        <v>23</v>
      </c>
      <c r="B48" s="165">
        <f t="shared" ca="1" si="0"/>
        <v>44673</v>
      </c>
      <c r="C48" s="153" t="s">
        <v>28</v>
      </c>
      <c r="D48" s="154">
        <f t="shared" si="2"/>
        <v>-24348383523.669334</v>
      </c>
      <c r="E48" s="166">
        <f t="shared" si="1"/>
        <v>-925238573899.43335</v>
      </c>
    </row>
    <row r="49" spans="1:5">
      <c r="A49" s="140">
        <v>24</v>
      </c>
      <c r="B49" s="165">
        <f t="shared" ca="1" si="0"/>
        <v>44703</v>
      </c>
      <c r="C49" s="153" t="s">
        <v>29</v>
      </c>
      <c r="D49" s="154">
        <f t="shared" si="2"/>
        <v>-24348383523.669334</v>
      </c>
      <c r="E49" s="166">
        <f t="shared" si="1"/>
        <v>-900890190375.76404</v>
      </c>
    </row>
    <row r="50" spans="1:5">
      <c r="A50" s="140">
        <v>25</v>
      </c>
      <c r="B50" s="165">
        <f t="shared" ca="1" si="0"/>
        <v>44734</v>
      </c>
      <c r="C50" s="153" t="s">
        <v>30</v>
      </c>
      <c r="D50" s="154">
        <f t="shared" si="2"/>
        <v>-24348383523.669334</v>
      </c>
      <c r="E50" s="166">
        <f t="shared" si="1"/>
        <v>-876541806852.09473</v>
      </c>
    </row>
    <row r="51" spans="1:5">
      <c r="A51" s="140">
        <v>26</v>
      </c>
      <c r="B51" s="165">
        <f t="shared" ca="1" si="0"/>
        <v>44764</v>
      </c>
      <c r="C51" s="153" t="s">
        <v>48</v>
      </c>
      <c r="D51" s="154">
        <f t="shared" si="2"/>
        <v>-24348383523.669334</v>
      </c>
      <c r="E51" s="166">
        <f t="shared" ref="E51:E86" si="3">E50-D51</f>
        <v>-852193423328.42542</v>
      </c>
    </row>
    <row r="52" spans="1:5">
      <c r="A52" s="140">
        <v>27</v>
      </c>
      <c r="B52" s="165">
        <f t="shared" ca="1" si="0"/>
        <v>44795</v>
      </c>
      <c r="C52" s="153" t="s">
        <v>49</v>
      </c>
      <c r="D52" s="154">
        <f t="shared" si="2"/>
        <v>-24348383523.669334</v>
      </c>
      <c r="E52" s="166">
        <f t="shared" si="3"/>
        <v>-827845039804.7561</v>
      </c>
    </row>
    <row r="53" spans="1:5">
      <c r="A53" s="140">
        <v>28</v>
      </c>
      <c r="B53" s="165">
        <f t="shared" ca="1" si="0"/>
        <v>44826</v>
      </c>
      <c r="C53" s="153" t="s">
        <v>50</v>
      </c>
      <c r="D53" s="154">
        <f t="shared" si="2"/>
        <v>-24348383523.669334</v>
      </c>
      <c r="E53" s="166">
        <f t="shared" si="3"/>
        <v>-803496656281.08679</v>
      </c>
    </row>
    <row r="54" spans="1:5">
      <c r="A54" s="140">
        <v>29</v>
      </c>
      <c r="B54" s="165">
        <f t="shared" ca="1" si="0"/>
        <v>44856</v>
      </c>
      <c r="C54" s="153" t="s">
        <v>51</v>
      </c>
      <c r="D54" s="154">
        <f t="shared" si="2"/>
        <v>-24348383523.669334</v>
      </c>
      <c r="E54" s="166">
        <f t="shared" si="3"/>
        <v>-779148272757.41748</v>
      </c>
    </row>
    <row r="55" spans="1:5">
      <c r="A55" s="140">
        <v>30</v>
      </c>
      <c r="B55" s="165">
        <f t="shared" ca="1" si="0"/>
        <v>44887</v>
      </c>
      <c r="C55" s="153" t="s">
        <v>52</v>
      </c>
      <c r="D55" s="154">
        <f t="shared" si="2"/>
        <v>-24348383523.669334</v>
      </c>
      <c r="E55" s="166">
        <f t="shared" si="3"/>
        <v>-754799889233.74817</v>
      </c>
    </row>
    <row r="56" spans="1:5">
      <c r="A56" s="140">
        <v>31</v>
      </c>
      <c r="B56" s="165">
        <f t="shared" ca="1" si="0"/>
        <v>44917</v>
      </c>
      <c r="C56" s="153" t="s">
        <v>53</v>
      </c>
      <c r="D56" s="154">
        <f t="shared" si="2"/>
        <v>-24348383523.669334</v>
      </c>
      <c r="E56" s="166">
        <f t="shared" si="3"/>
        <v>-730451505710.07886</v>
      </c>
    </row>
    <row r="57" spans="1:5">
      <c r="A57" s="140">
        <v>32</v>
      </c>
      <c r="B57" s="165">
        <f t="shared" ca="1" si="0"/>
        <v>44948</v>
      </c>
      <c r="C57" s="153" t="s">
        <v>93</v>
      </c>
      <c r="D57" s="154">
        <f t="shared" si="2"/>
        <v>-24348383523.669334</v>
      </c>
      <c r="E57" s="166">
        <f t="shared" si="3"/>
        <v>-706103122186.40955</v>
      </c>
    </row>
    <row r="58" spans="1:5">
      <c r="A58" s="140">
        <v>33</v>
      </c>
      <c r="B58" s="165">
        <f t="shared" ca="1" si="0"/>
        <v>44979</v>
      </c>
      <c r="C58" s="153" t="s">
        <v>94</v>
      </c>
      <c r="D58" s="154">
        <f t="shared" si="2"/>
        <v>-24348383523.669334</v>
      </c>
      <c r="E58" s="166">
        <f t="shared" si="3"/>
        <v>-681754738662.74023</v>
      </c>
    </row>
    <row r="59" spans="1:5">
      <c r="A59" s="140">
        <v>34</v>
      </c>
      <c r="B59" s="165">
        <f t="shared" ca="1" si="0"/>
        <v>45007</v>
      </c>
      <c r="C59" s="153" t="s">
        <v>95</v>
      </c>
      <c r="D59" s="154">
        <f t="shared" si="2"/>
        <v>-24348383523.669334</v>
      </c>
      <c r="E59" s="166">
        <f t="shared" si="3"/>
        <v>-657406355139.07092</v>
      </c>
    </row>
    <row r="60" spans="1:5">
      <c r="A60" s="140">
        <v>35</v>
      </c>
      <c r="B60" s="165">
        <f t="shared" ca="1" si="0"/>
        <v>45038</v>
      </c>
      <c r="C60" s="153" t="s">
        <v>96</v>
      </c>
      <c r="D60" s="154">
        <f t="shared" si="2"/>
        <v>-24348383523.669334</v>
      </c>
      <c r="E60" s="166">
        <f t="shared" si="3"/>
        <v>-633057971615.40161</v>
      </c>
    </row>
    <row r="61" spans="1:5">
      <c r="A61" s="140">
        <v>36</v>
      </c>
      <c r="B61" s="165">
        <f t="shared" ca="1" si="0"/>
        <v>45068</v>
      </c>
      <c r="C61" s="153" t="s">
        <v>97</v>
      </c>
      <c r="D61" s="154">
        <f t="shared" si="2"/>
        <v>-24348383523.669334</v>
      </c>
      <c r="E61" s="166">
        <f t="shared" si="3"/>
        <v>-608709588091.7323</v>
      </c>
    </row>
    <row r="62" spans="1:5">
      <c r="A62" s="140">
        <v>37</v>
      </c>
      <c r="B62" s="165">
        <f t="shared" ca="1" si="0"/>
        <v>45099</v>
      </c>
      <c r="C62" s="153" t="s">
        <v>98</v>
      </c>
      <c r="D62" s="154">
        <f t="shared" si="2"/>
        <v>-24348383523.669334</v>
      </c>
      <c r="E62" s="166">
        <f t="shared" si="3"/>
        <v>-584361204568.06299</v>
      </c>
    </row>
    <row r="63" spans="1:5">
      <c r="A63" s="140">
        <v>38</v>
      </c>
      <c r="B63" s="165">
        <f t="shared" ca="1" si="0"/>
        <v>45129</v>
      </c>
      <c r="C63" s="153" t="s">
        <v>99</v>
      </c>
      <c r="D63" s="154">
        <f t="shared" si="2"/>
        <v>-24348383523.669334</v>
      </c>
      <c r="E63" s="166">
        <f t="shared" si="3"/>
        <v>-560012821044.39368</v>
      </c>
    </row>
    <row r="64" spans="1:5">
      <c r="A64" s="140">
        <v>39</v>
      </c>
      <c r="B64" s="165">
        <f t="shared" ca="1" si="0"/>
        <v>45160</v>
      </c>
      <c r="C64" s="153" t="s">
        <v>100</v>
      </c>
      <c r="D64" s="154">
        <f t="shared" si="2"/>
        <v>-24348383523.669334</v>
      </c>
      <c r="E64" s="166">
        <f t="shared" si="3"/>
        <v>-535664437520.72437</v>
      </c>
    </row>
    <row r="65" spans="1:5">
      <c r="A65" s="140">
        <v>40</v>
      </c>
      <c r="B65" s="165">
        <f t="shared" ca="1" si="0"/>
        <v>45191</v>
      </c>
      <c r="C65" s="153" t="s">
        <v>101</v>
      </c>
      <c r="D65" s="154">
        <f t="shared" si="2"/>
        <v>-24348383523.669334</v>
      </c>
      <c r="E65" s="166">
        <f t="shared" si="3"/>
        <v>-511316053997.05505</v>
      </c>
    </row>
    <row r="66" spans="1:5">
      <c r="A66" s="140">
        <v>41</v>
      </c>
      <c r="B66" s="165">
        <f t="shared" ca="1" si="0"/>
        <v>45221</v>
      </c>
      <c r="C66" s="153" t="s">
        <v>102</v>
      </c>
      <c r="D66" s="154">
        <f t="shared" si="2"/>
        <v>-24348383523.669334</v>
      </c>
      <c r="E66" s="166">
        <f t="shared" si="3"/>
        <v>-486967670473.38574</v>
      </c>
    </row>
    <row r="67" spans="1:5">
      <c r="A67" s="140">
        <v>42</v>
      </c>
      <c r="B67" s="165">
        <f t="shared" ca="1" si="0"/>
        <v>45252</v>
      </c>
      <c r="C67" s="153" t="s">
        <v>103</v>
      </c>
      <c r="D67" s="154">
        <f t="shared" si="2"/>
        <v>-24348383523.669334</v>
      </c>
      <c r="E67" s="166">
        <f t="shared" si="3"/>
        <v>-462619286949.71643</v>
      </c>
    </row>
    <row r="68" spans="1:5">
      <c r="A68" s="140">
        <v>43</v>
      </c>
      <c r="B68" s="165">
        <f t="shared" ca="1" si="0"/>
        <v>45282</v>
      </c>
      <c r="C68" s="153" t="s">
        <v>104</v>
      </c>
      <c r="D68" s="154">
        <f t="shared" si="2"/>
        <v>-24348383523.669334</v>
      </c>
      <c r="E68" s="166">
        <f t="shared" si="3"/>
        <v>-438270903426.04712</v>
      </c>
    </row>
    <row r="69" spans="1:5">
      <c r="A69" s="140">
        <v>44</v>
      </c>
      <c r="B69" s="165">
        <f t="shared" ca="1" si="0"/>
        <v>45313</v>
      </c>
      <c r="C69" s="153" t="s">
        <v>105</v>
      </c>
      <c r="D69" s="154">
        <f t="shared" si="2"/>
        <v>-24348383523.669334</v>
      </c>
      <c r="E69" s="166">
        <f t="shared" si="3"/>
        <v>-413922519902.37781</v>
      </c>
    </row>
    <row r="70" spans="1:5">
      <c r="A70" s="140">
        <v>45</v>
      </c>
      <c r="B70" s="165">
        <f t="shared" ca="1" si="0"/>
        <v>45344</v>
      </c>
      <c r="C70" s="153" t="s">
        <v>106</v>
      </c>
      <c r="D70" s="154">
        <f t="shared" si="2"/>
        <v>-24348383523.669334</v>
      </c>
      <c r="E70" s="166">
        <f t="shared" si="3"/>
        <v>-389574136378.7085</v>
      </c>
    </row>
    <row r="71" spans="1:5">
      <c r="A71" s="140">
        <v>46</v>
      </c>
      <c r="B71" s="165">
        <f t="shared" ca="1" si="0"/>
        <v>45373</v>
      </c>
      <c r="C71" s="153" t="s">
        <v>107</v>
      </c>
      <c r="D71" s="154">
        <f t="shared" si="2"/>
        <v>-24348383523.669334</v>
      </c>
      <c r="E71" s="166">
        <f t="shared" si="3"/>
        <v>-365225752855.03918</v>
      </c>
    </row>
    <row r="72" spans="1:5">
      <c r="A72" s="140">
        <v>47</v>
      </c>
      <c r="B72" s="165">
        <f t="shared" ca="1" si="0"/>
        <v>45404</v>
      </c>
      <c r="C72" s="153" t="s">
        <v>108</v>
      </c>
      <c r="D72" s="154">
        <f t="shared" si="2"/>
        <v>-24348383523.669334</v>
      </c>
      <c r="E72" s="166">
        <f t="shared" si="3"/>
        <v>-340877369331.36987</v>
      </c>
    </row>
    <row r="73" spans="1:5">
      <c r="A73" s="140">
        <v>48</v>
      </c>
      <c r="B73" s="165">
        <f t="shared" ca="1" si="0"/>
        <v>45434</v>
      </c>
      <c r="C73" s="153" t="s">
        <v>109</v>
      </c>
      <c r="D73" s="154">
        <f t="shared" si="2"/>
        <v>-24348383523.669334</v>
      </c>
      <c r="E73" s="166">
        <f t="shared" si="3"/>
        <v>-316528985807.70056</v>
      </c>
    </row>
    <row r="74" spans="1:5">
      <c r="A74" s="140">
        <v>49</v>
      </c>
      <c r="B74" s="165">
        <f t="shared" ca="1" si="0"/>
        <v>45465</v>
      </c>
      <c r="C74" s="153" t="s">
        <v>110</v>
      </c>
      <c r="D74" s="154">
        <f t="shared" si="2"/>
        <v>-24348383523.669334</v>
      </c>
      <c r="E74" s="166">
        <f t="shared" si="3"/>
        <v>-292180602284.03125</v>
      </c>
    </row>
    <row r="75" spans="1:5">
      <c r="A75" s="140">
        <v>50</v>
      </c>
      <c r="B75" s="165">
        <f t="shared" ca="1" si="0"/>
        <v>45495</v>
      </c>
      <c r="C75" s="153" t="s">
        <v>111</v>
      </c>
      <c r="D75" s="154">
        <f t="shared" si="2"/>
        <v>-24348383523.669334</v>
      </c>
      <c r="E75" s="166">
        <f t="shared" si="3"/>
        <v>-267832218760.36191</v>
      </c>
    </row>
    <row r="76" spans="1:5">
      <c r="A76" s="140">
        <v>51</v>
      </c>
      <c r="B76" s="165">
        <f t="shared" ca="1" si="0"/>
        <v>45526</v>
      </c>
      <c r="C76" s="153" t="s">
        <v>112</v>
      </c>
      <c r="D76" s="154">
        <f t="shared" si="2"/>
        <v>-24348383523.669334</v>
      </c>
      <c r="E76" s="166">
        <f t="shared" si="3"/>
        <v>-243483835236.69257</v>
      </c>
    </row>
    <row r="77" spans="1:5">
      <c r="A77" s="140">
        <v>52</v>
      </c>
      <c r="B77" s="165">
        <f t="shared" ca="1" si="0"/>
        <v>45557</v>
      </c>
      <c r="C77" s="153" t="s">
        <v>113</v>
      </c>
      <c r="D77" s="154">
        <f t="shared" si="2"/>
        <v>-24348383523.669334</v>
      </c>
      <c r="E77" s="166">
        <f t="shared" si="3"/>
        <v>-219135451713.02322</v>
      </c>
    </row>
    <row r="78" spans="1:5">
      <c r="A78" s="140">
        <v>53</v>
      </c>
      <c r="B78" s="165">
        <f t="shared" ca="1" si="0"/>
        <v>45587</v>
      </c>
      <c r="C78" s="153" t="s">
        <v>114</v>
      </c>
      <c r="D78" s="154">
        <f t="shared" si="2"/>
        <v>-24348383523.669334</v>
      </c>
      <c r="E78" s="166">
        <f t="shared" si="3"/>
        <v>-194787068189.35388</v>
      </c>
    </row>
    <row r="79" spans="1:5">
      <c r="A79" s="140">
        <v>54</v>
      </c>
      <c r="B79" s="165">
        <f t="shared" ca="1" si="0"/>
        <v>45618</v>
      </c>
      <c r="C79" s="153" t="s">
        <v>115</v>
      </c>
      <c r="D79" s="154">
        <f t="shared" si="2"/>
        <v>-24348383523.669334</v>
      </c>
      <c r="E79" s="166">
        <f t="shared" si="3"/>
        <v>-170438684665.68454</v>
      </c>
    </row>
    <row r="80" spans="1:5">
      <c r="A80" s="140">
        <v>55</v>
      </c>
      <c r="B80" s="165">
        <f t="shared" ca="1" si="0"/>
        <v>45648</v>
      </c>
      <c r="C80" s="153" t="s">
        <v>116</v>
      </c>
      <c r="D80" s="154">
        <f t="shared" si="2"/>
        <v>-24348383523.669334</v>
      </c>
      <c r="E80" s="166">
        <f t="shared" si="3"/>
        <v>-146090301142.0152</v>
      </c>
    </row>
    <row r="81" spans="1:5">
      <c r="A81" s="140">
        <v>56</v>
      </c>
      <c r="B81" s="165">
        <f t="shared" ca="1" si="0"/>
        <v>45679</v>
      </c>
      <c r="C81" s="153" t="s">
        <v>117</v>
      </c>
      <c r="D81" s="154">
        <f t="shared" si="2"/>
        <v>-24348383523.669334</v>
      </c>
      <c r="E81" s="166">
        <f t="shared" si="3"/>
        <v>-121741917618.34586</v>
      </c>
    </row>
    <row r="82" spans="1:5">
      <c r="A82" s="140">
        <v>57</v>
      </c>
      <c r="B82" s="165">
        <f t="shared" ca="1" si="0"/>
        <v>45710</v>
      </c>
      <c r="C82" s="153" t="s">
        <v>118</v>
      </c>
      <c r="D82" s="154">
        <f t="shared" si="2"/>
        <v>-24348383523.669334</v>
      </c>
      <c r="E82" s="166">
        <f t="shared" si="3"/>
        <v>-97393534094.676514</v>
      </c>
    </row>
    <row r="83" spans="1:5">
      <c r="A83" s="140">
        <v>58</v>
      </c>
      <c r="B83" s="165">
        <f t="shared" ca="1" si="0"/>
        <v>45738</v>
      </c>
      <c r="C83" s="153" t="s">
        <v>119</v>
      </c>
      <c r="D83" s="154">
        <f t="shared" si="2"/>
        <v>-24348383523.669334</v>
      </c>
      <c r="E83" s="166">
        <f t="shared" si="3"/>
        <v>-73045150571.007172</v>
      </c>
    </row>
    <row r="84" spans="1:5">
      <c r="A84" s="140">
        <v>59</v>
      </c>
      <c r="B84" s="165">
        <f t="shared" ca="1" si="0"/>
        <v>45769</v>
      </c>
      <c r="C84" s="153" t="s">
        <v>120</v>
      </c>
      <c r="D84" s="154">
        <f t="shared" si="2"/>
        <v>-24348383523.669334</v>
      </c>
      <c r="E84" s="166">
        <f t="shared" si="3"/>
        <v>-48696767047.337837</v>
      </c>
    </row>
    <row r="85" spans="1:5">
      <c r="A85" s="140">
        <v>60</v>
      </c>
      <c r="B85" s="165">
        <f t="shared" ca="1" si="0"/>
        <v>45799</v>
      </c>
      <c r="C85" s="153" t="s">
        <v>121</v>
      </c>
      <c r="D85" s="154">
        <f t="shared" si="2"/>
        <v>-24348383523.669334</v>
      </c>
      <c r="E85" s="166">
        <f t="shared" si="3"/>
        <v>-24348383523.668503</v>
      </c>
    </row>
    <row r="86" spans="1:5">
      <c r="A86" s="140">
        <v>61</v>
      </c>
      <c r="B86" s="165">
        <f t="shared" ca="1" si="0"/>
        <v>45830</v>
      </c>
      <c r="C86" s="153" t="s">
        <v>122</v>
      </c>
      <c r="D86" s="154">
        <f t="shared" si="2"/>
        <v>-24348383523.669334</v>
      </c>
      <c r="E86" s="166">
        <f t="shared" si="3"/>
        <v>8.3160400390625E-4</v>
      </c>
    </row>
    <row r="87" spans="1:5">
      <c r="A87" s="125"/>
      <c r="B87" s="126"/>
      <c r="C87" s="127" t="s">
        <v>16</v>
      </c>
      <c r="D87" s="128">
        <f>SUM(D25:D86)</f>
        <v>-1826128764275.2024</v>
      </c>
      <c r="E87" s="125"/>
    </row>
    <row r="88" spans="1:5">
      <c r="A88" s="129" t="s">
        <v>62</v>
      </c>
      <c r="B88" s="135"/>
      <c r="C88" s="136"/>
      <c r="D88" s="137"/>
      <c r="E88" s="138"/>
    </row>
    <row r="89" spans="1:5">
      <c r="A89" s="130" t="s">
        <v>70</v>
      </c>
      <c r="B89" s="138"/>
      <c r="C89" s="136"/>
      <c r="D89" s="137"/>
      <c r="E89" s="138"/>
    </row>
    <row r="90" spans="1:5">
      <c r="A90" s="130" t="s">
        <v>71</v>
      </c>
      <c r="B90" s="138"/>
      <c r="C90" s="136"/>
      <c r="D90" s="137"/>
      <c r="E90" s="138"/>
    </row>
    <row r="91" spans="1:5">
      <c r="A91" s="130" t="s">
        <v>89</v>
      </c>
      <c r="B91" s="138"/>
      <c r="C91" s="136"/>
      <c r="D91" s="138"/>
      <c r="E91" s="138"/>
    </row>
    <row r="92" spans="1:5">
      <c r="A92" s="130" t="s">
        <v>75</v>
      </c>
      <c r="B92" s="138"/>
      <c r="C92" s="136"/>
      <c r="D92" s="138"/>
      <c r="E92" s="138"/>
    </row>
    <row r="93" spans="1:5">
      <c r="A93" s="130" t="s">
        <v>63</v>
      </c>
      <c r="B93" s="138"/>
      <c r="C93" s="136"/>
      <c r="D93" s="138"/>
      <c r="E93" s="138"/>
    </row>
    <row r="95" spans="1:5">
      <c r="A95" s="114" t="s">
        <v>17</v>
      </c>
    </row>
    <row r="97" spans="1:4">
      <c r="A97" s="131"/>
      <c r="D97" s="131"/>
    </row>
    <row r="98" spans="1:4">
      <c r="A98" s="116" t="s">
        <v>18</v>
      </c>
      <c r="D98" s="116" t="s">
        <v>18</v>
      </c>
    </row>
  </sheetData>
  <sheetProtection password="CAF1" sheet="1" selectLockedCells="1"/>
  <mergeCells count="6">
    <mergeCell ref="B10:D10"/>
    <mergeCell ref="E1:E2"/>
    <mergeCell ref="B5:D5"/>
    <mergeCell ref="B6:D6"/>
    <mergeCell ref="B7:D7"/>
    <mergeCell ref="B9:D9"/>
  </mergeCells>
  <hyperlinks>
    <hyperlink ref="B1" location="'DATA SHEET'!A1" display="HIGHLANDS PRIME, INC." xr:uid="{00000000-0004-0000-1200-000000000000}"/>
  </hyperlinks>
  <printOptions horizontalCentered="1"/>
  <pageMargins left="0.7" right="0.7" top="0.75" bottom="0.5" header="0.3" footer="0.3"/>
  <pageSetup scale="60" orientation="portrait" r:id="rId1"/>
  <headerFooter>
    <oddFooter>&amp;L&amp;8A project of HIGHLANDS PRIME, INC. Horizon Terraces HLURB License To Sell No. 032272&amp;R&amp;8Page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O52"/>
  <sheetViews>
    <sheetView workbookViewId="0">
      <selection sqref="A1:IV65536"/>
    </sheetView>
  </sheetViews>
  <sheetFormatPr baseColWidth="10" defaultColWidth="9.1640625" defaultRowHeight="15"/>
  <cols>
    <col min="1" max="1" width="9.1640625" style="174"/>
    <col min="2" max="3" width="23.33203125" style="174" customWidth="1"/>
    <col min="4" max="4" width="26.83203125" style="174" bestFit="1" customWidth="1"/>
    <col min="5" max="5" width="28.5" style="174" customWidth="1"/>
    <col min="6" max="6" width="19.33203125" style="174" customWidth="1"/>
    <col min="7" max="7" width="19.33203125" style="187" customWidth="1"/>
    <col min="8" max="8" width="9.1640625" style="174"/>
    <col min="9" max="9" width="9.1640625" style="174" customWidth="1"/>
    <col min="10" max="10" width="17.1640625" style="174" customWidth="1"/>
    <col min="11" max="11" width="17" style="174" customWidth="1"/>
    <col min="12" max="12" width="20" style="174" customWidth="1"/>
    <col min="13" max="13" width="16.6640625" style="174" customWidth="1"/>
    <col min="14" max="14" width="19" style="174" customWidth="1"/>
    <col min="15" max="15" width="16" style="174" customWidth="1"/>
    <col min="16" max="16" width="4.6640625" style="174" customWidth="1"/>
    <col min="17" max="16384" width="9.1640625" style="174"/>
  </cols>
  <sheetData>
    <row r="2" spans="2:15" ht="16">
      <c r="B2" s="170" t="s">
        <v>139</v>
      </c>
      <c r="C2" s="171"/>
      <c r="D2" s="171"/>
      <c r="E2" s="171"/>
      <c r="F2" s="171"/>
      <c r="G2" s="172"/>
      <c r="H2" s="173"/>
    </row>
    <row r="3" spans="2:15" ht="16">
      <c r="B3" s="170" t="s">
        <v>143</v>
      </c>
      <c r="C3" s="171"/>
      <c r="D3" s="171"/>
      <c r="E3" s="171"/>
      <c r="F3" s="171"/>
      <c r="G3" s="172"/>
      <c r="H3" s="173"/>
    </row>
    <row r="4" spans="2:15">
      <c r="B4" s="175"/>
      <c r="C4" s="171"/>
      <c r="D4" s="171"/>
      <c r="E4" s="171"/>
      <c r="F4" s="176" t="s">
        <v>140</v>
      </c>
      <c r="G4" s="177"/>
      <c r="H4" s="173"/>
    </row>
    <row r="5" spans="2:15" ht="28">
      <c r="B5" s="178" t="s">
        <v>40</v>
      </c>
      <c r="C5" s="178" t="s">
        <v>144</v>
      </c>
      <c r="D5" s="178" t="s">
        <v>41</v>
      </c>
      <c r="E5" s="179" t="s">
        <v>141</v>
      </c>
      <c r="F5" s="179" t="s">
        <v>142</v>
      </c>
      <c r="G5" s="180" t="s">
        <v>195</v>
      </c>
      <c r="H5" s="181"/>
      <c r="I5" s="178"/>
      <c r="J5" s="178" t="s">
        <v>40</v>
      </c>
      <c r="K5" s="178" t="s">
        <v>144</v>
      </c>
      <c r="L5" s="178" t="s">
        <v>41</v>
      </c>
      <c r="M5" s="179" t="s">
        <v>141</v>
      </c>
      <c r="N5" s="179" t="s">
        <v>142</v>
      </c>
      <c r="O5" s="180" t="s">
        <v>195</v>
      </c>
    </row>
    <row r="6" spans="2:15">
      <c r="B6" s="341" t="s">
        <v>151</v>
      </c>
      <c r="C6" s="171" t="s">
        <v>145</v>
      </c>
      <c r="D6" s="171" t="s">
        <v>146</v>
      </c>
      <c r="E6" s="182">
        <f>VLOOKUP(C6,'[6]garden suites'!$D$7:$AS$61,3,0)</f>
        <v>67.900000000000006</v>
      </c>
      <c r="F6" s="183">
        <f xml:space="preserve"> '[7]garden suites'!$G$7</f>
        <v>10061680</v>
      </c>
      <c r="G6" s="172">
        <v>0.03</v>
      </c>
      <c r="H6" s="173"/>
      <c r="J6" s="344" t="s">
        <v>151</v>
      </c>
      <c r="K6" s="171" t="s">
        <v>152</v>
      </c>
      <c r="L6" s="171" t="s">
        <v>153</v>
      </c>
      <c r="M6" s="182">
        <f>VLOOKUP(K6,'[6]garden suites'!$D$7:$AS$61,3,0)</f>
        <v>65.599999999999994</v>
      </c>
      <c r="N6" s="183">
        <f>'[7]garden suites'!$G$13</f>
        <v>9934000</v>
      </c>
      <c r="O6" s="172">
        <v>0.05</v>
      </c>
    </row>
    <row r="7" spans="2:15">
      <c r="B7" s="341"/>
      <c r="C7" s="171" t="s">
        <v>147</v>
      </c>
      <c r="D7" s="171" t="s">
        <v>146</v>
      </c>
      <c r="E7" s="182">
        <f>VLOOKUP(C7,'[6]garden suites'!$D$7:$AS$61,3,0)</f>
        <v>67.900000000000006</v>
      </c>
      <c r="F7" s="183">
        <f>'[7]garden suites'!$G$8</f>
        <v>9150000</v>
      </c>
      <c r="G7" s="172">
        <v>0.03</v>
      </c>
      <c r="H7" s="173"/>
      <c r="J7" s="344"/>
      <c r="K7" s="171" t="s">
        <v>154</v>
      </c>
      <c r="L7" s="171" t="s">
        <v>155</v>
      </c>
      <c r="M7" s="182">
        <f>VLOOKUP(K7,'[6]garden suites'!$D$7:$AS$61,3,0)</f>
        <v>43.12</v>
      </c>
      <c r="N7" s="183">
        <f>'[7]garden suites'!$G$14</f>
        <v>6546000</v>
      </c>
      <c r="O7" s="172">
        <v>0.05</v>
      </c>
    </row>
    <row r="8" spans="2:15">
      <c r="B8" s="341"/>
      <c r="C8" s="171" t="s">
        <v>148</v>
      </c>
      <c r="D8" s="171" t="s">
        <v>146</v>
      </c>
      <c r="E8" s="182">
        <f>VLOOKUP(C8,'[6]garden suites'!$D$7:$AS$61,3,0)</f>
        <v>67.900000000000006</v>
      </c>
      <c r="F8" s="183">
        <f>'[7]garden suites'!$G$9</f>
        <v>9150000</v>
      </c>
      <c r="G8" s="172">
        <v>0.03</v>
      </c>
      <c r="H8" s="173"/>
      <c r="J8" s="344"/>
      <c r="K8" s="171" t="s">
        <v>156</v>
      </c>
      <c r="L8" s="171" t="s">
        <v>155</v>
      </c>
      <c r="M8" s="182">
        <f>VLOOKUP(K8,'[6]garden suites'!$D$7:$AS$61,3,0)</f>
        <v>49.85</v>
      </c>
      <c r="N8" s="183">
        <f>'[7]garden suites'!$G$15</f>
        <v>7114960</v>
      </c>
      <c r="O8" s="172">
        <v>0.05</v>
      </c>
    </row>
    <row r="9" spans="2:15">
      <c r="B9" s="341"/>
      <c r="C9" s="171" t="s">
        <v>149</v>
      </c>
      <c r="D9" s="171" t="s">
        <v>146</v>
      </c>
      <c r="E9" s="182">
        <f>VLOOKUP(C9,'[6]garden suites'!$D$7:$AS$61,3,0)</f>
        <v>67.900000000000006</v>
      </c>
      <c r="F9" s="183">
        <f>'[7]garden suites'!$G$10</f>
        <v>9150000</v>
      </c>
      <c r="G9" s="172">
        <v>0.03</v>
      </c>
      <c r="H9" s="173"/>
      <c r="J9" s="344"/>
      <c r="K9" s="171" t="s">
        <v>157</v>
      </c>
      <c r="L9" s="171" t="s">
        <v>155</v>
      </c>
      <c r="M9" s="182">
        <f>VLOOKUP(K9,'[6]garden suites'!$D$7:$AS$61,3,0)</f>
        <v>43.12</v>
      </c>
      <c r="N9" s="183">
        <f>'[7]garden suites'!$G$16</f>
        <v>6546000</v>
      </c>
      <c r="O9" s="172">
        <v>0.05</v>
      </c>
    </row>
    <row r="10" spans="2:15">
      <c r="B10" s="341"/>
      <c r="C10" s="171" t="s">
        <v>150</v>
      </c>
      <c r="D10" s="171" t="s">
        <v>146</v>
      </c>
      <c r="E10" s="182">
        <f>VLOOKUP(C10,'[6]garden suites'!$D$7:$AS$61,3,0)</f>
        <v>67.900000000000006</v>
      </c>
      <c r="F10" s="183">
        <f>'[7]garden suites'!$G$11</f>
        <v>9150000</v>
      </c>
      <c r="G10" s="172">
        <v>0.03</v>
      </c>
      <c r="H10" s="173"/>
      <c r="J10" s="344"/>
      <c r="K10" s="171" t="s">
        <v>158</v>
      </c>
      <c r="L10" s="171" t="s">
        <v>153</v>
      </c>
      <c r="M10" s="182">
        <f>VLOOKUP(K10,'[6]garden suites'!$D$7:$AS$61,3,0)</f>
        <v>65.599999999999994</v>
      </c>
      <c r="N10" s="183">
        <f>'[7]garden suites'!$G$17</f>
        <v>9566640</v>
      </c>
      <c r="O10" s="172">
        <v>0.05</v>
      </c>
    </row>
    <row r="11" spans="2:15">
      <c r="B11" s="341"/>
      <c r="C11" s="171" t="s">
        <v>151</v>
      </c>
      <c r="D11" s="171" t="s">
        <v>146</v>
      </c>
      <c r="E11" s="182">
        <f>VLOOKUP(C11,'[6]garden suites'!$D$7:$AS$61,3,0)</f>
        <v>67.900000000000006</v>
      </c>
      <c r="F11" s="183">
        <f>'[7]garden suites'!$G$12</f>
        <v>10617200</v>
      </c>
      <c r="G11" s="172">
        <v>0.03</v>
      </c>
      <c r="H11" s="173"/>
      <c r="J11" s="344" t="s">
        <v>200</v>
      </c>
      <c r="K11" s="171" t="s">
        <v>161</v>
      </c>
      <c r="L11" s="171" t="s">
        <v>153</v>
      </c>
      <c r="M11" s="182">
        <f>VLOOKUP(K11,'[6]garden suites'!$D$7:$AS$61,3,0)</f>
        <v>65.599999999999994</v>
      </c>
      <c r="N11" s="183">
        <f>'[7]garden suites'!$G$23</f>
        <v>11624080</v>
      </c>
      <c r="O11" s="172">
        <v>0.05</v>
      </c>
    </row>
    <row r="12" spans="2:15" ht="33" customHeight="1">
      <c r="B12" s="341" t="s">
        <v>159</v>
      </c>
      <c r="C12" s="171" t="s">
        <v>137</v>
      </c>
      <c r="D12" s="171" t="s">
        <v>153</v>
      </c>
      <c r="E12" s="182">
        <f>VLOOKUP(C12,'[6]garden suites'!$D$7:$AS$61,3,0)</f>
        <v>68.349999999999994</v>
      </c>
      <c r="F12" s="183">
        <f>'[7]garden suites'!$G$18</f>
        <v>12233360</v>
      </c>
      <c r="G12" s="172">
        <v>0.03</v>
      </c>
      <c r="H12" s="173"/>
      <c r="J12" s="344"/>
      <c r="K12" s="171" t="s">
        <v>44</v>
      </c>
      <c r="L12" s="171" t="s">
        <v>155</v>
      </c>
      <c r="M12" s="182">
        <f>VLOOKUP(K12,'[6]garden suites'!$D$7:$AS$61,3,0)</f>
        <v>43.12</v>
      </c>
      <c r="N12" s="183">
        <f>'[7]garden suites'!$G$24</f>
        <v>6642320</v>
      </c>
      <c r="O12" s="172">
        <v>0.05</v>
      </c>
    </row>
    <row r="13" spans="2:15">
      <c r="B13" s="341"/>
      <c r="C13" s="171" t="s">
        <v>42</v>
      </c>
      <c r="D13" s="171" t="s">
        <v>155</v>
      </c>
      <c r="E13" s="182">
        <f>VLOOKUP(C13,'[6]garden suites'!$D$7:$AS$61,3,0)</f>
        <v>43.12</v>
      </c>
      <c r="F13" s="183">
        <f>'[7]garden suites'!$G$19</f>
        <v>7657040</v>
      </c>
      <c r="G13" s="172">
        <v>0.03</v>
      </c>
      <c r="H13" s="173"/>
      <c r="J13" s="344"/>
      <c r="K13" s="171" t="s">
        <v>45</v>
      </c>
      <c r="L13" s="171" t="s">
        <v>155</v>
      </c>
      <c r="M13" s="182">
        <f>VLOOKUP(K13,'[6]garden suites'!$D$7:$AS$61,3,0)</f>
        <v>49.85</v>
      </c>
      <c r="N13" s="183">
        <f>'[7]garden suites'!$G$25</f>
        <v>7226960</v>
      </c>
      <c r="O13" s="172">
        <v>0.05</v>
      </c>
    </row>
    <row r="14" spans="2:15">
      <c r="B14" s="341"/>
      <c r="C14" s="171" t="s">
        <v>43</v>
      </c>
      <c r="D14" s="171" t="s">
        <v>155</v>
      </c>
      <c r="E14" s="182">
        <f>VLOOKUP(C14,'[6]garden suites'!$D$7:$AS$61,3,0)</f>
        <v>43.12</v>
      </c>
      <c r="F14" s="183">
        <f>'[7]garden suites'!$G$20</f>
        <v>7657040</v>
      </c>
      <c r="G14" s="172">
        <v>0.03</v>
      </c>
      <c r="H14" s="173"/>
      <c r="J14" s="344"/>
      <c r="K14" s="171" t="s">
        <v>162</v>
      </c>
      <c r="L14" s="171" t="s">
        <v>155</v>
      </c>
      <c r="M14" s="182">
        <f>VLOOKUP(K14,'[6]garden suites'!$D$7:$AS$61,3,0)</f>
        <v>49.85</v>
      </c>
      <c r="N14" s="183">
        <f>'[7]garden suites'!$G$26</f>
        <v>7226960</v>
      </c>
      <c r="O14" s="172">
        <v>0.05</v>
      </c>
    </row>
    <row r="15" spans="2:15">
      <c r="B15" s="341"/>
      <c r="C15" s="171" t="s">
        <v>138</v>
      </c>
      <c r="D15" s="171" t="s">
        <v>155</v>
      </c>
      <c r="E15" s="182">
        <f>VLOOKUP(C15,'[6]garden suites'!$D$7:$AS$61,3,0)</f>
        <v>43.12</v>
      </c>
      <c r="F15" s="183">
        <f>'[7]garden suites'!$G$21</f>
        <v>7657040</v>
      </c>
      <c r="G15" s="172">
        <v>0.03</v>
      </c>
      <c r="H15" s="173"/>
      <c r="J15" s="344"/>
      <c r="K15" s="171" t="s">
        <v>163</v>
      </c>
      <c r="L15" s="171" t="s">
        <v>155</v>
      </c>
      <c r="M15" s="182">
        <f>VLOOKUP(K15,'[6]garden suites'!$D$7:$AS$61,3,0)</f>
        <v>43.12</v>
      </c>
      <c r="N15" s="183">
        <f>'[7]garden suites'!$G$27</f>
        <v>6642320</v>
      </c>
      <c r="O15" s="172">
        <v>0.05</v>
      </c>
    </row>
    <row r="16" spans="2:15">
      <c r="B16" s="341"/>
      <c r="C16" s="171" t="s">
        <v>160</v>
      </c>
      <c r="D16" s="171" t="s">
        <v>153</v>
      </c>
      <c r="E16" s="182">
        <f>VLOOKUP(C16,'[6]garden suites'!$D$7:$AS$61,3,0)</f>
        <v>68.349999999999994</v>
      </c>
      <c r="F16" s="183">
        <f>'[7]garden suites'!$G$22</f>
        <v>12846000</v>
      </c>
      <c r="G16" s="172">
        <v>0.03</v>
      </c>
      <c r="H16" s="173"/>
      <c r="J16" s="344"/>
      <c r="K16" s="171" t="s">
        <v>164</v>
      </c>
      <c r="L16" s="171" t="s">
        <v>153</v>
      </c>
      <c r="M16" s="182">
        <f>VLOOKUP(K16,'[6]garden suites'!$D$7:$AS$61,3,0)</f>
        <v>65.599999999999994</v>
      </c>
      <c r="N16" s="183">
        <f>'[7]garden suites'!$G$28</f>
        <v>11256720</v>
      </c>
      <c r="O16" s="172">
        <v>0.05</v>
      </c>
    </row>
    <row r="17" spans="2:15" ht="16.5" customHeight="1">
      <c r="B17" s="341" t="s">
        <v>201</v>
      </c>
      <c r="C17" s="171" t="s">
        <v>166</v>
      </c>
      <c r="D17" s="171" t="s">
        <v>153</v>
      </c>
      <c r="E17" s="182">
        <f>VLOOKUP(C17,'[6]garden suites'!$D$7:$AS$61,3,0)</f>
        <v>68.349999999999994</v>
      </c>
      <c r="F17" s="183">
        <f>'[7]garden suites'!$G$29</f>
        <v>12462960</v>
      </c>
      <c r="G17" s="172">
        <v>0.03</v>
      </c>
      <c r="H17" s="173"/>
      <c r="J17" s="344" t="s">
        <v>201</v>
      </c>
      <c r="K17" s="171" t="s">
        <v>168</v>
      </c>
      <c r="L17" s="171" t="s">
        <v>153</v>
      </c>
      <c r="M17" s="182">
        <f>VLOOKUP(K17,'[6]garden suites'!$D$7:$AS$61,3,0)</f>
        <v>65.599999999999994</v>
      </c>
      <c r="N17" s="183">
        <f>'[7]garden suites'!$G$34</f>
        <v>11770800</v>
      </c>
      <c r="O17" s="172">
        <v>0.05</v>
      </c>
    </row>
    <row r="18" spans="2:15">
      <c r="B18" s="341"/>
      <c r="C18" s="171" t="s">
        <v>167</v>
      </c>
      <c r="D18" s="171" t="s">
        <v>155</v>
      </c>
      <c r="E18" s="182">
        <f>VLOOKUP(C18,'[6]garden suites'!$D$7:$AS$61,3,0)</f>
        <v>43.12</v>
      </c>
      <c r="F18" s="183">
        <f>'[7]garden suites'!$G$30</f>
        <v>7801520</v>
      </c>
      <c r="G18" s="172">
        <v>0.03</v>
      </c>
      <c r="H18" s="173"/>
      <c r="J18" s="344"/>
      <c r="K18" s="171" t="s">
        <v>169</v>
      </c>
      <c r="L18" s="171" t="s">
        <v>155</v>
      </c>
      <c r="M18" s="182">
        <f>VLOOKUP(K18,'[6]garden suites'!$D$7:$AS$61,3,0)</f>
        <v>43.12</v>
      </c>
      <c r="N18" s="183">
        <f>'[7]garden suites'!$G$35</f>
        <v>6738640</v>
      </c>
      <c r="O18" s="172">
        <v>0.05</v>
      </c>
    </row>
    <row r="19" spans="2:15">
      <c r="B19" s="341"/>
      <c r="C19" s="171" t="s">
        <v>198</v>
      </c>
      <c r="D19" s="171" t="s">
        <v>155</v>
      </c>
      <c r="E19" s="182">
        <v>43.12</v>
      </c>
      <c r="F19" s="183">
        <v>7801520</v>
      </c>
      <c r="G19" s="172">
        <v>0.03</v>
      </c>
      <c r="H19" s="173"/>
      <c r="J19" s="344"/>
      <c r="K19" s="171" t="s">
        <v>46</v>
      </c>
      <c r="L19" s="171" t="s">
        <v>155</v>
      </c>
      <c r="M19" s="182">
        <f>VLOOKUP(K19,'[6]garden suites'!$D$7:$AS$61,3,0)</f>
        <v>49.85</v>
      </c>
      <c r="N19" s="183">
        <f>'[7]garden suites'!$G$36</f>
        <v>7338960</v>
      </c>
      <c r="O19" s="172">
        <v>0.05</v>
      </c>
    </row>
    <row r="20" spans="2:15">
      <c r="B20" s="341" t="s">
        <v>202</v>
      </c>
      <c r="C20" s="171" t="s">
        <v>47</v>
      </c>
      <c r="D20" s="171" t="s">
        <v>153</v>
      </c>
      <c r="E20" s="182">
        <f>VLOOKUP(C20,'[6]garden suites'!$D$7:$AS$61,3,0)</f>
        <v>68.349999999999994</v>
      </c>
      <c r="F20" s="183">
        <f>'[7]garden suites'!$G$40</f>
        <v>12692560</v>
      </c>
      <c r="G20" s="172">
        <v>0.03</v>
      </c>
      <c r="H20" s="173"/>
      <c r="J20" s="344"/>
      <c r="K20" s="171" t="s">
        <v>170</v>
      </c>
      <c r="L20" s="171" t="s">
        <v>155</v>
      </c>
      <c r="M20" s="182">
        <f>VLOOKUP(K20,'[6]garden suites'!$D$7:$AS$61,3,0)</f>
        <v>49.85</v>
      </c>
      <c r="N20" s="183">
        <f>'[7]garden suites'!$G$37</f>
        <v>7338960</v>
      </c>
      <c r="O20" s="172">
        <v>0.05</v>
      </c>
    </row>
    <row r="21" spans="2:15">
      <c r="B21" s="341"/>
      <c r="C21" s="171" t="s">
        <v>173</v>
      </c>
      <c r="D21" s="171" t="s">
        <v>155</v>
      </c>
      <c r="E21" s="182">
        <f>VLOOKUP(C21,'[6]garden suites'!$D$7:$AS$61,3,0)</f>
        <v>43.12</v>
      </c>
      <c r="F21" s="183">
        <f>'[7]garden suites'!$G$41</f>
        <v>7946000</v>
      </c>
      <c r="G21" s="172">
        <v>0.03</v>
      </c>
      <c r="H21" s="173"/>
      <c r="J21" s="344"/>
      <c r="K21" s="171" t="s">
        <v>171</v>
      </c>
      <c r="L21" s="171" t="s">
        <v>155</v>
      </c>
      <c r="M21" s="182">
        <f>VLOOKUP(K21,'[6]garden suites'!$D$7:$AS$61,3,0)</f>
        <v>43.12</v>
      </c>
      <c r="N21" s="183">
        <f>'[7]garden suites'!$G$38</f>
        <v>6738640</v>
      </c>
      <c r="O21" s="172">
        <v>0.05</v>
      </c>
    </row>
    <row r="22" spans="2:15">
      <c r="B22" s="189" t="s">
        <v>203</v>
      </c>
      <c r="C22" s="171" t="s">
        <v>179</v>
      </c>
      <c r="D22" s="171" t="s">
        <v>153</v>
      </c>
      <c r="E22" s="182">
        <f>VLOOKUP(C22,'[6]garden suites'!$D$7:$AS$61,3,0)</f>
        <v>68.349999999999994</v>
      </c>
      <c r="F22" s="183">
        <f>'[7]garden suites'!$G$51</f>
        <v>12922160</v>
      </c>
      <c r="G22" s="172">
        <v>0.03</v>
      </c>
      <c r="H22" s="173"/>
      <c r="J22" s="344"/>
      <c r="K22" s="171" t="s">
        <v>172</v>
      </c>
      <c r="L22" s="171" t="s">
        <v>153</v>
      </c>
      <c r="M22" s="182">
        <f>VLOOKUP(K22,'[6]garden suites'!$D$7:$AS$61,3,0)</f>
        <v>65.599999999999994</v>
      </c>
      <c r="N22" s="183">
        <f>'[7]garden suites'!$G$39</f>
        <v>11403440</v>
      </c>
      <c r="O22" s="172">
        <v>0.05</v>
      </c>
    </row>
    <row r="23" spans="2:15">
      <c r="B23" s="188"/>
      <c r="C23" s="171"/>
      <c r="D23" s="171"/>
      <c r="E23" s="182"/>
      <c r="F23" s="183"/>
      <c r="G23" s="172"/>
      <c r="H23" s="173"/>
      <c r="J23" s="344" t="s">
        <v>202</v>
      </c>
      <c r="K23" s="171" t="s">
        <v>174</v>
      </c>
      <c r="L23" s="171" t="s">
        <v>155</v>
      </c>
      <c r="M23" s="182">
        <f>VLOOKUP(K23,'[6]garden suites'!$D$7:$AS$61,3,0)</f>
        <v>43.12</v>
      </c>
      <c r="N23" s="183">
        <f>'[7]garden suites'!$G$46</f>
        <v>6836080</v>
      </c>
      <c r="O23" s="172">
        <v>0.05</v>
      </c>
    </row>
    <row r="24" spans="2:15">
      <c r="B24" s="188"/>
      <c r="C24" s="171"/>
      <c r="D24" s="171"/>
      <c r="E24" s="182"/>
      <c r="F24" s="183"/>
      <c r="G24" s="172"/>
      <c r="H24" s="173"/>
      <c r="J24" s="344"/>
      <c r="K24" s="171" t="s">
        <v>175</v>
      </c>
      <c r="L24" s="171" t="s">
        <v>155</v>
      </c>
      <c r="M24" s="182">
        <f>VLOOKUP(K24,'[6]garden suites'!$D$7:$AS$61,3,0)</f>
        <v>49.85</v>
      </c>
      <c r="N24" s="183">
        <f>'[7]garden suites'!$G$47</f>
        <v>7449840</v>
      </c>
      <c r="O24" s="172">
        <v>0.05</v>
      </c>
    </row>
    <row r="25" spans="2:15">
      <c r="B25" s="188"/>
      <c r="C25" s="171"/>
      <c r="D25" s="171"/>
      <c r="E25" s="182"/>
      <c r="F25" s="183"/>
      <c r="G25" s="172"/>
      <c r="H25" s="173"/>
      <c r="J25" s="344"/>
      <c r="K25" s="171" t="s">
        <v>176</v>
      </c>
      <c r="L25" s="171" t="s">
        <v>155</v>
      </c>
      <c r="M25" s="182">
        <f>VLOOKUP(K25,'[6]garden suites'!$D$7:$AS$61,3,0)</f>
        <v>49.85</v>
      </c>
      <c r="N25" s="183">
        <f>'[7]garden suites'!$G$48</f>
        <v>7449840</v>
      </c>
      <c r="O25" s="172">
        <v>0.05</v>
      </c>
    </row>
    <row r="26" spans="2:15">
      <c r="B26" s="188"/>
      <c r="C26" s="171"/>
      <c r="D26" s="171"/>
      <c r="E26" s="182"/>
      <c r="F26" s="183"/>
      <c r="G26" s="172"/>
      <c r="H26" s="173"/>
      <c r="J26" s="344"/>
      <c r="K26" s="171" t="s">
        <v>177</v>
      </c>
      <c r="L26" s="171" t="s">
        <v>155</v>
      </c>
      <c r="M26" s="182">
        <f>VLOOKUP(K26,'[6]garden suites'!$D$7:$AS$61,3,0)</f>
        <v>43.12</v>
      </c>
      <c r="N26" s="183">
        <f>'[7]garden suites'!$G$49</f>
        <v>6836080</v>
      </c>
      <c r="O26" s="172">
        <v>0.05</v>
      </c>
    </row>
    <row r="27" spans="2:15">
      <c r="B27" s="188"/>
      <c r="C27" s="171"/>
      <c r="D27" s="171"/>
      <c r="E27" s="182"/>
      <c r="F27" s="183"/>
      <c r="G27" s="172"/>
      <c r="H27" s="173"/>
      <c r="J27" s="344"/>
      <c r="K27" s="171" t="s">
        <v>178</v>
      </c>
      <c r="L27" s="171" t="s">
        <v>153</v>
      </c>
      <c r="M27" s="182">
        <f>VLOOKUP(K27,'[6]garden suites'!$D$7:$AS$61,3,0)</f>
        <v>65.599999999999994</v>
      </c>
      <c r="N27" s="183">
        <f>'[7]garden suites'!$G$50</f>
        <v>11551280</v>
      </c>
      <c r="O27" s="172">
        <v>0.05</v>
      </c>
    </row>
    <row r="28" spans="2:15" ht="16.5" customHeight="1">
      <c r="B28" s="342"/>
      <c r="C28" s="171"/>
      <c r="D28" s="171"/>
      <c r="E28" s="182"/>
      <c r="F28" s="183"/>
      <c r="G28" s="172"/>
      <c r="H28" s="173"/>
      <c r="J28" s="344" t="s">
        <v>203</v>
      </c>
      <c r="K28" s="171" t="s">
        <v>180</v>
      </c>
      <c r="L28" s="171" t="s">
        <v>155</v>
      </c>
      <c r="M28" s="182">
        <f>VLOOKUP(K28,'[6]garden suites'!$D$7:$AS$61,3,0)</f>
        <v>43.12</v>
      </c>
      <c r="N28" s="183">
        <f>'[7]garden suites'!$G$57</f>
        <v>6932400</v>
      </c>
      <c r="O28" s="172">
        <v>0.05</v>
      </c>
    </row>
    <row r="29" spans="2:15">
      <c r="B29" s="342"/>
      <c r="C29" s="171"/>
      <c r="D29" s="171"/>
      <c r="E29" s="182"/>
      <c r="F29" s="183"/>
      <c r="G29" s="172"/>
      <c r="H29" s="173"/>
      <c r="J29" s="344"/>
      <c r="K29" s="171" t="s">
        <v>181</v>
      </c>
      <c r="L29" s="171" t="s">
        <v>155</v>
      </c>
      <c r="M29" s="182">
        <f>VLOOKUP(K29,'[6]garden suites'!$D$7:$AS$61,3,0)</f>
        <v>49.85</v>
      </c>
      <c r="N29" s="183">
        <f>'[7]garden suites'!$G$58</f>
        <v>7561840</v>
      </c>
      <c r="O29" s="172">
        <v>0.05</v>
      </c>
    </row>
    <row r="30" spans="2:15">
      <c r="B30" s="342"/>
      <c r="C30" s="171"/>
      <c r="D30" s="171"/>
      <c r="E30" s="182"/>
      <c r="F30" s="183"/>
      <c r="G30" s="172"/>
      <c r="H30" s="173"/>
      <c r="J30" s="344"/>
      <c r="K30" s="171" t="s">
        <v>182</v>
      </c>
      <c r="L30" s="171" t="s">
        <v>155</v>
      </c>
      <c r="M30" s="182">
        <f>VLOOKUP(K30,'[6]garden suites'!$D$7:$AS$61,3,0)</f>
        <v>49.85</v>
      </c>
      <c r="N30" s="183">
        <f>'[7]garden suites'!$G$59</f>
        <v>7561840</v>
      </c>
      <c r="O30" s="172">
        <v>0.05</v>
      </c>
    </row>
    <row r="31" spans="2:15">
      <c r="B31" s="342"/>
      <c r="C31" s="171"/>
      <c r="D31" s="171"/>
      <c r="E31" s="182"/>
      <c r="F31" s="183"/>
      <c r="G31" s="172"/>
      <c r="H31" s="173"/>
      <c r="J31" s="344"/>
      <c r="K31" s="171" t="s">
        <v>183</v>
      </c>
      <c r="L31" s="171" t="s">
        <v>153</v>
      </c>
      <c r="M31" s="182">
        <f>'[7]garden suites'!$F$61</f>
        <v>65.599999999999994</v>
      </c>
      <c r="N31" s="183">
        <f>'[7]garden suites'!$G$61</f>
        <v>11698000</v>
      </c>
      <c r="O31" s="172">
        <v>0.05</v>
      </c>
    </row>
    <row r="32" spans="2:15">
      <c r="B32" s="342"/>
      <c r="C32" s="171"/>
      <c r="D32" s="171"/>
      <c r="E32" s="182"/>
      <c r="F32" s="183"/>
      <c r="G32" s="172"/>
      <c r="H32" s="173"/>
    </row>
    <row r="33" spans="2:8">
      <c r="B33" s="342"/>
      <c r="C33" s="171"/>
      <c r="D33" s="171"/>
      <c r="E33" s="182"/>
      <c r="F33" s="183"/>
      <c r="G33" s="172"/>
      <c r="H33" s="173"/>
    </row>
    <row r="34" spans="2:8" ht="15" customHeight="1">
      <c r="B34" s="342"/>
      <c r="C34" s="171"/>
      <c r="D34" s="171"/>
      <c r="E34" s="182"/>
      <c r="F34" s="183"/>
      <c r="G34" s="172"/>
      <c r="H34" s="173"/>
    </row>
    <row r="35" spans="2:8">
      <c r="B35" s="342"/>
      <c r="C35" s="171"/>
      <c r="D35" s="171"/>
      <c r="E35" s="182"/>
      <c r="F35" s="183"/>
      <c r="G35" s="172"/>
      <c r="H35" s="173"/>
    </row>
    <row r="36" spans="2:8">
      <c r="B36" s="342"/>
      <c r="C36" s="171"/>
      <c r="D36" s="171"/>
      <c r="E36" s="182"/>
      <c r="F36" s="183"/>
      <c r="G36" s="172"/>
      <c r="H36" s="173"/>
    </row>
    <row r="37" spans="2:8">
      <c r="B37" s="342"/>
      <c r="C37" s="171"/>
      <c r="D37" s="171"/>
      <c r="E37" s="182"/>
      <c r="F37" s="183"/>
      <c r="G37" s="172"/>
      <c r="H37" s="173"/>
    </row>
    <row r="38" spans="2:8">
      <c r="B38" s="342"/>
      <c r="C38" s="171"/>
      <c r="D38" s="171"/>
      <c r="E38" s="182"/>
      <c r="F38" s="183"/>
      <c r="G38" s="172"/>
      <c r="H38" s="173"/>
    </row>
    <row r="39" spans="2:8">
      <c r="B39" s="342"/>
      <c r="C39" s="171"/>
      <c r="D39" s="171"/>
      <c r="E39" s="182"/>
      <c r="F39" s="183"/>
      <c r="G39" s="172"/>
      <c r="H39" s="173"/>
    </row>
    <row r="40" spans="2:8">
      <c r="B40" s="342"/>
      <c r="C40" s="171"/>
      <c r="D40" s="171"/>
      <c r="E40" s="182"/>
      <c r="F40" s="183"/>
      <c r="G40" s="172"/>
      <c r="H40" s="173"/>
    </row>
    <row r="41" spans="2:8">
      <c r="B41" s="342"/>
      <c r="C41" s="171"/>
      <c r="D41" s="171"/>
      <c r="E41" s="182"/>
      <c r="F41" s="183"/>
      <c r="G41" s="172"/>
      <c r="H41" s="173"/>
    </row>
    <row r="42" spans="2:8">
      <c r="B42" s="342"/>
      <c r="C42" s="171"/>
      <c r="D42" s="171"/>
      <c r="E42" s="182"/>
      <c r="F42" s="183"/>
      <c r="G42" s="172"/>
      <c r="H42" s="173"/>
    </row>
    <row r="43" spans="2:8">
      <c r="B43" s="342"/>
      <c r="C43" s="171"/>
      <c r="D43" s="171"/>
      <c r="E43" s="182"/>
      <c r="F43" s="183"/>
      <c r="G43" s="172"/>
      <c r="H43" s="173"/>
    </row>
    <row r="44" spans="2:8">
      <c r="B44" s="343"/>
      <c r="C44" s="171"/>
      <c r="D44" s="171"/>
      <c r="E44" s="171"/>
      <c r="F44" s="171"/>
      <c r="G44" s="172"/>
      <c r="H44" s="173"/>
    </row>
    <row r="45" spans="2:8">
      <c r="B45" s="343"/>
      <c r="C45" s="185"/>
      <c r="D45" s="185"/>
      <c r="E45" s="185"/>
      <c r="F45" s="185"/>
      <c r="G45" s="185"/>
      <c r="H45" s="173"/>
    </row>
    <row r="46" spans="2:8">
      <c r="B46" s="343"/>
      <c r="C46" s="171"/>
      <c r="D46" s="171"/>
      <c r="E46" s="171"/>
      <c r="F46" s="171"/>
      <c r="G46" s="172"/>
      <c r="H46" s="173"/>
    </row>
    <row r="47" spans="2:8">
      <c r="B47" s="343"/>
      <c r="C47" s="186"/>
      <c r="D47" s="186"/>
      <c r="E47" s="186"/>
      <c r="F47" s="183">
        <v>1000000</v>
      </c>
      <c r="G47" s="172"/>
      <c r="H47" s="173"/>
    </row>
    <row r="48" spans="2:8">
      <c r="B48" s="343"/>
      <c r="H48" s="173"/>
    </row>
    <row r="49" spans="2:8">
      <c r="B49" s="171"/>
      <c r="H49" s="173"/>
    </row>
    <row r="50" spans="2:8" ht="21" customHeight="1">
      <c r="B50" s="184" t="s">
        <v>184</v>
      </c>
      <c r="H50" s="185"/>
    </row>
    <row r="51" spans="2:8">
      <c r="B51" s="171"/>
      <c r="H51" s="173"/>
    </row>
    <row r="52" spans="2:8">
      <c r="B52" s="186" t="s">
        <v>185</v>
      </c>
      <c r="H52" s="173"/>
    </row>
  </sheetData>
  <sheetProtection password="CAF1" sheet="1" objects="1" scenarios="1"/>
  <mergeCells count="12">
    <mergeCell ref="B20:B21"/>
    <mergeCell ref="B28:B36"/>
    <mergeCell ref="B37:B43"/>
    <mergeCell ref="B44:B48"/>
    <mergeCell ref="J6:J10"/>
    <mergeCell ref="J11:J16"/>
    <mergeCell ref="J17:J22"/>
    <mergeCell ref="J23:J27"/>
    <mergeCell ref="J28:J31"/>
    <mergeCell ref="B6:B11"/>
    <mergeCell ref="B12:B16"/>
    <mergeCell ref="B17:B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7941D"/>
    <pageSetUpPr fitToPage="1"/>
  </sheetPr>
  <dimension ref="A1:L43"/>
  <sheetViews>
    <sheetView showGridLines="0" showWhiteSpace="0" zoomScaleNormal="100" workbookViewId="0">
      <selection activeCell="J3" sqref="J3"/>
    </sheetView>
  </sheetViews>
  <sheetFormatPr baseColWidth="10" defaultColWidth="0" defaultRowHeight="14" zeroHeight="1"/>
  <cols>
    <col min="1" max="1" width="11.5" style="39" customWidth="1"/>
    <col min="2" max="2" width="11.1640625" style="39" customWidth="1"/>
    <col min="3" max="3" width="13.6640625" style="39" customWidth="1"/>
    <col min="4" max="4" width="13.5" style="40" bestFit="1" customWidth="1"/>
    <col min="5" max="5" width="13.5" style="39" bestFit="1" customWidth="1"/>
    <col min="6" max="6" width="14.83203125" style="39" bestFit="1" customWidth="1"/>
    <col min="7" max="7" width="13.5" style="39" bestFit="1" customWidth="1"/>
    <col min="8" max="8" width="16.5" style="39" bestFit="1" customWidth="1"/>
    <col min="9" max="12" width="9.1640625" style="39" customWidth="1"/>
    <col min="13" max="16384" width="9.1640625" style="39" hidden="1"/>
  </cols>
  <sheetData>
    <row r="1" spans="1:10" ht="12.75" customHeight="1">
      <c r="C1" s="212" t="s">
        <v>35</v>
      </c>
      <c r="H1" s="376" t="s">
        <v>66</v>
      </c>
    </row>
    <row r="2" spans="1:10">
      <c r="C2" s="41" t="s">
        <v>207</v>
      </c>
      <c r="H2" s="376"/>
    </row>
    <row r="3" spans="1:10">
      <c r="C3" s="41" t="s">
        <v>36</v>
      </c>
      <c r="J3" s="251" t="s">
        <v>215</v>
      </c>
    </row>
    <row r="4" spans="1:10"/>
    <row r="5" spans="1:10">
      <c r="A5" s="213" t="s">
        <v>0</v>
      </c>
      <c r="B5" s="214"/>
      <c r="C5" s="377" t="str">
        <f>'DATA SHEET'!C9</f>
        <v xml:space="preserve"> </v>
      </c>
      <c r="D5" s="377"/>
      <c r="E5" s="377"/>
      <c r="F5" s="377"/>
      <c r="G5" s="377"/>
      <c r="H5" s="378"/>
    </row>
    <row r="6" spans="1:10">
      <c r="A6" s="215" t="s">
        <v>31</v>
      </c>
      <c r="B6" s="216"/>
      <c r="C6" s="379" t="str">
        <f>VLOOKUP('DATA SHEET'!$C$10,' Glenview PL'!C6:G41,1,FALSE)</f>
        <v>GB</v>
      </c>
      <c r="D6" s="379"/>
      <c r="E6" s="379"/>
      <c r="F6" s="217"/>
      <c r="G6" s="217"/>
      <c r="H6" s="218"/>
    </row>
    <row r="7" spans="1:10">
      <c r="A7" s="215" t="s">
        <v>37</v>
      </c>
      <c r="B7" s="216"/>
      <c r="C7" s="380">
        <f>VLOOKUP('DATA SHEET'!C10,' Glenview PL'!C6:G41,3,0)</f>
        <v>67.900000000000006</v>
      </c>
      <c r="D7" s="380"/>
      <c r="E7" s="380"/>
      <c r="F7" s="380"/>
      <c r="G7" s="380"/>
      <c r="H7" s="381"/>
    </row>
    <row r="8" spans="1:10">
      <c r="A8" s="215" t="s">
        <v>194</v>
      </c>
      <c r="B8" s="216"/>
      <c r="C8" s="219" t="str">
        <f>VLOOKUP('DATA SHEET'!C10,' Glenview PL'!C6:G41,2,0)</f>
        <v>1-Bedroom Terrace Suite</v>
      </c>
      <c r="D8" s="220"/>
      <c r="E8" s="220"/>
      <c r="F8" s="220"/>
      <c r="G8" s="220"/>
      <c r="H8" s="221"/>
    </row>
    <row r="9" spans="1:10">
      <c r="A9" s="222" t="s">
        <v>294</v>
      </c>
      <c r="B9" s="223"/>
      <c r="C9" s="382">
        <f>VLOOKUP('DATA SHEET'!C10,' Glenview PL'!C6:G41,4,0)</f>
        <v>8851760</v>
      </c>
      <c r="D9" s="382"/>
      <c r="E9" s="382"/>
      <c r="F9" s="382"/>
      <c r="G9" s="382"/>
      <c r="H9" s="383"/>
    </row>
    <row r="10" spans="1:10">
      <c r="A10" s="224" t="s">
        <v>33</v>
      </c>
      <c r="B10" s="225"/>
      <c r="C10" s="386" t="str">
        <f>'DATA SHEET'!B18</f>
        <v>80% DP, 20% after 60 months or upon turnover whichever comes first</v>
      </c>
      <c r="D10" s="386"/>
      <c r="E10" s="386"/>
      <c r="F10" s="386"/>
      <c r="G10" s="386"/>
      <c r="H10" s="387"/>
    </row>
    <row r="11" spans="1:10"/>
    <row r="12" spans="1:10">
      <c r="A12" s="41" t="s">
        <v>55</v>
      </c>
      <c r="B12" s="41"/>
    </row>
    <row r="13" spans="1:10">
      <c r="A13" s="197" t="s">
        <v>307</v>
      </c>
      <c r="D13" s="42">
        <f>(C9-650000)</f>
        <v>8201760</v>
      </c>
      <c r="E13" s="226" t="str">
        <f>LEFT(C8,9)</f>
        <v>1-Bedroom</v>
      </c>
      <c r="F13" s="226"/>
      <c r="G13" s="226"/>
    </row>
    <row r="14" spans="1:10">
      <c r="A14" s="227" t="s">
        <v>72</v>
      </c>
      <c r="B14" s="228"/>
      <c r="C14" s="306">
        <v>0.15</v>
      </c>
      <c r="D14" s="229">
        <f>IF(C14&lt;=15%,D13*C14,"BEYOND MAX")</f>
        <v>1230264</v>
      </c>
      <c r="E14" s="40"/>
      <c r="F14" s="40"/>
      <c r="G14" s="40"/>
    </row>
    <row r="15" spans="1:10">
      <c r="A15" s="227" t="s">
        <v>325</v>
      </c>
      <c r="B15" s="228"/>
      <c r="C15" s="306">
        <v>0.02</v>
      </c>
      <c r="D15" s="229">
        <f>IF(C15&lt;=2%,((D13-D14)*C15),"BEYOND MAX DISC.")</f>
        <v>139429.92000000001</v>
      </c>
      <c r="E15" s="40"/>
      <c r="F15" s="40"/>
      <c r="G15" s="40"/>
    </row>
    <row r="16" spans="1:10">
      <c r="A16" s="227" t="s">
        <v>326</v>
      </c>
      <c r="B16" s="228"/>
      <c r="D16" s="87">
        <f>VLOOKUP('DATA SHEET'!C10,' Glenview PL'!$C$6:$G$41,5,0)</f>
        <v>230000</v>
      </c>
    </row>
    <row r="17" spans="1:8">
      <c r="A17" s="197" t="s">
        <v>308</v>
      </c>
      <c r="B17" s="197"/>
      <c r="C17" s="197"/>
      <c r="D17" s="230">
        <f>D13-SUM(D14:D16)</f>
        <v>6602066.0800000001</v>
      </c>
      <c r="E17" s="231"/>
      <c r="F17" s="231"/>
      <c r="G17" s="231"/>
    </row>
    <row r="18" spans="1:8">
      <c r="A18" s="232" t="s">
        <v>214</v>
      </c>
      <c r="B18" s="198"/>
      <c r="C18" s="198"/>
      <c r="D18" s="233">
        <v>650000</v>
      </c>
      <c r="E18" s="231"/>
    </row>
    <row r="19" spans="1:8">
      <c r="A19" s="234" t="s">
        <v>309</v>
      </c>
      <c r="B19" s="198"/>
      <c r="C19" s="198"/>
      <c r="D19" s="235">
        <f>+SUM(D17:D18)</f>
        <v>7252066.0800000001</v>
      </c>
      <c r="E19" s="231"/>
      <c r="F19" s="231"/>
      <c r="G19" s="231"/>
    </row>
    <row r="20" spans="1:8">
      <c r="A20" s="236" t="s">
        <v>285</v>
      </c>
      <c r="B20" s="236"/>
      <c r="C20" s="199">
        <v>0.05</v>
      </c>
      <c r="D20" s="237">
        <f>(D17/1.12)*C20</f>
        <v>294735.09285714285</v>
      </c>
      <c r="E20" s="231"/>
      <c r="F20" s="231"/>
      <c r="G20" s="231"/>
    </row>
    <row r="21" spans="1:8" ht="15" thickBot="1">
      <c r="A21" s="198" t="s">
        <v>58</v>
      </c>
      <c r="B21" s="198"/>
      <c r="C21" s="198"/>
      <c r="D21" s="238">
        <f>+SUM(D19:D20)</f>
        <v>7546801.172857143</v>
      </c>
      <c r="E21" s="40"/>
      <c r="F21" s="40"/>
      <c r="G21" s="40"/>
    </row>
    <row r="22" spans="1:8" ht="15" thickTop="1">
      <c r="D22" s="42"/>
      <c r="E22" s="40"/>
      <c r="F22" s="40"/>
      <c r="G22" s="40"/>
    </row>
    <row r="23" spans="1:8">
      <c r="A23" s="239" t="s">
        <v>34</v>
      </c>
      <c r="B23" s="239" t="s">
        <v>286</v>
      </c>
      <c r="C23" s="239" t="s">
        <v>2</v>
      </c>
      <c r="D23" s="239" t="s">
        <v>287</v>
      </c>
      <c r="E23" s="239" t="s">
        <v>310</v>
      </c>
      <c r="F23" s="240" t="s">
        <v>289</v>
      </c>
      <c r="G23" s="241" t="s">
        <v>290</v>
      </c>
      <c r="H23" s="239" t="s">
        <v>291</v>
      </c>
    </row>
    <row r="24" spans="1:8">
      <c r="A24" s="385" t="s">
        <v>292</v>
      </c>
      <c r="B24" s="385"/>
      <c r="C24" s="385"/>
      <c r="D24" s="385"/>
      <c r="E24" s="385"/>
      <c r="F24" s="385"/>
      <c r="G24" s="385"/>
      <c r="H24" s="242">
        <f>+D21</f>
        <v>7546801.172857143</v>
      </c>
    </row>
    <row r="25" spans="1:8">
      <c r="A25" s="243">
        <v>0</v>
      </c>
      <c r="B25" s="243"/>
      <c r="C25" s="243" t="s">
        <v>38</v>
      </c>
      <c r="D25" s="244">
        <f ca="1">'DATA SHEET'!C8</f>
        <v>43973</v>
      </c>
      <c r="E25" s="245">
        <f>IF(E13="1-Bedroom",50000,100000)</f>
        <v>50000</v>
      </c>
      <c r="F25" s="245"/>
      <c r="G25" s="246">
        <f>+SUM(E25:F25)</f>
        <v>50000</v>
      </c>
      <c r="H25" s="247">
        <f>D21-G25</f>
        <v>7496801.172857143</v>
      </c>
    </row>
    <row r="26" spans="1:8">
      <c r="A26" s="243">
        <v>1</v>
      </c>
      <c r="B26" s="248">
        <v>0.8</v>
      </c>
      <c r="C26" s="243" t="s">
        <v>217</v>
      </c>
      <c r="D26" s="244">
        <f ca="1">EDATE(D25,1)</f>
        <v>44004</v>
      </c>
      <c r="E26" s="245">
        <f>($D$19*0.8)-E25</f>
        <v>5751652.8640000001</v>
      </c>
      <c r="F26" s="245">
        <f>($D$20*0.8)</f>
        <v>235788.07428571431</v>
      </c>
      <c r="G26" s="246">
        <f t="shared" ref="G26:G27" si="0">+SUM(E26:F26)</f>
        <v>5987440.938285714</v>
      </c>
      <c r="H26" s="247">
        <f>H25-G26</f>
        <v>1509360.234571429</v>
      </c>
    </row>
    <row r="27" spans="1:8">
      <c r="A27" s="243">
        <v>60</v>
      </c>
      <c r="B27" s="248">
        <v>0.2</v>
      </c>
      <c r="C27" s="243" t="s">
        <v>39</v>
      </c>
      <c r="D27" s="244">
        <f ca="1">D26+(60*30)</f>
        <v>45804</v>
      </c>
      <c r="E27" s="245">
        <f>$D$19*20%</f>
        <v>1450413.216</v>
      </c>
      <c r="F27" s="245">
        <f>$D$20*20%</f>
        <v>58947.018571428576</v>
      </c>
      <c r="G27" s="246">
        <f t="shared" si="0"/>
        <v>1509360.2345714285</v>
      </c>
      <c r="H27" s="247">
        <f>H26-G27</f>
        <v>0</v>
      </c>
    </row>
    <row r="28" spans="1:8">
      <c r="A28" s="384" t="s">
        <v>16</v>
      </c>
      <c r="B28" s="384"/>
      <c r="C28" s="384"/>
      <c r="D28" s="384"/>
      <c r="E28" s="249">
        <f>SUM(E25:E27)</f>
        <v>7252066.0800000001</v>
      </c>
      <c r="F28" s="249">
        <f t="shared" ref="F28:G28" si="1">SUM(F25:F27)</f>
        <v>294735.09285714291</v>
      </c>
      <c r="G28" s="249">
        <f t="shared" si="1"/>
        <v>7546801.172857143</v>
      </c>
      <c r="H28" s="250"/>
    </row>
    <row r="29" spans="1:8" s="197" customFormat="1">
      <c r="C29" s="206"/>
      <c r="D29" s="207"/>
      <c r="E29" s="208"/>
      <c r="F29" s="208"/>
      <c r="G29" s="208"/>
    </row>
    <row r="30" spans="1:8" s="197" customFormat="1">
      <c r="A30" s="374" t="s">
        <v>313</v>
      </c>
      <c r="B30" s="374"/>
      <c r="C30" s="374"/>
      <c r="D30" s="374"/>
      <c r="E30" s="374"/>
      <c r="F30" s="374"/>
      <c r="G30" s="374"/>
      <c r="H30" s="374"/>
    </row>
    <row r="31" spans="1:8" s="197" customFormat="1" ht="29.25" customHeight="1">
      <c r="A31" s="388" t="s">
        <v>314</v>
      </c>
      <c r="B31" s="388"/>
      <c r="C31" s="388"/>
      <c r="D31" s="388"/>
      <c r="E31" s="388"/>
      <c r="F31" s="388"/>
      <c r="G31" s="388"/>
      <c r="H31" s="388"/>
    </row>
    <row r="32" spans="1:8" s="197" customFormat="1" ht="16.5" customHeight="1">
      <c r="A32" s="374" t="s">
        <v>315</v>
      </c>
      <c r="B32" s="374"/>
      <c r="C32" s="374"/>
      <c r="D32" s="374"/>
      <c r="E32" s="374"/>
      <c r="F32" s="374"/>
      <c r="G32" s="374"/>
      <c r="H32" s="374"/>
    </row>
    <row r="33" spans="1:8" s="197" customFormat="1" ht="16.5" customHeight="1">
      <c r="A33" s="374" t="s">
        <v>316</v>
      </c>
      <c r="B33" s="374"/>
      <c r="C33" s="374"/>
      <c r="D33" s="374"/>
      <c r="E33" s="374"/>
      <c r="F33" s="374"/>
      <c r="G33" s="374"/>
      <c r="H33" s="374"/>
    </row>
    <row r="34" spans="1:8" s="197" customFormat="1" ht="16.5" customHeight="1">
      <c r="A34" s="374" t="s">
        <v>317</v>
      </c>
      <c r="B34" s="374"/>
      <c r="C34" s="374"/>
      <c r="D34" s="374"/>
      <c r="E34" s="374"/>
      <c r="F34" s="374"/>
      <c r="G34" s="374"/>
      <c r="H34" s="374"/>
    </row>
    <row r="35" spans="1:8" s="197" customFormat="1" ht="118.5" customHeight="1">
      <c r="A35" s="374" t="s">
        <v>318</v>
      </c>
      <c r="B35" s="374"/>
      <c r="C35" s="374"/>
      <c r="D35" s="374"/>
      <c r="E35" s="374"/>
      <c r="F35" s="374"/>
      <c r="G35" s="374"/>
      <c r="H35" s="374"/>
    </row>
    <row r="36" spans="1:8" s="197" customFormat="1" ht="42" customHeight="1">
      <c r="A36" s="374" t="s">
        <v>319</v>
      </c>
      <c r="B36" s="374"/>
      <c r="C36" s="374"/>
      <c r="D36" s="374"/>
      <c r="E36" s="374"/>
      <c r="F36" s="374"/>
      <c r="G36" s="374"/>
      <c r="H36" s="374"/>
    </row>
    <row r="37" spans="1:8" s="197" customFormat="1" ht="29.25" customHeight="1">
      <c r="A37" s="374" t="s">
        <v>320</v>
      </c>
      <c r="B37" s="374"/>
      <c r="C37" s="374"/>
      <c r="D37" s="374"/>
      <c r="E37" s="374"/>
      <c r="F37" s="374"/>
      <c r="G37" s="374"/>
      <c r="H37" s="374"/>
    </row>
    <row r="38" spans="1:8" s="197" customFormat="1">
      <c r="A38" s="374"/>
      <c r="B38" s="374"/>
      <c r="C38" s="374"/>
      <c r="D38" s="374"/>
      <c r="E38" s="374"/>
      <c r="F38" s="374"/>
      <c r="G38" s="374"/>
      <c r="H38" s="374"/>
    </row>
    <row r="39" spans="1:8" s="197" customFormat="1">
      <c r="A39" s="197" t="s">
        <v>17</v>
      </c>
      <c r="D39" s="209"/>
      <c r="G39" s="198"/>
    </row>
    <row r="40" spans="1:8" s="197" customFormat="1">
      <c r="D40" s="209"/>
      <c r="G40" s="198"/>
    </row>
    <row r="41" spans="1:8" s="197" customFormat="1" ht="15" customHeight="1">
      <c r="A41" s="210"/>
      <c r="B41" s="210"/>
      <c r="C41" s="210"/>
      <c r="D41" s="209"/>
      <c r="E41" s="210"/>
      <c r="F41" s="210"/>
      <c r="G41" s="211"/>
    </row>
    <row r="42" spans="1:8" s="197" customFormat="1">
      <c r="A42" s="375" t="s">
        <v>293</v>
      </c>
      <c r="B42" s="375"/>
      <c r="C42" s="375"/>
      <c r="D42" s="209"/>
      <c r="E42" s="375" t="s">
        <v>18</v>
      </c>
      <c r="F42" s="375"/>
      <c r="G42" s="375"/>
    </row>
    <row r="43" spans="1:8"/>
  </sheetData>
  <sheetProtection password="CAF1" sheet="1" selectLockedCells="1"/>
  <mergeCells count="19">
    <mergeCell ref="A32:H32"/>
    <mergeCell ref="A33:H33"/>
    <mergeCell ref="A34:H34"/>
    <mergeCell ref="A35:H35"/>
    <mergeCell ref="H1:H2"/>
    <mergeCell ref="C5:H5"/>
    <mergeCell ref="C6:E6"/>
    <mergeCell ref="C7:H7"/>
    <mergeCell ref="C9:H9"/>
    <mergeCell ref="A28:D28"/>
    <mergeCell ref="A24:G24"/>
    <mergeCell ref="C10:H10"/>
    <mergeCell ref="A30:H30"/>
    <mergeCell ref="A31:H31"/>
    <mergeCell ref="A36:H36"/>
    <mergeCell ref="A37:H37"/>
    <mergeCell ref="A38:H38"/>
    <mergeCell ref="A42:C42"/>
    <mergeCell ref="E42:G42"/>
  </mergeCells>
  <hyperlinks>
    <hyperlink ref="C1" location="'DATA SHEET'!A1" display="HIGHLANDS PRIME, INC." xr:uid="{00000000-0004-0000-1300-000000000000}"/>
    <hyperlink ref="J3" location="'DATA SHEET'!A1" display="Return to Data Sheet" xr:uid="{00000000-0004-0000-1300-000001000000}"/>
  </hyperlinks>
  <printOptions horizontalCentered="1"/>
  <pageMargins left="0.7" right="0.7" top="0.75" bottom="0.5" header="0.3" footer="0.3"/>
  <pageSetup scale="74" orientation="portrait" r:id="rId1"/>
  <headerFooter>
    <oddFooter>&amp;L&amp;8A project of HIGHLANDS PRIME, INC. Horizon Terraces HLURB License To Sell No. 032272&amp;R&amp;8Page &amp;P of &amp;N</oddFooter>
  </headerFooter>
  <ignoredErrors>
    <ignoredError sqref="D16" unlockedFormula="1"/>
    <ignoredError sqref="D20"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rgb="FFF7941D"/>
    <pageSetUpPr fitToPage="1"/>
  </sheetPr>
  <dimension ref="A1:L103"/>
  <sheetViews>
    <sheetView showGridLines="0" zoomScaleNormal="100" workbookViewId="0">
      <selection activeCell="C15" sqref="C15"/>
    </sheetView>
  </sheetViews>
  <sheetFormatPr baseColWidth="10" defaultColWidth="0" defaultRowHeight="14" zeroHeight="1"/>
  <cols>
    <col min="1" max="1" width="12.5" style="39" customWidth="1"/>
    <col min="2" max="2" width="10.33203125" style="39" customWidth="1"/>
    <col min="3" max="3" width="24.33203125" style="39" customWidth="1"/>
    <col min="4" max="4" width="13.5" style="40" bestFit="1" customWidth="1"/>
    <col min="5" max="5" width="13.5" style="39" bestFit="1" customWidth="1"/>
    <col min="6" max="6" width="14.83203125" style="39" bestFit="1" customWidth="1"/>
    <col min="7" max="7" width="13.5" style="41" bestFit="1" customWidth="1"/>
    <col min="8" max="8" width="16.5" style="39" bestFit="1" customWidth="1"/>
    <col min="9" max="12" width="9.1640625" style="39" customWidth="1"/>
    <col min="13" max="16384" width="9.1640625" style="39" hidden="1"/>
  </cols>
  <sheetData>
    <row r="1" spans="1:10" ht="12.75" customHeight="1">
      <c r="C1" s="212" t="s">
        <v>35</v>
      </c>
      <c r="H1" s="376" t="s">
        <v>66</v>
      </c>
    </row>
    <row r="2" spans="1:10" ht="12.75" customHeight="1">
      <c r="C2" s="41" t="s">
        <v>207</v>
      </c>
      <c r="H2" s="376"/>
    </row>
    <row r="3" spans="1:10">
      <c r="C3" s="41" t="s">
        <v>36</v>
      </c>
      <c r="J3" s="251" t="s">
        <v>215</v>
      </c>
    </row>
    <row r="4" spans="1:10"/>
    <row r="5" spans="1:10">
      <c r="A5" s="213" t="s">
        <v>0</v>
      </c>
      <c r="B5" s="214"/>
      <c r="C5" s="377" t="str">
        <f>'DATA SHEET'!C9</f>
        <v xml:space="preserve"> </v>
      </c>
      <c r="D5" s="377"/>
      <c r="E5" s="377"/>
      <c r="F5" s="377"/>
      <c r="G5" s="377"/>
      <c r="H5" s="378"/>
    </row>
    <row r="6" spans="1:10">
      <c r="A6" s="215" t="s">
        <v>31</v>
      </c>
      <c r="B6" s="216"/>
      <c r="C6" s="379" t="str">
        <f>VLOOKUP('DATA SHEET'!$C$10,' Glenview PL'!C6:G41,1,FALSE)</f>
        <v>GB</v>
      </c>
      <c r="D6" s="379"/>
      <c r="E6" s="379"/>
      <c r="F6" s="379"/>
      <c r="G6" s="379"/>
      <c r="H6" s="390"/>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row>
    <row r="9" spans="1:10">
      <c r="A9" s="222" t="s">
        <v>294</v>
      </c>
      <c r="B9" s="223"/>
      <c r="C9" s="382">
        <f>VLOOKUP('DATA SHEET'!C10,' Glenview PL'!C6:G41,4,0)</f>
        <v>8851760</v>
      </c>
      <c r="D9" s="382"/>
      <c r="E9" s="382"/>
      <c r="F9" s="382"/>
      <c r="G9" s="382"/>
      <c r="H9" s="383"/>
    </row>
    <row r="10" spans="1:10">
      <c r="A10" s="224" t="s">
        <v>33</v>
      </c>
      <c r="B10" s="225"/>
      <c r="C10" s="393" t="str">
        <f>'DATA SHEET'!B19</f>
        <v>50% DP, 50% over 60 months</v>
      </c>
      <c r="D10" s="393"/>
      <c r="E10" s="393"/>
      <c r="F10" s="393"/>
      <c r="G10" s="393"/>
      <c r="H10" s="394"/>
    </row>
    <row r="11" spans="1:10"/>
    <row r="12" spans="1:10">
      <c r="A12" s="41" t="s">
        <v>55</v>
      </c>
      <c r="B12" s="41"/>
    </row>
    <row r="13" spans="1:10">
      <c r="A13" s="197" t="s">
        <v>307</v>
      </c>
      <c r="D13" s="42">
        <f>(C9-650000)</f>
        <v>8201760</v>
      </c>
      <c r="E13" s="226" t="str">
        <f>LEFT(C8,9)</f>
        <v>1-Bedroom</v>
      </c>
      <c r="F13" s="226"/>
      <c r="G13" s="276"/>
    </row>
    <row r="14" spans="1:10">
      <c r="A14" s="227" t="s">
        <v>72</v>
      </c>
      <c r="B14" s="228"/>
      <c r="C14" s="306">
        <v>7.4999999999999997E-2</v>
      </c>
      <c r="D14" s="229">
        <f>IF(C14&lt;=7.5%,D13*C14,"BEYOND MAX")</f>
        <v>615132</v>
      </c>
      <c r="E14" s="40"/>
      <c r="F14" s="40"/>
      <c r="G14" s="277"/>
      <c r="H14" s="40"/>
      <c r="I14" s="40"/>
    </row>
    <row r="15" spans="1:10">
      <c r="A15" s="227" t="s">
        <v>325</v>
      </c>
      <c r="B15" s="228"/>
      <c r="C15" s="306">
        <v>0.02</v>
      </c>
      <c r="D15" s="229">
        <f>IF(C15&lt;=2%,((D13-D14)*C15),"BEYOND MAX DISC.")</f>
        <v>151732.56</v>
      </c>
      <c r="E15" s="40"/>
      <c r="F15" s="40"/>
      <c r="G15" s="277"/>
      <c r="H15" s="40"/>
      <c r="I15" s="40"/>
    </row>
    <row r="16" spans="1:10">
      <c r="A16" s="227" t="s">
        <v>326</v>
      </c>
      <c r="B16" s="228"/>
      <c r="D16" s="87">
        <f>VLOOKUP('DATA SHEET'!C10,' Glenview PL'!$C$6:$G$41,5,0)</f>
        <v>230000</v>
      </c>
    </row>
    <row r="17" spans="1:9">
      <c r="A17" s="197" t="s">
        <v>308</v>
      </c>
      <c r="B17" s="197"/>
      <c r="C17" s="197"/>
      <c r="D17" s="230">
        <f>D13-SUM(D14:D16)</f>
        <v>7204895.4399999995</v>
      </c>
      <c r="E17" s="231"/>
      <c r="F17" s="231"/>
      <c r="G17" s="278"/>
      <c r="H17" s="231"/>
      <c r="I17" s="231"/>
    </row>
    <row r="18" spans="1:9">
      <c r="A18" s="232" t="s">
        <v>214</v>
      </c>
      <c r="B18" s="198"/>
      <c r="C18" s="198"/>
      <c r="D18" s="233">
        <v>650000</v>
      </c>
      <c r="E18" s="231"/>
      <c r="G18" s="39"/>
    </row>
    <row r="19" spans="1:9">
      <c r="A19" s="234" t="s">
        <v>309</v>
      </c>
      <c r="B19" s="198"/>
      <c r="C19" s="198"/>
      <c r="D19" s="235">
        <f>+SUM(D17:D18)</f>
        <v>7854895.4399999995</v>
      </c>
      <c r="E19" s="231"/>
      <c r="F19" s="231"/>
      <c r="G19" s="278"/>
      <c r="H19" s="231"/>
      <c r="I19" s="231"/>
    </row>
    <row r="20" spans="1:9">
      <c r="A20" s="236" t="s">
        <v>285</v>
      </c>
      <c r="B20" s="236"/>
      <c r="C20" s="199">
        <v>0.05</v>
      </c>
      <c r="D20" s="237">
        <f>(D17/1.12)*C20</f>
        <v>321647.11785714282</v>
      </c>
      <c r="E20" s="231"/>
      <c r="F20" s="231"/>
      <c r="G20" s="278"/>
      <c r="H20" s="231"/>
      <c r="I20" s="231"/>
    </row>
    <row r="21" spans="1:9" ht="15" thickBot="1">
      <c r="A21" s="198" t="s">
        <v>58</v>
      </c>
      <c r="B21" s="198"/>
      <c r="C21" s="198"/>
      <c r="D21" s="238">
        <f>+SUM(D19:D20)</f>
        <v>8176542.5578571428</v>
      </c>
      <c r="E21" s="40"/>
      <c r="F21" s="40"/>
      <c r="G21" s="277"/>
      <c r="H21" s="40"/>
      <c r="I21" s="40"/>
    </row>
    <row r="22" spans="1:9" ht="15" thickTop="1"/>
    <row r="23" spans="1:9">
      <c r="A23" s="239" t="s">
        <v>34</v>
      </c>
      <c r="B23" s="239" t="s">
        <v>286</v>
      </c>
      <c r="C23" s="239" t="s">
        <v>2</v>
      </c>
      <c r="D23" s="239" t="s">
        <v>287</v>
      </c>
      <c r="E23" s="239" t="s">
        <v>310</v>
      </c>
      <c r="F23" s="240" t="s">
        <v>289</v>
      </c>
      <c r="G23" s="241" t="s">
        <v>290</v>
      </c>
      <c r="H23" s="239" t="s">
        <v>291</v>
      </c>
    </row>
    <row r="24" spans="1:9">
      <c r="A24" s="385" t="s">
        <v>292</v>
      </c>
      <c r="B24" s="385"/>
      <c r="C24" s="385"/>
      <c r="D24" s="385"/>
      <c r="E24" s="385"/>
      <c r="F24" s="385"/>
      <c r="G24" s="385"/>
      <c r="H24" s="242">
        <f>+D21</f>
        <v>8176542.5578571428</v>
      </c>
    </row>
    <row r="25" spans="1:9" ht="13.5" customHeight="1">
      <c r="A25" s="243">
        <v>0</v>
      </c>
      <c r="B25" s="243"/>
      <c r="C25" s="243" t="s">
        <v>38</v>
      </c>
      <c r="D25" s="244">
        <f ca="1">'DATA SHEET'!C8</f>
        <v>43973</v>
      </c>
      <c r="E25" s="245">
        <f>IF(E13="1-Bedroom",50000,100000)</f>
        <v>50000</v>
      </c>
      <c r="F25" s="245"/>
      <c r="G25" s="246">
        <f>+SUM(E25:F25)</f>
        <v>50000</v>
      </c>
      <c r="H25" s="247">
        <f>D21-E25</f>
        <v>8126542.5578571428</v>
      </c>
    </row>
    <row r="26" spans="1:9">
      <c r="A26" s="243">
        <v>1</v>
      </c>
      <c r="B26" s="248">
        <v>0.5</v>
      </c>
      <c r="C26" s="243" t="s">
        <v>217</v>
      </c>
      <c r="D26" s="244">
        <f ca="1">EDATE(D25,1)</f>
        <v>44004</v>
      </c>
      <c r="E26" s="245">
        <f>(D19*50%)-E25</f>
        <v>3877447.7199999997</v>
      </c>
      <c r="F26" s="245">
        <f>(D20*50%)</f>
        <v>160823.55892857141</v>
      </c>
      <c r="G26" s="246">
        <f>+SUM(E26:F26)</f>
        <v>4038271.2789285714</v>
      </c>
      <c r="H26" s="247">
        <f>H25-G26</f>
        <v>4088271.2789285714</v>
      </c>
    </row>
    <row r="27" spans="1:9">
      <c r="A27" s="243"/>
      <c r="B27" s="248">
        <v>0.5</v>
      </c>
      <c r="C27" s="243" t="s">
        <v>296</v>
      </c>
      <c r="D27" s="244"/>
      <c r="E27" s="245"/>
      <c r="F27" s="245"/>
      <c r="G27" s="246"/>
      <c r="H27" s="247"/>
    </row>
    <row r="28" spans="1:9">
      <c r="A28" s="243">
        <f>+A26+1</f>
        <v>2</v>
      </c>
      <c r="B28" s="243"/>
      <c r="C28" s="243" t="s">
        <v>4</v>
      </c>
      <c r="D28" s="244">
        <f ca="1">EDATE(D26,1)</f>
        <v>44034</v>
      </c>
      <c r="E28" s="245">
        <f t="shared" ref="E28:E59" si="0">($D$19*50%)/60</f>
        <v>65457.461999999992</v>
      </c>
      <c r="F28" s="245">
        <f>($D$20*50%)/60</f>
        <v>2680.3926488095235</v>
      </c>
      <c r="G28" s="246">
        <f>+SUM(E28:F28)</f>
        <v>68137.854648809516</v>
      </c>
      <c r="H28" s="247">
        <f>H26-G28</f>
        <v>4020133.424279762</v>
      </c>
    </row>
    <row r="29" spans="1:9">
      <c r="A29" s="243">
        <f t="shared" ref="A29:A86" si="1">+A28+1</f>
        <v>3</v>
      </c>
      <c r="B29" s="243"/>
      <c r="C29" s="243" t="s">
        <v>5</v>
      </c>
      <c r="D29" s="244">
        <f t="shared" ref="D29:D87" ca="1" si="2">EDATE(D28,1)</f>
        <v>44065</v>
      </c>
      <c r="E29" s="245">
        <f t="shared" si="0"/>
        <v>65457.461999999992</v>
      </c>
      <c r="F29" s="245">
        <f t="shared" ref="F29:F87" si="3">($D$20*50%)/60</f>
        <v>2680.3926488095235</v>
      </c>
      <c r="G29" s="246">
        <f t="shared" ref="G29:G77" si="4">+SUM(E29:F29)</f>
        <v>68137.854648809516</v>
      </c>
      <c r="H29" s="247">
        <f>H28-G29</f>
        <v>3951995.5696309526</v>
      </c>
    </row>
    <row r="30" spans="1:9">
      <c r="A30" s="243">
        <f t="shared" si="1"/>
        <v>4</v>
      </c>
      <c r="B30" s="243"/>
      <c r="C30" s="243" t="s">
        <v>6</v>
      </c>
      <c r="D30" s="244">
        <f t="shared" ca="1" si="2"/>
        <v>44096</v>
      </c>
      <c r="E30" s="245">
        <f t="shared" si="0"/>
        <v>65457.461999999992</v>
      </c>
      <c r="F30" s="245">
        <f t="shared" si="3"/>
        <v>2680.3926488095235</v>
      </c>
      <c r="G30" s="246">
        <f t="shared" si="4"/>
        <v>68137.854648809516</v>
      </c>
      <c r="H30" s="247">
        <f t="shared" ref="H30:H77" si="5">H29-G30</f>
        <v>3883857.7149821431</v>
      </c>
    </row>
    <row r="31" spans="1:9">
      <c r="A31" s="243">
        <f t="shared" si="1"/>
        <v>5</v>
      </c>
      <c r="B31" s="243"/>
      <c r="C31" s="243" t="s">
        <v>7</v>
      </c>
      <c r="D31" s="244">
        <f t="shared" ca="1" si="2"/>
        <v>44126</v>
      </c>
      <c r="E31" s="245">
        <f t="shared" si="0"/>
        <v>65457.461999999992</v>
      </c>
      <c r="F31" s="245">
        <f t="shared" si="3"/>
        <v>2680.3926488095235</v>
      </c>
      <c r="G31" s="246">
        <f t="shared" si="4"/>
        <v>68137.854648809516</v>
      </c>
      <c r="H31" s="247">
        <f t="shared" si="5"/>
        <v>3815719.8603333337</v>
      </c>
    </row>
    <row r="32" spans="1:9">
      <c r="A32" s="243">
        <f t="shared" si="1"/>
        <v>6</v>
      </c>
      <c r="B32" s="243"/>
      <c r="C32" s="243" t="s">
        <v>8</v>
      </c>
      <c r="D32" s="244">
        <f t="shared" ca="1" si="2"/>
        <v>44157</v>
      </c>
      <c r="E32" s="245">
        <f t="shared" si="0"/>
        <v>65457.461999999992</v>
      </c>
      <c r="F32" s="245">
        <f t="shared" si="3"/>
        <v>2680.3926488095235</v>
      </c>
      <c r="G32" s="246">
        <f t="shared" si="4"/>
        <v>68137.854648809516</v>
      </c>
      <c r="H32" s="247">
        <f t="shared" si="5"/>
        <v>3747582.0056845243</v>
      </c>
    </row>
    <row r="33" spans="1:8">
      <c r="A33" s="243">
        <f t="shared" si="1"/>
        <v>7</v>
      </c>
      <c r="B33" s="243"/>
      <c r="C33" s="243" t="s">
        <v>9</v>
      </c>
      <c r="D33" s="244">
        <f t="shared" ca="1" si="2"/>
        <v>44187</v>
      </c>
      <c r="E33" s="245">
        <f t="shared" si="0"/>
        <v>65457.461999999992</v>
      </c>
      <c r="F33" s="245">
        <f t="shared" si="3"/>
        <v>2680.3926488095235</v>
      </c>
      <c r="G33" s="246">
        <f t="shared" si="4"/>
        <v>68137.854648809516</v>
      </c>
      <c r="H33" s="247">
        <f t="shared" si="5"/>
        <v>3679444.1510357149</v>
      </c>
    </row>
    <row r="34" spans="1:8">
      <c r="A34" s="243">
        <f t="shared" si="1"/>
        <v>8</v>
      </c>
      <c r="B34" s="243"/>
      <c r="C34" s="243" t="s">
        <v>10</v>
      </c>
      <c r="D34" s="244">
        <f t="shared" ca="1" si="2"/>
        <v>44218</v>
      </c>
      <c r="E34" s="245">
        <f t="shared" si="0"/>
        <v>65457.461999999992</v>
      </c>
      <c r="F34" s="245">
        <f t="shared" si="3"/>
        <v>2680.3926488095235</v>
      </c>
      <c r="G34" s="246">
        <f t="shared" si="4"/>
        <v>68137.854648809516</v>
      </c>
      <c r="H34" s="247">
        <f t="shared" si="5"/>
        <v>3611306.2963869055</v>
      </c>
    </row>
    <row r="35" spans="1:8">
      <c r="A35" s="243">
        <f t="shared" si="1"/>
        <v>9</v>
      </c>
      <c r="B35" s="243"/>
      <c r="C35" s="243" t="s">
        <v>11</v>
      </c>
      <c r="D35" s="244">
        <f t="shared" ca="1" si="2"/>
        <v>44249</v>
      </c>
      <c r="E35" s="245">
        <f t="shared" si="0"/>
        <v>65457.461999999992</v>
      </c>
      <c r="F35" s="245">
        <f t="shared" si="3"/>
        <v>2680.3926488095235</v>
      </c>
      <c r="G35" s="246">
        <f t="shared" si="4"/>
        <v>68137.854648809516</v>
      </c>
      <c r="H35" s="247">
        <f t="shared" si="5"/>
        <v>3543168.4417380961</v>
      </c>
    </row>
    <row r="36" spans="1:8">
      <c r="A36" s="243">
        <f t="shared" si="1"/>
        <v>10</v>
      </c>
      <c r="B36" s="243"/>
      <c r="C36" s="243" t="s">
        <v>12</v>
      </c>
      <c r="D36" s="244">
        <f t="shared" ca="1" si="2"/>
        <v>44277</v>
      </c>
      <c r="E36" s="245">
        <f t="shared" si="0"/>
        <v>65457.461999999992</v>
      </c>
      <c r="F36" s="245">
        <f t="shared" si="3"/>
        <v>2680.3926488095235</v>
      </c>
      <c r="G36" s="246">
        <f t="shared" si="4"/>
        <v>68137.854648809516</v>
      </c>
      <c r="H36" s="247">
        <f t="shared" si="5"/>
        <v>3475030.5870892867</v>
      </c>
    </row>
    <row r="37" spans="1:8">
      <c r="A37" s="243">
        <f t="shared" si="1"/>
        <v>11</v>
      </c>
      <c r="B37" s="243"/>
      <c r="C37" s="243" t="s">
        <v>13</v>
      </c>
      <c r="D37" s="244">
        <f t="shared" ca="1" si="2"/>
        <v>44308</v>
      </c>
      <c r="E37" s="245">
        <f t="shared" si="0"/>
        <v>65457.461999999992</v>
      </c>
      <c r="F37" s="245">
        <f t="shared" si="3"/>
        <v>2680.3926488095235</v>
      </c>
      <c r="G37" s="246">
        <f t="shared" si="4"/>
        <v>68137.854648809516</v>
      </c>
      <c r="H37" s="247">
        <f t="shared" si="5"/>
        <v>3406892.7324404772</v>
      </c>
    </row>
    <row r="38" spans="1:8">
      <c r="A38" s="243">
        <f t="shared" si="1"/>
        <v>12</v>
      </c>
      <c r="B38" s="243"/>
      <c r="C38" s="243" t="s">
        <v>14</v>
      </c>
      <c r="D38" s="244">
        <f t="shared" ca="1" si="2"/>
        <v>44338</v>
      </c>
      <c r="E38" s="245">
        <f t="shared" si="0"/>
        <v>65457.461999999992</v>
      </c>
      <c r="F38" s="245">
        <f t="shared" si="3"/>
        <v>2680.3926488095235</v>
      </c>
      <c r="G38" s="246">
        <f t="shared" si="4"/>
        <v>68137.854648809516</v>
      </c>
      <c r="H38" s="247">
        <f t="shared" si="5"/>
        <v>3338754.8777916678</v>
      </c>
    </row>
    <row r="39" spans="1:8">
      <c r="A39" s="243">
        <f t="shared" si="1"/>
        <v>13</v>
      </c>
      <c r="B39" s="243"/>
      <c r="C39" s="243" t="s">
        <v>15</v>
      </c>
      <c r="D39" s="244">
        <f t="shared" ca="1" si="2"/>
        <v>44369</v>
      </c>
      <c r="E39" s="245">
        <f t="shared" si="0"/>
        <v>65457.461999999992</v>
      </c>
      <c r="F39" s="245">
        <f t="shared" si="3"/>
        <v>2680.3926488095235</v>
      </c>
      <c r="G39" s="246">
        <f t="shared" si="4"/>
        <v>68137.854648809516</v>
      </c>
      <c r="H39" s="247">
        <f t="shared" si="5"/>
        <v>3270617.0231428584</v>
      </c>
    </row>
    <row r="40" spans="1:8">
      <c r="A40" s="243">
        <f t="shared" si="1"/>
        <v>14</v>
      </c>
      <c r="B40" s="243"/>
      <c r="C40" s="243" t="s">
        <v>19</v>
      </c>
      <c r="D40" s="244">
        <f t="shared" ca="1" si="2"/>
        <v>44399</v>
      </c>
      <c r="E40" s="245">
        <f t="shared" si="0"/>
        <v>65457.461999999992</v>
      </c>
      <c r="F40" s="245">
        <f t="shared" si="3"/>
        <v>2680.3926488095235</v>
      </c>
      <c r="G40" s="246">
        <f t="shared" si="4"/>
        <v>68137.854648809516</v>
      </c>
      <c r="H40" s="247">
        <f t="shared" si="5"/>
        <v>3202479.168494049</v>
      </c>
    </row>
    <row r="41" spans="1:8">
      <c r="A41" s="243">
        <f t="shared" si="1"/>
        <v>15</v>
      </c>
      <c r="B41" s="243"/>
      <c r="C41" s="243" t="s">
        <v>20</v>
      </c>
      <c r="D41" s="244">
        <f t="shared" ca="1" si="2"/>
        <v>44430</v>
      </c>
      <c r="E41" s="245">
        <f t="shared" si="0"/>
        <v>65457.461999999992</v>
      </c>
      <c r="F41" s="245">
        <f t="shared" si="3"/>
        <v>2680.3926488095235</v>
      </c>
      <c r="G41" s="246">
        <f t="shared" si="4"/>
        <v>68137.854648809516</v>
      </c>
      <c r="H41" s="247">
        <f t="shared" si="5"/>
        <v>3134341.3138452396</v>
      </c>
    </row>
    <row r="42" spans="1:8">
      <c r="A42" s="243">
        <f t="shared" si="1"/>
        <v>16</v>
      </c>
      <c r="B42" s="243"/>
      <c r="C42" s="243" t="s">
        <v>21</v>
      </c>
      <c r="D42" s="244">
        <f t="shared" ca="1" si="2"/>
        <v>44461</v>
      </c>
      <c r="E42" s="245">
        <f t="shared" si="0"/>
        <v>65457.461999999992</v>
      </c>
      <c r="F42" s="245">
        <f t="shared" si="3"/>
        <v>2680.3926488095235</v>
      </c>
      <c r="G42" s="246">
        <f t="shared" si="4"/>
        <v>68137.854648809516</v>
      </c>
      <c r="H42" s="247">
        <f t="shared" si="5"/>
        <v>3066203.4591964302</v>
      </c>
    </row>
    <row r="43" spans="1:8">
      <c r="A43" s="243">
        <f t="shared" si="1"/>
        <v>17</v>
      </c>
      <c r="B43" s="243"/>
      <c r="C43" s="243" t="s">
        <v>22</v>
      </c>
      <c r="D43" s="244">
        <f t="shared" ca="1" si="2"/>
        <v>44491</v>
      </c>
      <c r="E43" s="245">
        <f t="shared" si="0"/>
        <v>65457.461999999992</v>
      </c>
      <c r="F43" s="245">
        <f t="shared" si="3"/>
        <v>2680.3926488095235</v>
      </c>
      <c r="G43" s="246">
        <f t="shared" si="4"/>
        <v>68137.854648809516</v>
      </c>
      <c r="H43" s="247">
        <f t="shared" si="5"/>
        <v>2998065.6045476208</v>
      </c>
    </row>
    <row r="44" spans="1:8">
      <c r="A44" s="243">
        <f t="shared" si="1"/>
        <v>18</v>
      </c>
      <c r="B44" s="243"/>
      <c r="C44" s="243" t="s">
        <v>23</v>
      </c>
      <c r="D44" s="244">
        <f t="shared" ca="1" si="2"/>
        <v>44522</v>
      </c>
      <c r="E44" s="245">
        <f t="shared" si="0"/>
        <v>65457.461999999992</v>
      </c>
      <c r="F44" s="245">
        <f t="shared" si="3"/>
        <v>2680.3926488095235</v>
      </c>
      <c r="G44" s="246">
        <f t="shared" si="4"/>
        <v>68137.854648809516</v>
      </c>
      <c r="H44" s="247">
        <f t="shared" si="5"/>
        <v>2929927.7498988113</v>
      </c>
    </row>
    <row r="45" spans="1:8">
      <c r="A45" s="243">
        <f t="shared" si="1"/>
        <v>19</v>
      </c>
      <c r="B45" s="243"/>
      <c r="C45" s="243" t="s">
        <v>24</v>
      </c>
      <c r="D45" s="244">
        <f t="shared" ca="1" si="2"/>
        <v>44552</v>
      </c>
      <c r="E45" s="245">
        <f t="shared" si="0"/>
        <v>65457.461999999992</v>
      </c>
      <c r="F45" s="245">
        <f t="shared" si="3"/>
        <v>2680.3926488095235</v>
      </c>
      <c r="G45" s="246">
        <f t="shared" si="4"/>
        <v>68137.854648809516</v>
      </c>
      <c r="H45" s="247">
        <f t="shared" si="5"/>
        <v>2861789.8952500019</v>
      </c>
    </row>
    <row r="46" spans="1:8">
      <c r="A46" s="243">
        <f t="shared" si="1"/>
        <v>20</v>
      </c>
      <c r="B46" s="243"/>
      <c r="C46" s="243" t="s">
        <v>25</v>
      </c>
      <c r="D46" s="244">
        <f t="shared" ca="1" si="2"/>
        <v>44583</v>
      </c>
      <c r="E46" s="245">
        <f t="shared" si="0"/>
        <v>65457.461999999992</v>
      </c>
      <c r="F46" s="245">
        <f t="shared" si="3"/>
        <v>2680.3926488095235</v>
      </c>
      <c r="G46" s="246">
        <f t="shared" si="4"/>
        <v>68137.854648809516</v>
      </c>
      <c r="H46" s="247">
        <f t="shared" si="5"/>
        <v>2793652.0406011925</v>
      </c>
    </row>
    <row r="47" spans="1:8">
      <c r="A47" s="243">
        <f t="shared" si="1"/>
        <v>21</v>
      </c>
      <c r="B47" s="243"/>
      <c r="C47" s="243" t="s">
        <v>26</v>
      </c>
      <c r="D47" s="244">
        <f t="shared" ca="1" si="2"/>
        <v>44614</v>
      </c>
      <c r="E47" s="245">
        <f t="shared" si="0"/>
        <v>65457.461999999992</v>
      </c>
      <c r="F47" s="245">
        <f t="shared" si="3"/>
        <v>2680.3926488095235</v>
      </c>
      <c r="G47" s="246">
        <f t="shared" si="4"/>
        <v>68137.854648809516</v>
      </c>
      <c r="H47" s="247">
        <f t="shared" si="5"/>
        <v>2725514.1859523831</v>
      </c>
    </row>
    <row r="48" spans="1:8">
      <c r="A48" s="243">
        <f t="shared" si="1"/>
        <v>22</v>
      </c>
      <c r="B48" s="243"/>
      <c r="C48" s="243" t="s">
        <v>27</v>
      </c>
      <c r="D48" s="244">
        <f t="shared" ca="1" si="2"/>
        <v>44642</v>
      </c>
      <c r="E48" s="245">
        <f t="shared" si="0"/>
        <v>65457.461999999992</v>
      </c>
      <c r="F48" s="245">
        <f t="shared" si="3"/>
        <v>2680.3926488095235</v>
      </c>
      <c r="G48" s="246">
        <f t="shared" si="4"/>
        <v>68137.854648809516</v>
      </c>
      <c r="H48" s="247">
        <f t="shared" si="5"/>
        <v>2657376.3313035737</v>
      </c>
    </row>
    <row r="49" spans="1:8">
      <c r="A49" s="243">
        <f t="shared" si="1"/>
        <v>23</v>
      </c>
      <c r="B49" s="243"/>
      <c r="C49" s="243" t="s">
        <v>28</v>
      </c>
      <c r="D49" s="244">
        <f t="shared" ca="1" si="2"/>
        <v>44673</v>
      </c>
      <c r="E49" s="245">
        <f t="shared" si="0"/>
        <v>65457.461999999992</v>
      </c>
      <c r="F49" s="245">
        <f t="shared" si="3"/>
        <v>2680.3926488095235</v>
      </c>
      <c r="G49" s="246">
        <f t="shared" si="4"/>
        <v>68137.854648809516</v>
      </c>
      <c r="H49" s="247">
        <f t="shared" si="5"/>
        <v>2589238.4766547643</v>
      </c>
    </row>
    <row r="50" spans="1:8">
      <c r="A50" s="243">
        <f t="shared" si="1"/>
        <v>24</v>
      </c>
      <c r="B50" s="243"/>
      <c r="C50" s="243" t="s">
        <v>29</v>
      </c>
      <c r="D50" s="244">
        <f t="shared" ca="1" si="2"/>
        <v>44703</v>
      </c>
      <c r="E50" s="245">
        <f t="shared" si="0"/>
        <v>65457.461999999992</v>
      </c>
      <c r="F50" s="245">
        <f t="shared" si="3"/>
        <v>2680.3926488095235</v>
      </c>
      <c r="G50" s="246">
        <f t="shared" si="4"/>
        <v>68137.854648809516</v>
      </c>
      <c r="H50" s="247">
        <f t="shared" si="5"/>
        <v>2521100.6220059549</v>
      </c>
    </row>
    <row r="51" spans="1:8">
      <c r="A51" s="243">
        <f t="shared" si="1"/>
        <v>25</v>
      </c>
      <c r="B51" s="243"/>
      <c r="C51" s="243" t="s">
        <v>30</v>
      </c>
      <c r="D51" s="244">
        <f t="shared" ca="1" si="2"/>
        <v>44734</v>
      </c>
      <c r="E51" s="245">
        <f t="shared" si="0"/>
        <v>65457.461999999992</v>
      </c>
      <c r="F51" s="245">
        <f t="shared" si="3"/>
        <v>2680.3926488095235</v>
      </c>
      <c r="G51" s="246">
        <f t="shared" si="4"/>
        <v>68137.854648809516</v>
      </c>
      <c r="H51" s="247">
        <f t="shared" si="5"/>
        <v>2452962.7673571454</v>
      </c>
    </row>
    <row r="52" spans="1:8">
      <c r="A52" s="243">
        <f t="shared" si="1"/>
        <v>26</v>
      </c>
      <c r="B52" s="243"/>
      <c r="C52" s="243" t="s">
        <v>48</v>
      </c>
      <c r="D52" s="244">
        <f t="shared" ca="1" si="2"/>
        <v>44764</v>
      </c>
      <c r="E52" s="245">
        <f t="shared" si="0"/>
        <v>65457.461999999992</v>
      </c>
      <c r="F52" s="245">
        <f t="shared" si="3"/>
        <v>2680.3926488095235</v>
      </c>
      <c r="G52" s="246">
        <f t="shared" si="4"/>
        <v>68137.854648809516</v>
      </c>
      <c r="H52" s="247">
        <f t="shared" si="5"/>
        <v>2384824.912708336</v>
      </c>
    </row>
    <row r="53" spans="1:8">
      <c r="A53" s="243">
        <f t="shared" si="1"/>
        <v>27</v>
      </c>
      <c r="B53" s="243"/>
      <c r="C53" s="243" t="s">
        <v>49</v>
      </c>
      <c r="D53" s="244">
        <f t="shared" ca="1" si="2"/>
        <v>44795</v>
      </c>
      <c r="E53" s="245">
        <f t="shared" si="0"/>
        <v>65457.461999999992</v>
      </c>
      <c r="F53" s="245">
        <f t="shared" si="3"/>
        <v>2680.3926488095235</v>
      </c>
      <c r="G53" s="246">
        <f t="shared" si="4"/>
        <v>68137.854648809516</v>
      </c>
      <c r="H53" s="247">
        <f t="shared" si="5"/>
        <v>2316687.0580595266</v>
      </c>
    </row>
    <row r="54" spans="1:8">
      <c r="A54" s="243">
        <f t="shared" si="1"/>
        <v>28</v>
      </c>
      <c r="B54" s="243"/>
      <c r="C54" s="243" t="s">
        <v>50</v>
      </c>
      <c r="D54" s="244">
        <f t="shared" ca="1" si="2"/>
        <v>44826</v>
      </c>
      <c r="E54" s="245">
        <f t="shared" si="0"/>
        <v>65457.461999999992</v>
      </c>
      <c r="F54" s="245">
        <f t="shared" si="3"/>
        <v>2680.3926488095235</v>
      </c>
      <c r="G54" s="246">
        <f t="shared" si="4"/>
        <v>68137.854648809516</v>
      </c>
      <c r="H54" s="247">
        <f t="shared" si="5"/>
        <v>2248549.2034107172</v>
      </c>
    </row>
    <row r="55" spans="1:8">
      <c r="A55" s="243">
        <f t="shared" si="1"/>
        <v>29</v>
      </c>
      <c r="B55" s="243"/>
      <c r="C55" s="243" t="s">
        <v>51</v>
      </c>
      <c r="D55" s="244">
        <f t="shared" ca="1" si="2"/>
        <v>44856</v>
      </c>
      <c r="E55" s="245">
        <f t="shared" si="0"/>
        <v>65457.461999999992</v>
      </c>
      <c r="F55" s="245">
        <f t="shared" si="3"/>
        <v>2680.3926488095235</v>
      </c>
      <c r="G55" s="246">
        <f t="shared" si="4"/>
        <v>68137.854648809516</v>
      </c>
      <c r="H55" s="247">
        <f t="shared" si="5"/>
        <v>2180411.3487619078</v>
      </c>
    </row>
    <row r="56" spans="1:8">
      <c r="A56" s="243">
        <f t="shared" si="1"/>
        <v>30</v>
      </c>
      <c r="B56" s="243"/>
      <c r="C56" s="243" t="s">
        <v>52</v>
      </c>
      <c r="D56" s="244">
        <f t="shared" ca="1" si="2"/>
        <v>44887</v>
      </c>
      <c r="E56" s="245">
        <f t="shared" si="0"/>
        <v>65457.461999999992</v>
      </c>
      <c r="F56" s="245">
        <f t="shared" si="3"/>
        <v>2680.3926488095235</v>
      </c>
      <c r="G56" s="246">
        <f t="shared" si="4"/>
        <v>68137.854648809516</v>
      </c>
      <c r="H56" s="247">
        <f t="shared" si="5"/>
        <v>2112273.4941130984</v>
      </c>
    </row>
    <row r="57" spans="1:8">
      <c r="A57" s="243">
        <f t="shared" si="1"/>
        <v>31</v>
      </c>
      <c r="B57" s="243"/>
      <c r="C57" s="243" t="s">
        <v>53</v>
      </c>
      <c r="D57" s="244">
        <f t="shared" ca="1" si="2"/>
        <v>44917</v>
      </c>
      <c r="E57" s="245">
        <f t="shared" si="0"/>
        <v>65457.461999999992</v>
      </c>
      <c r="F57" s="245">
        <f t="shared" si="3"/>
        <v>2680.3926488095235</v>
      </c>
      <c r="G57" s="246">
        <f t="shared" si="4"/>
        <v>68137.854648809516</v>
      </c>
      <c r="H57" s="247">
        <f t="shared" si="5"/>
        <v>2044135.6394642889</v>
      </c>
    </row>
    <row r="58" spans="1:8">
      <c r="A58" s="243">
        <f t="shared" si="1"/>
        <v>32</v>
      </c>
      <c r="B58" s="243"/>
      <c r="C58" s="243" t="s">
        <v>93</v>
      </c>
      <c r="D58" s="244">
        <f t="shared" ca="1" si="2"/>
        <v>44948</v>
      </c>
      <c r="E58" s="245">
        <f t="shared" si="0"/>
        <v>65457.461999999992</v>
      </c>
      <c r="F58" s="245">
        <f t="shared" si="3"/>
        <v>2680.3926488095235</v>
      </c>
      <c r="G58" s="246">
        <f t="shared" si="4"/>
        <v>68137.854648809516</v>
      </c>
      <c r="H58" s="247">
        <f t="shared" si="5"/>
        <v>1975997.7848154795</v>
      </c>
    </row>
    <row r="59" spans="1:8">
      <c r="A59" s="243">
        <f t="shared" si="1"/>
        <v>33</v>
      </c>
      <c r="B59" s="243"/>
      <c r="C59" s="243" t="s">
        <v>94</v>
      </c>
      <c r="D59" s="244">
        <f t="shared" ca="1" si="2"/>
        <v>44979</v>
      </c>
      <c r="E59" s="245">
        <f t="shared" si="0"/>
        <v>65457.461999999992</v>
      </c>
      <c r="F59" s="245">
        <f t="shared" si="3"/>
        <v>2680.3926488095235</v>
      </c>
      <c r="G59" s="246">
        <f t="shared" si="4"/>
        <v>68137.854648809516</v>
      </c>
      <c r="H59" s="247">
        <f t="shared" si="5"/>
        <v>1907859.9301666701</v>
      </c>
    </row>
    <row r="60" spans="1:8">
      <c r="A60" s="243">
        <f t="shared" si="1"/>
        <v>34</v>
      </c>
      <c r="B60" s="243"/>
      <c r="C60" s="243" t="s">
        <v>95</v>
      </c>
      <c r="D60" s="244">
        <f t="shared" ca="1" si="2"/>
        <v>45007</v>
      </c>
      <c r="E60" s="245">
        <f t="shared" ref="E60:E87" si="6">($D$19*50%)/60</f>
        <v>65457.461999999992</v>
      </c>
      <c r="F60" s="245">
        <f t="shared" si="3"/>
        <v>2680.3926488095235</v>
      </c>
      <c r="G60" s="246">
        <f t="shared" si="4"/>
        <v>68137.854648809516</v>
      </c>
      <c r="H60" s="247">
        <f t="shared" si="5"/>
        <v>1839722.0755178607</v>
      </c>
    </row>
    <row r="61" spans="1:8">
      <c r="A61" s="243">
        <f t="shared" si="1"/>
        <v>35</v>
      </c>
      <c r="B61" s="243"/>
      <c r="C61" s="243" t="s">
        <v>96</v>
      </c>
      <c r="D61" s="244">
        <f t="shared" ca="1" si="2"/>
        <v>45038</v>
      </c>
      <c r="E61" s="245">
        <f t="shared" si="6"/>
        <v>65457.461999999992</v>
      </c>
      <c r="F61" s="245">
        <f t="shared" si="3"/>
        <v>2680.3926488095235</v>
      </c>
      <c r="G61" s="246">
        <f t="shared" si="4"/>
        <v>68137.854648809516</v>
      </c>
      <c r="H61" s="247">
        <f t="shared" si="5"/>
        <v>1771584.2208690513</v>
      </c>
    </row>
    <row r="62" spans="1:8">
      <c r="A62" s="243">
        <f t="shared" si="1"/>
        <v>36</v>
      </c>
      <c r="B62" s="243"/>
      <c r="C62" s="243" t="s">
        <v>97</v>
      </c>
      <c r="D62" s="244">
        <f t="shared" ca="1" si="2"/>
        <v>45068</v>
      </c>
      <c r="E62" s="245">
        <f t="shared" si="6"/>
        <v>65457.461999999992</v>
      </c>
      <c r="F62" s="245">
        <f t="shared" si="3"/>
        <v>2680.3926488095235</v>
      </c>
      <c r="G62" s="246">
        <f t="shared" si="4"/>
        <v>68137.854648809516</v>
      </c>
      <c r="H62" s="247">
        <f t="shared" si="5"/>
        <v>1703446.3662202419</v>
      </c>
    </row>
    <row r="63" spans="1:8">
      <c r="A63" s="243">
        <f t="shared" si="1"/>
        <v>37</v>
      </c>
      <c r="B63" s="243"/>
      <c r="C63" s="243" t="s">
        <v>98</v>
      </c>
      <c r="D63" s="244">
        <f t="shared" ca="1" si="2"/>
        <v>45099</v>
      </c>
      <c r="E63" s="245">
        <f t="shared" si="6"/>
        <v>65457.461999999992</v>
      </c>
      <c r="F63" s="245">
        <f t="shared" si="3"/>
        <v>2680.3926488095235</v>
      </c>
      <c r="G63" s="246">
        <f t="shared" si="4"/>
        <v>68137.854648809516</v>
      </c>
      <c r="H63" s="247">
        <f t="shared" si="5"/>
        <v>1635308.5115714325</v>
      </c>
    </row>
    <row r="64" spans="1:8">
      <c r="A64" s="243">
        <f t="shared" si="1"/>
        <v>38</v>
      </c>
      <c r="B64" s="243"/>
      <c r="C64" s="243" t="s">
        <v>99</v>
      </c>
      <c r="D64" s="244">
        <f t="shared" ca="1" si="2"/>
        <v>45129</v>
      </c>
      <c r="E64" s="245">
        <f t="shared" si="6"/>
        <v>65457.461999999992</v>
      </c>
      <c r="F64" s="245">
        <f t="shared" si="3"/>
        <v>2680.3926488095235</v>
      </c>
      <c r="G64" s="246">
        <f t="shared" si="4"/>
        <v>68137.854648809516</v>
      </c>
      <c r="H64" s="247">
        <f t="shared" si="5"/>
        <v>1567170.656922623</v>
      </c>
    </row>
    <row r="65" spans="1:8">
      <c r="A65" s="243">
        <f t="shared" si="1"/>
        <v>39</v>
      </c>
      <c r="B65" s="243"/>
      <c r="C65" s="243" t="s">
        <v>100</v>
      </c>
      <c r="D65" s="244">
        <f t="shared" ca="1" si="2"/>
        <v>45160</v>
      </c>
      <c r="E65" s="245">
        <f t="shared" si="6"/>
        <v>65457.461999999992</v>
      </c>
      <c r="F65" s="245">
        <f t="shared" si="3"/>
        <v>2680.3926488095235</v>
      </c>
      <c r="G65" s="246">
        <f t="shared" si="4"/>
        <v>68137.854648809516</v>
      </c>
      <c r="H65" s="247">
        <f t="shared" si="5"/>
        <v>1499032.8022738136</v>
      </c>
    </row>
    <row r="66" spans="1:8">
      <c r="A66" s="243">
        <f t="shared" si="1"/>
        <v>40</v>
      </c>
      <c r="B66" s="243"/>
      <c r="C66" s="243" t="s">
        <v>101</v>
      </c>
      <c r="D66" s="244">
        <f t="shared" ca="1" si="2"/>
        <v>45191</v>
      </c>
      <c r="E66" s="245">
        <f t="shared" si="6"/>
        <v>65457.461999999992</v>
      </c>
      <c r="F66" s="245">
        <f t="shared" si="3"/>
        <v>2680.3926488095235</v>
      </c>
      <c r="G66" s="246">
        <f t="shared" si="4"/>
        <v>68137.854648809516</v>
      </c>
      <c r="H66" s="247">
        <f t="shared" si="5"/>
        <v>1430894.9476250042</v>
      </c>
    </row>
    <row r="67" spans="1:8">
      <c r="A67" s="243">
        <f t="shared" si="1"/>
        <v>41</v>
      </c>
      <c r="B67" s="243"/>
      <c r="C67" s="243" t="s">
        <v>102</v>
      </c>
      <c r="D67" s="244">
        <f t="shared" ca="1" si="2"/>
        <v>45221</v>
      </c>
      <c r="E67" s="245">
        <f t="shared" si="6"/>
        <v>65457.461999999992</v>
      </c>
      <c r="F67" s="245">
        <f t="shared" si="3"/>
        <v>2680.3926488095235</v>
      </c>
      <c r="G67" s="246">
        <f t="shared" si="4"/>
        <v>68137.854648809516</v>
      </c>
      <c r="H67" s="247">
        <f t="shared" si="5"/>
        <v>1362757.0929761948</v>
      </c>
    </row>
    <row r="68" spans="1:8">
      <c r="A68" s="243">
        <f t="shared" si="1"/>
        <v>42</v>
      </c>
      <c r="B68" s="243"/>
      <c r="C68" s="243" t="s">
        <v>103</v>
      </c>
      <c r="D68" s="244">
        <f t="shared" ca="1" si="2"/>
        <v>45252</v>
      </c>
      <c r="E68" s="245">
        <f t="shared" si="6"/>
        <v>65457.461999999992</v>
      </c>
      <c r="F68" s="245">
        <f t="shared" si="3"/>
        <v>2680.3926488095235</v>
      </c>
      <c r="G68" s="246">
        <f t="shared" si="4"/>
        <v>68137.854648809516</v>
      </c>
      <c r="H68" s="247">
        <f t="shared" si="5"/>
        <v>1294619.2383273854</v>
      </c>
    </row>
    <row r="69" spans="1:8">
      <c r="A69" s="243">
        <f t="shared" si="1"/>
        <v>43</v>
      </c>
      <c r="B69" s="243"/>
      <c r="C69" s="243" t="s">
        <v>104</v>
      </c>
      <c r="D69" s="244">
        <f t="shared" ca="1" si="2"/>
        <v>45282</v>
      </c>
      <c r="E69" s="245">
        <f t="shared" si="6"/>
        <v>65457.461999999992</v>
      </c>
      <c r="F69" s="245">
        <f t="shared" si="3"/>
        <v>2680.3926488095235</v>
      </c>
      <c r="G69" s="246">
        <f t="shared" si="4"/>
        <v>68137.854648809516</v>
      </c>
      <c r="H69" s="247">
        <f t="shared" si="5"/>
        <v>1226481.383678576</v>
      </c>
    </row>
    <row r="70" spans="1:8">
      <c r="A70" s="243">
        <f t="shared" si="1"/>
        <v>44</v>
      </c>
      <c r="B70" s="243"/>
      <c r="C70" s="243" t="s">
        <v>105</v>
      </c>
      <c r="D70" s="244">
        <f t="shared" ca="1" si="2"/>
        <v>45313</v>
      </c>
      <c r="E70" s="245">
        <f t="shared" si="6"/>
        <v>65457.461999999992</v>
      </c>
      <c r="F70" s="245">
        <f t="shared" si="3"/>
        <v>2680.3926488095235</v>
      </c>
      <c r="G70" s="246">
        <f t="shared" si="4"/>
        <v>68137.854648809516</v>
      </c>
      <c r="H70" s="247">
        <f t="shared" si="5"/>
        <v>1158343.5290297666</v>
      </c>
    </row>
    <row r="71" spans="1:8">
      <c r="A71" s="243">
        <f t="shared" si="1"/>
        <v>45</v>
      </c>
      <c r="B71" s="243"/>
      <c r="C71" s="243" t="s">
        <v>106</v>
      </c>
      <c r="D71" s="244">
        <f t="shared" ca="1" si="2"/>
        <v>45344</v>
      </c>
      <c r="E71" s="245">
        <f t="shared" si="6"/>
        <v>65457.461999999992</v>
      </c>
      <c r="F71" s="245">
        <f t="shared" si="3"/>
        <v>2680.3926488095235</v>
      </c>
      <c r="G71" s="246">
        <f t="shared" si="4"/>
        <v>68137.854648809516</v>
      </c>
      <c r="H71" s="247">
        <f t="shared" si="5"/>
        <v>1090205.6743809571</v>
      </c>
    </row>
    <row r="72" spans="1:8">
      <c r="A72" s="243">
        <f t="shared" si="1"/>
        <v>46</v>
      </c>
      <c r="B72" s="243"/>
      <c r="C72" s="243" t="s">
        <v>107</v>
      </c>
      <c r="D72" s="244">
        <f t="shared" ca="1" si="2"/>
        <v>45373</v>
      </c>
      <c r="E72" s="245">
        <f t="shared" si="6"/>
        <v>65457.461999999992</v>
      </c>
      <c r="F72" s="245">
        <f t="shared" si="3"/>
        <v>2680.3926488095235</v>
      </c>
      <c r="G72" s="246">
        <f t="shared" si="4"/>
        <v>68137.854648809516</v>
      </c>
      <c r="H72" s="247">
        <f t="shared" si="5"/>
        <v>1022067.8197321476</v>
      </c>
    </row>
    <row r="73" spans="1:8">
      <c r="A73" s="243">
        <f t="shared" si="1"/>
        <v>47</v>
      </c>
      <c r="B73" s="243"/>
      <c r="C73" s="243" t="s">
        <v>108</v>
      </c>
      <c r="D73" s="244">
        <f t="shared" ca="1" si="2"/>
        <v>45404</v>
      </c>
      <c r="E73" s="245">
        <f t="shared" si="6"/>
        <v>65457.461999999992</v>
      </c>
      <c r="F73" s="245">
        <f t="shared" si="3"/>
        <v>2680.3926488095235</v>
      </c>
      <c r="G73" s="246">
        <f t="shared" si="4"/>
        <v>68137.854648809516</v>
      </c>
      <c r="H73" s="247">
        <f t="shared" si="5"/>
        <v>953929.96508333809</v>
      </c>
    </row>
    <row r="74" spans="1:8">
      <c r="A74" s="243">
        <f t="shared" si="1"/>
        <v>48</v>
      </c>
      <c r="B74" s="243"/>
      <c r="C74" s="243" t="s">
        <v>109</v>
      </c>
      <c r="D74" s="244">
        <f t="shared" ca="1" si="2"/>
        <v>45434</v>
      </c>
      <c r="E74" s="245">
        <f t="shared" si="6"/>
        <v>65457.461999999992</v>
      </c>
      <c r="F74" s="245">
        <f t="shared" si="3"/>
        <v>2680.3926488095235</v>
      </c>
      <c r="G74" s="246">
        <f t="shared" si="4"/>
        <v>68137.854648809516</v>
      </c>
      <c r="H74" s="247">
        <f t="shared" si="5"/>
        <v>885792.11043452856</v>
      </c>
    </row>
    <row r="75" spans="1:8">
      <c r="A75" s="243">
        <f t="shared" si="1"/>
        <v>49</v>
      </c>
      <c r="B75" s="243"/>
      <c r="C75" s="243" t="s">
        <v>110</v>
      </c>
      <c r="D75" s="244">
        <f t="shared" ca="1" si="2"/>
        <v>45465</v>
      </c>
      <c r="E75" s="245">
        <f t="shared" si="6"/>
        <v>65457.461999999992</v>
      </c>
      <c r="F75" s="245">
        <f t="shared" si="3"/>
        <v>2680.3926488095235</v>
      </c>
      <c r="G75" s="246">
        <f t="shared" si="4"/>
        <v>68137.854648809516</v>
      </c>
      <c r="H75" s="247">
        <f t="shared" si="5"/>
        <v>817654.25578571903</v>
      </c>
    </row>
    <row r="76" spans="1:8">
      <c r="A76" s="243">
        <f t="shared" si="1"/>
        <v>50</v>
      </c>
      <c r="B76" s="243"/>
      <c r="C76" s="243" t="s">
        <v>111</v>
      </c>
      <c r="D76" s="244">
        <f t="shared" ca="1" si="2"/>
        <v>45495</v>
      </c>
      <c r="E76" s="245">
        <f t="shared" si="6"/>
        <v>65457.461999999992</v>
      </c>
      <c r="F76" s="245">
        <f t="shared" si="3"/>
        <v>2680.3926488095235</v>
      </c>
      <c r="G76" s="246">
        <f t="shared" si="4"/>
        <v>68137.854648809516</v>
      </c>
      <c r="H76" s="247">
        <f t="shared" si="5"/>
        <v>749516.4011369095</v>
      </c>
    </row>
    <row r="77" spans="1:8">
      <c r="A77" s="243">
        <f t="shared" si="1"/>
        <v>51</v>
      </c>
      <c r="B77" s="243"/>
      <c r="C77" s="243" t="s">
        <v>112</v>
      </c>
      <c r="D77" s="244">
        <f t="shared" ca="1" si="2"/>
        <v>45526</v>
      </c>
      <c r="E77" s="245">
        <f t="shared" si="6"/>
        <v>65457.461999999992</v>
      </c>
      <c r="F77" s="245">
        <f t="shared" si="3"/>
        <v>2680.3926488095235</v>
      </c>
      <c r="G77" s="246">
        <f t="shared" si="4"/>
        <v>68137.854648809516</v>
      </c>
      <c r="H77" s="247">
        <f t="shared" si="5"/>
        <v>681378.54648809996</v>
      </c>
    </row>
    <row r="78" spans="1:8">
      <c r="A78" s="243">
        <f t="shared" si="1"/>
        <v>52</v>
      </c>
      <c r="B78" s="243"/>
      <c r="C78" s="243" t="s">
        <v>113</v>
      </c>
      <c r="D78" s="244">
        <f t="shared" ca="1" si="2"/>
        <v>45557</v>
      </c>
      <c r="E78" s="245">
        <f t="shared" si="6"/>
        <v>65457.461999999992</v>
      </c>
      <c r="F78" s="245">
        <f t="shared" si="3"/>
        <v>2680.3926488095235</v>
      </c>
      <c r="G78" s="246">
        <f t="shared" ref="G78:G86" si="7">+SUM(E78:F78)</f>
        <v>68137.854648809516</v>
      </c>
      <c r="H78" s="247">
        <f t="shared" ref="H78:H86" si="8">H77-G78</f>
        <v>613240.69183929043</v>
      </c>
    </row>
    <row r="79" spans="1:8">
      <c r="A79" s="243">
        <f t="shared" si="1"/>
        <v>53</v>
      </c>
      <c r="B79" s="243"/>
      <c r="C79" s="243" t="s">
        <v>114</v>
      </c>
      <c r="D79" s="244">
        <f t="shared" ca="1" si="2"/>
        <v>45587</v>
      </c>
      <c r="E79" s="245">
        <f t="shared" si="6"/>
        <v>65457.461999999992</v>
      </c>
      <c r="F79" s="245">
        <f t="shared" si="3"/>
        <v>2680.3926488095235</v>
      </c>
      <c r="G79" s="246">
        <f t="shared" si="7"/>
        <v>68137.854648809516</v>
      </c>
      <c r="H79" s="247">
        <f t="shared" si="8"/>
        <v>545102.8371904809</v>
      </c>
    </row>
    <row r="80" spans="1:8">
      <c r="A80" s="243">
        <f t="shared" si="1"/>
        <v>54</v>
      </c>
      <c r="B80" s="243"/>
      <c r="C80" s="243" t="s">
        <v>115</v>
      </c>
      <c r="D80" s="244">
        <f t="shared" ca="1" si="2"/>
        <v>45618</v>
      </c>
      <c r="E80" s="245">
        <f t="shared" si="6"/>
        <v>65457.461999999992</v>
      </c>
      <c r="F80" s="245">
        <f t="shared" si="3"/>
        <v>2680.3926488095235</v>
      </c>
      <c r="G80" s="246">
        <f t="shared" si="7"/>
        <v>68137.854648809516</v>
      </c>
      <c r="H80" s="247">
        <f t="shared" si="8"/>
        <v>476964.98254167137</v>
      </c>
    </row>
    <row r="81" spans="1:8">
      <c r="A81" s="243">
        <f t="shared" si="1"/>
        <v>55</v>
      </c>
      <c r="B81" s="243"/>
      <c r="C81" s="243" t="s">
        <v>116</v>
      </c>
      <c r="D81" s="244">
        <f t="shared" ca="1" si="2"/>
        <v>45648</v>
      </c>
      <c r="E81" s="245">
        <f t="shared" si="6"/>
        <v>65457.461999999992</v>
      </c>
      <c r="F81" s="245">
        <f t="shared" si="3"/>
        <v>2680.3926488095235</v>
      </c>
      <c r="G81" s="246">
        <f t="shared" si="7"/>
        <v>68137.854648809516</v>
      </c>
      <c r="H81" s="247">
        <f t="shared" si="8"/>
        <v>408827.12789286184</v>
      </c>
    </row>
    <row r="82" spans="1:8">
      <c r="A82" s="243">
        <f t="shared" si="1"/>
        <v>56</v>
      </c>
      <c r="B82" s="243"/>
      <c r="C82" s="243" t="s">
        <v>117</v>
      </c>
      <c r="D82" s="244">
        <f t="shared" ca="1" si="2"/>
        <v>45679</v>
      </c>
      <c r="E82" s="245">
        <f t="shared" si="6"/>
        <v>65457.461999999992</v>
      </c>
      <c r="F82" s="245">
        <f t="shared" si="3"/>
        <v>2680.3926488095235</v>
      </c>
      <c r="G82" s="246">
        <f t="shared" si="7"/>
        <v>68137.854648809516</v>
      </c>
      <c r="H82" s="247">
        <f t="shared" si="8"/>
        <v>340689.27324405231</v>
      </c>
    </row>
    <row r="83" spans="1:8">
      <c r="A83" s="243">
        <f t="shared" si="1"/>
        <v>57</v>
      </c>
      <c r="B83" s="243"/>
      <c r="C83" s="243" t="s">
        <v>118</v>
      </c>
      <c r="D83" s="244">
        <f t="shared" ca="1" si="2"/>
        <v>45710</v>
      </c>
      <c r="E83" s="245">
        <f t="shared" si="6"/>
        <v>65457.461999999992</v>
      </c>
      <c r="F83" s="245">
        <f t="shared" si="3"/>
        <v>2680.3926488095235</v>
      </c>
      <c r="G83" s="246">
        <f t="shared" si="7"/>
        <v>68137.854648809516</v>
      </c>
      <c r="H83" s="247">
        <f t="shared" si="8"/>
        <v>272551.41859524278</v>
      </c>
    </row>
    <row r="84" spans="1:8">
      <c r="A84" s="243">
        <f t="shared" si="1"/>
        <v>58</v>
      </c>
      <c r="B84" s="243"/>
      <c r="C84" s="243" t="s">
        <v>119</v>
      </c>
      <c r="D84" s="244">
        <f t="shared" ca="1" si="2"/>
        <v>45738</v>
      </c>
      <c r="E84" s="245">
        <f t="shared" si="6"/>
        <v>65457.461999999992</v>
      </c>
      <c r="F84" s="245">
        <f t="shared" si="3"/>
        <v>2680.3926488095235</v>
      </c>
      <c r="G84" s="246">
        <f t="shared" si="7"/>
        <v>68137.854648809516</v>
      </c>
      <c r="H84" s="247">
        <f t="shared" si="8"/>
        <v>204413.56394643325</v>
      </c>
    </row>
    <row r="85" spans="1:8">
      <c r="A85" s="243">
        <f t="shared" si="1"/>
        <v>59</v>
      </c>
      <c r="B85" s="243"/>
      <c r="C85" s="243" t="s">
        <v>120</v>
      </c>
      <c r="D85" s="244">
        <f t="shared" ca="1" si="2"/>
        <v>45769</v>
      </c>
      <c r="E85" s="245">
        <f t="shared" si="6"/>
        <v>65457.461999999992</v>
      </c>
      <c r="F85" s="245">
        <f t="shared" si="3"/>
        <v>2680.3926488095235</v>
      </c>
      <c r="G85" s="246">
        <f t="shared" si="7"/>
        <v>68137.854648809516</v>
      </c>
      <c r="H85" s="247">
        <f t="shared" si="8"/>
        <v>136275.70929762372</v>
      </c>
    </row>
    <row r="86" spans="1:8">
      <c r="A86" s="243">
        <f t="shared" si="1"/>
        <v>60</v>
      </c>
      <c r="B86" s="243"/>
      <c r="C86" s="243" t="s">
        <v>121</v>
      </c>
      <c r="D86" s="244">
        <f t="shared" ca="1" si="2"/>
        <v>45799</v>
      </c>
      <c r="E86" s="245">
        <f t="shared" si="6"/>
        <v>65457.461999999992</v>
      </c>
      <c r="F86" s="245">
        <f t="shared" si="3"/>
        <v>2680.3926488095235</v>
      </c>
      <c r="G86" s="246">
        <f t="shared" si="7"/>
        <v>68137.854648809516</v>
      </c>
      <c r="H86" s="247">
        <f t="shared" si="8"/>
        <v>68137.854648814202</v>
      </c>
    </row>
    <row r="87" spans="1:8">
      <c r="A87" s="243">
        <f t="shared" ref="A87" si="9">+A86+1</f>
        <v>61</v>
      </c>
      <c r="B87" s="243"/>
      <c r="C87" s="243" t="s">
        <v>122</v>
      </c>
      <c r="D87" s="244">
        <f t="shared" ca="1" si="2"/>
        <v>45830</v>
      </c>
      <c r="E87" s="245">
        <f t="shared" si="6"/>
        <v>65457.461999999992</v>
      </c>
      <c r="F87" s="245">
        <f t="shared" si="3"/>
        <v>2680.3926488095235</v>
      </c>
      <c r="G87" s="246">
        <f t="shared" ref="G87" si="10">+SUM(E87:F87)</f>
        <v>68137.854648809516</v>
      </c>
      <c r="H87" s="247">
        <f t="shared" ref="H87" si="11">H86-G87</f>
        <v>4.6857167035341263E-9</v>
      </c>
    </row>
    <row r="88" spans="1:8">
      <c r="A88" s="389" t="s">
        <v>16</v>
      </c>
      <c r="B88" s="389"/>
      <c r="C88" s="389"/>
      <c r="D88" s="389"/>
      <c r="E88" s="249">
        <f>SUM(E25:E87)</f>
        <v>7854895.4400000153</v>
      </c>
      <c r="F88" s="249">
        <f>SUM(F25:F87)</f>
        <v>321647.11785714328</v>
      </c>
      <c r="G88" s="249">
        <f>SUM(G25:G87)</f>
        <v>8176542.5578571633</v>
      </c>
      <c r="H88" s="279"/>
    </row>
    <row r="89" spans="1:8" s="197" customFormat="1">
      <c r="C89" s="206"/>
      <c r="D89" s="207"/>
      <c r="E89" s="208"/>
      <c r="F89" s="208"/>
      <c r="G89" s="208"/>
    </row>
    <row r="90" spans="1:8" s="197" customFormat="1">
      <c r="A90" s="374" t="s">
        <v>313</v>
      </c>
      <c r="B90" s="374"/>
      <c r="C90" s="374"/>
      <c r="D90" s="374"/>
      <c r="E90" s="374"/>
      <c r="F90" s="374"/>
      <c r="G90" s="374"/>
      <c r="H90" s="374"/>
    </row>
    <row r="91" spans="1:8" s="197" customFormat="1" ht="29.25" customHeight="1">
      <c r="A91" s="388" t="s">
        <v>314</v>
      </c>
      <c r="B91" s="388"/>
      <c r="C91" s="388"/>
      <c r="D91" s="388"/>
      <c r="E91" s="388"/>
      <c r="F91" s="388"/>
      <c r="G91" s="388"/>
      <c r="H91" s="388"/>
    </row>
    <row r="92" spans="1:8" s="197" customFormat="1" ht="16.5" customHeight="1">
      <c r="A92" s="374" t="s">
        <v>315</v>
      </c>
      <c r="B92" s="374"/>
      <c r="C92" s="374"/>
      <c r="D92" s="374"/>
      <c r="E92" s="374"/>
      <c r="F92" s="374"/>
      <c r="G92" s="374"/>
      <c r="H92" s="374"/>
    </row>
    <row r="93" spans="1:8" s="197" customFormat="1" ht="16.5" customHeight="1">
      <c r="A93" s="374" t="s">
        <v>316</v>
      </c>
      <c r="B93" s="374"/>
      <c r="C93" s="374"/>
      <c r="D93" s="374"/>
      <c r="E93" s="374"/>
      <c r="F93" s="374"/>
      <c r="G93" s="374"/>
      <c r="H93" s="374"/>
    </row>
    <row r="94" spans="1:8" s="197" customFormat="1" ht="16.5" customHeight="1">
      <c r="A94" s="374" t="s">
        <v>317</v>
      </c>
      <c r="B94" s="374"/>
      <c r="C94" s="374"/>
      <c r="D94" s="374"/>
      <c r="E94" s="374"/>
      <c r="F94" s="374"/>
      <c r="G94" s="374"/>
      <c r="H94" s="374"/>
    </row>
    <row r="95" spans="1:8" s="197" customFormat="1" ht="118.5" customHeight="1">
      <c r="A95" s="374" t="s">
        <v>318</v>
      </c>
      <c r="B95" s="374"/>
      <c r="C95" s="374"/>
      <c r="D95" s="374"/>
      <c r="E95" s="374"/>
      <c r="F95" s="374"/>
      <c r="G95" s="374"/>
      <c r="H95" s="374"/>
    </row>
    <row r="96" spans="1:8" s="197" customFormat="1" ht="42" customHeight="1">
      <c r="A96" s="374" t="s">
        <v>319</v>
      </c>
      <c r="B96" s="374"/>
      <c r="C96" s="374"/>
      <c r="D96" s="374"/>
      <c r="E96" s="374"/>
      <c r="F96" s="374"/>
      <c r="G96" s="374"/>
      <c r="H96" s="374"/>
    </row>
    <row r="97" spans="1:8" s="197" customFormat="1" ht="29.25" customHeight="1">
      <c r="A97" s="374" t="s">
        <v>320</v>
      </c>
      <c r="B97" s="374"/>
      <c r="C97" s="374"/>
      <c r="D97" s="374"/>
      <c r="E97" s="374"/>
      <c r="F97" s="374"/>
      <c r="G97" s="374"/>
      <c r="H97" s="374"/>
    </row>
    <row r="98" spans="1:8" s="197" customFormat="1">
      <c r="A98" s="374"/>
      <c r="B98" s="374"/>
      <c r="C98" s="374"/>
      <c r="D98" s="374"/>
      <c r="E98" s="374"/>
      <c r="F98" s="374"/>
      <c r="G98" s="374"/>
      <c r="H98" s="374"/>
    </row>
    <row r="99" spans="1:8" s="197" customFormat="1">
      <c r="A99" s="197" t="s">
        <v>17</v>
      </c>
      <c r="D99" s="209"/>
      <c r="G99" s="198"/>
    </row>
    <row r="100" spans="1:8" s="197" customFormat="1">
      <c r="D100" s="209"/>
      <c r="G100" s="198"/>
    </row>
    <row r="101" spans="1:8" s="197" customFormat="1" ht="15" customHeight="1">
      <c r="A101" s="210"/>
      <c r="B101" s="210"/>
      <c r="C101" s="210"/>
      <c r="D101" s="209"/>
      <c r="E101" s="210"/>
      <c r="F101" s="210"/>
      <c r="G101" s="211"/>
    </row>
    <row r="102" spans="1:8" s="197" customFormat="1">
      <c r="A102" s="375" t="s">
        <v>293</v>
      </c>
      <c r="B102" s="375"/>
      <c r="C102" s="375"/>
      <c r="D102" s="209"/>
      <c r="E102" s="375" t="s">
        <v>18</v>
      </c>
      <c r="F102" s="375"/>
      <c r="G102" s="375"/>
    </row>
    <row r="103" spans="1:8">
      <c r="G103" s="39"/>
    </row>
  </sheetData>
  <sheetProtection password="CAF1" sheet="1" selectLockedCells="1"/>
  <sortState ref="A19:E88">
    <sortCondition ref="A51:A80" customList="1,2,3,4,5"/>
  </sortState>
  <mergeCells count="20">
    <mergeCell ref="A90:H90"/>
    <mergeCell ref="A91:H91"/>
    <mergeCell ref="A92:H92"/>
    <mergeCell ref="A93:H93"/>
    <mergeCell ref="A94:H94"/>
    <mergeCell ref="H1:H2"/>
    <mergeCell ref="A24:G24"/>
    <mergeCell ref="A88:D88"/>
    <mergeCell ref="C5:H5"/>
    <mergeCell ref="C6:H6"/>
    <mergeCell ref="C7:H7"/>
    <mergeCell ref="C8:H8"/>
    <mergeCell ref="C9:H9"/>
    <mergeCell ref="C10:H10"/>
    <mergeCell ref="A95:H95"/>
    <mergeCell ref="A96:H96"/>
    <mergeCell ref="A97:H97"/>
    <mergeCell ref="A98:H98"/>
    <mergeCell ref="A102:C102"/>
    <mergeCell ref="E102:G102"/>
  </mergeCells>
  <hyperlinks>
    <hyperlink ref="C1" location="'DATA SHEET'!A1" display="HIGHLANDS PRIME, INC." xr:uid="{00000000-0004-0000-1400-000000000000}"/>
    <hyperlink ref="J3" location="'DATA SHEET'!A1" display="Return to Data Sheet" xr:uid="{00000000-0004-0000-1400-000001000000}"/>
  </hyperlinks>
  <printOptions horizontalCentered="1"/>
  <pageMargins left="0.7" right="0.7" top="0.75" bottom="0.5" header="0.3" footer="0.3"/>
  <pageSetup paperSize="258" scale="90" orientation="portrait" r:id="rId1"/>
  <headerFooter>
    <oddFooter>&amp;L&amp;8A project of HIGHLANDS PRIME, INC. Horizon Terraces HLURB License To Sell No. 032272&amp;R&amp;8Page &amp;P of &amp;N</oddFooter>
  </headerFooter>
  <ignoredErrors>
    <ignoredError sqref="D16" unlockedFormula="1"/>
    <ignoredError sqref="D20"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7941D"/>
    <pageSetUpPr fitToPage="1"/>
  </sheetPr>
  <dimension ref="A1:L103"/>
  <sheetViews>
    <sheetView showGridLines="0" topLeftCell="A4" zoomScaleNormal="100" workbookViewId="0">
      <selection activeCell="C15" sqref="C15"/>
    </sheetView>
  </sheetViews>
  <sheetFormatPr baseColWidth="10" defaultColWidth="0" defaultRowHeight="15" zeroHeight="1"/>
  <cols>
    <col min="1" max="1" width="11.83203125" style="39" customWidth="1"/>
    <col min="2" max="2" width="10.83203125" style="39" customWidth="1"/>
    <col min="3" max="3" width="23.83203125" style="39" customWidth="1"/>
    <col min="4" max="4" width="13.5" style="40" bestFit="1" customWidth="1"/>
    <col min="5" max="5" width="13.5" style="39" bestFit="1" customWidth="1"/>
    <col min="6" max="6" width="14.83203125" style="39" bestFit="1" customWidth="1"/>
    <col min="7" max="7" width="13.5" style="39" bestFit="1" customWidth="1"/>
    <col min="8" max="8" width="16.5" style="39" bestFit="1" customWidth="1"/>
    <col min="9" max="9" width="9.1640625" style="39" customWidth="1"/>
    <col min="10" max="12" width="9.1640625" style="280" customWidth="1"/>
    <col min="13" max="16384" width="9.1640625" style="280" hidden="1"/>
  </cols>
  <sheetData>
    <row r="1" spans="1:11">
      <c r="C1" s="212" t="s">
        <v>35</v>
      </c>
      <c r="H1" s="376" t="s">
        <v>66</v>
      </c>
    </row>
    <row r="2" spans="1:11">
      <c r="C2" s="41" t="s">
        <v>207</v>
      </c>
      <c r="H2" s="376"/>
    </row>
    <row r="3" spans="1:11">
      <c r="C3" s="41" t="s">
        <v>36</v>
      </c>
      <c r="J3" s="251" t="s">
        <v>215</v>
      </c>
    </row>
    <row r="4" spans="1:11"/>
    <row r="5" spans="1:11">
      <c r="A5" s="213" t="s">
        <v>0</v>
      </c>
      <c r="B5" s="214"/>
      <c r="C5" s="377" t="str">
        <f>'DATA SHEET'!C9</f>
        <v xml:space="preserve"> </v>
      </c>
      <c r="D5" s="377"/>
      <c r="E5" s="377"/>
      <c r="F5" s="377"/>
      <c r="G5" s="377"/>
      <c r="H5" s="378"/>
    </row>
    <row r="6" spans="1:11">
      <c r="A6" s="215" t="s">
        <v>31</v>
      </c>
      <c r="B6" s="216"/>
      <c r="C6" s="379" t="str">
        <f>VLOOKUP('DATA SHEET'!$C$10,' Glenview PL'!C6:G41,1,FALSE)</f>
        <v>GB</v>
      </c>
      <c r="D6" s="379"/>
      <c r="E6" s="379"/>
      <c r="F6" s="379"/>
      <c r="G6" s="379"/>
      <c r="H6" s="390"/>
    </row>
    <row r="7" spans="1:11">
      <c r="A7" s="215" t="s">
        <v>37</v>
      </c>
      <c r="B7" s="216"/>
      <c r="C7" s="380">
        <f>VLOOKUP('DATA SHEET'!C10,' Glenview PL'!C6:G41,3,0)</f>
        <v>67.900000000000006</v>
      </c>
      <c r="D7" s="380"/>
      <c r="E7" s="380"/>
      <c r="F7" s="380"/>
      <c r="G7" s="380"/>
      <c r="H7" s="381"/>
    </row>
    <row r="8" spans="1:11">
      <c r="A8" s="215" t="s">
        <v>194</v>
      </c>
      <c r="B8" s="216"/>
      <c r="C8" s="391" t="str">
        <f>VLOOKUP('DATA SHEET'!C10,' Glenview PL'!C6:G41,2,0)</f>
        <v>1-Bedroom Terrace Suite</v>
      </c>
      <c r="D8" s="391"/>
      <c r="E8" s="391"/>
      <c r="F8" s="391"/>
      <c r="G8" s="391"/>
      <c r="H8" s="392"/>
    </row>
    <row r="9" spans="1:11">
      <c r="A9" s="222" t="s">
        <v>294</v>
      </c>
      <c r="B9" s="223"/>
      <c r="C9" s="382">
        <f>VLOOKUP('DATA SHEET'!C10,' Glenview PL'!C6:G41,4,0)</f>
        <v>8851760</v>
      </c>
      <c r="D9" s="382"/>
      <c r="E9" s="382"/>
      <c r="F9" s="382"/>
      <c r="G9" s="382"/>
      <c r="H9" s="383"/>
    </row>
    <row r="10" spans="1:11">
      <c r="A10" s="224" t="s">
        <v>33</v>
      </c>
      <c r="B10" s="225"/>
      <c r="C10" s="393" t="str">
        <f>'DATA SHEET'!B20</f>
        <v>20% DP, 80% over 60 months</v>
      </c>
      <c r="D10" s="393"/>
      <c r="E10" s="393"/>
      <c r="F10" s="393"/>
      <c r="G10" s="393"/>
      <c r="H10" s="394"/>
    </row>
    <row r="11" spans="1:11"/>
    <row r="12" spans="1:11">
      <c r="A12" s="41" t="s">
        <v>55</v>
      </c>
      <c r="B12" s="41"/>
    </row>
    <row r="13" spans="1:11">
      <c r="A13" s="197" t="s">
        <v>307</v>
      </c>
      <c r="D13" s="42">
        <f>(C9-650000)</f>
        <v>8201760</v>
      </c>
      <c r="E13" s="226" t="str">
        <f>LEFT(C8,9)</f>
        <v>1-Bedroom</v>
      </c>
      <c r="F13" s="226"/>
      <c r="G13" s="226"/>
    </row>
    <row r="14" spans="1:11" s="39" customFormat="1" ht="14">
      <c r="A14" s="227" t="s">
        <v>72</v>
      </c>
      <c r="B14" s="228"/>
      <c r="C14" s="306">
        <v>0.02</v>
      </c>
      <c r="D14" s="229">
        <f>IF(C14&lt;=2%,D13*C14,"BEYOND MAX")</f>
        <v>164035.20000000001</v>
      </c>
      <c r="E14" s="40"/>
      <c r="F14" s="40"/>
      <c r="G14" s="40"/>
      <c r="H14" s="40"/>
      <c r="I14" s="277"/>
      <c r="J14" s="40"/>
      <c r="K14" s="40"/>
    </row>
    <row r="15" spans="1:11" s="39" customFormat="1" ht="14">
      <c r="A15" s="227" t="s">
        <v>325</v>
      </c>
      <c r="B15" s="228"/>
      <c r="C15" s="306">
        <v>0.02</v>
      </c>
      <c r="D15" s="229">
        <f>IF(C15&lt;=2%,((D13-D14)*C15),"BEYOND MAX DISC.")</f>
        <v>160754.49600000001</v>
      </c>
      <c r="E15" s="40"/>
      <c r="F15" s="40"/>
      <c r="G15" s="40"/>
      <c r="H15" s="40"/>
      <c r="I15" s="277"/>
      <c r="J15" s="40"/>
      <c r="K15" s="40"/>
    </row>
    <row r="16" spans="1:11" s="39" customFormat="1" ht="14">
      <c r="A16" s="227" t="s">
        <v>326</v>
      </c>
      <c r="B16" s="228"/>
      <c r="D16" s="87">
        <f>VLOOKUP('DATA SHEET'!C10,' Glenview PL'!$C$6:$G$41,5,0)</f>
        <v>230000</v>
      </c>
      <c r="I16" s="41"/>
    </row>
    <row r="17" spans="1:11" s="39" customFormat="1" ht="14">
      <c r="A17" s="197" t="s">
        <v>308</v>
      </c>
      <c r="B17" s="197"/>
      <c r="C17" s="197"/>
      <c r="D17" s="230">
        <f>D13-SUM(D14:D16)</f>
        <v>7646970.3039999995</v>
      </c>
      <c r="E17" s="231"/>
      <c r="F17" s="231"/>
      <c r="G17" s="231"/>
      <c r="H17" s="231"/>
      <c r="I17" s="278"/>
      <c r="J17" s="231"/>
      <c r="K17" s="231"/>
    </row>
    <row r="18" spans="1:11">
      <c r="A18" s="232" t="s">
        <v>214</v>
      </c>
      <c r="B18" s="228"/>
      <c r="C18" s="196"/>
      <c r="D18" s="233">
        <v>650000</v>
      </c>
      <c r="E18" s="231"/>
      <c r="F18" s="231"/>
      <c r="G18" s="278"/>
      <c r="H18" s="281"/>
      <c r="I18" s="282"/>
    </row>
    <row r="19" spans="1:11" s="39" customFormat="1" ht="14">
      <c r="A19" s="234" t="s">
        <v>309</v>
      </c>
      <c r="B19" s="198"/>
      <c r="C19" s="198"/>
      <c r="D19" s="235">
        <f>+SUM(D17:D18)</f>
        <v>8296970.3039999995</v>
      </c>
      <c r="E19" s="231"/>
      <c r="F19" s="231"/>
      <c r="G19" s="231"/>
      <c r="H19" s="231"/>
      <c r="I19" s="278"/>
      <c r="J19" s="231"/>
      <c r="K19" s="231"/>
    </row>
    <row r="20" spans="1:11" s="39" customFormat="1" ht="14">
      <c r="A20" s="236" t="s">
        <v>285</v>
      </c>
      <c r="B20" s="236"/>
      <c r="C20" s="199">
        <v>0.05</v>
      </c>
      <c r="D20" s="237">
        <f>(D17/1.12)*C20</f>
        <v>341382.60285714286</v>
      </c>
      <c r="E20" s="231"/>
      <c r="F20" s="231"/>
      <c r="G20" s="231"/>
      <c r="H20" s="231"/>
      <c r="I20" s="278"/>
      <c r="J20" s="231"/>
      <c r="K20" s="231"/>
    </row>
    <row r="21" spans="1:11" s="39" customFormat="1" thickBot="1">
      <c r="A21" s="198" t="s">
        <v>58</v>
      </c>
      <c r="B21" s="198"/>
      <c r="C21" s="198"/>
      <c r="D21" s="238">
        <f>+SUM(D19:D20)</f>
        <v>8638352.9068571422</v>
      </c>
      <c r="E21" s="40"/>
      <c r="F21" s="40"/>
      <c r="G21" s="40"/>
      <c r="H21" s="40"/>
      <c r="I21" s="277"/>
      <c r="J21" s="40"/>
      <c r="K21" s="40"/>
    </row>
    <row r="22" spans="1:11" ht="16" thickTop="1"/>
    <row r="23" spans="1:11">
      <c r="A23" s="239" t="s">
        <v>34</v>
      </c>
      <c r="B23" s="239" t="s">
        <v>286</v>
      </c>
      <c r="C23" s="239" t="s">
        <v>2</v>
      </c>
      <c r="D23" s="239" t="s">
        <v>287</v>
      </c>
      <c r="E23" s="239" t="s">
        <v>310</v>
      </c>
      <c r="F23" s="240" t="s">
        <v>289</v>
      </c>
      <c r="G23" s="241" t="s">
        <v>290</v>
      </c>
      <c r="H23" s="239" t="s">
        <v>291</v>
      </c>
    </row>
    <row r="24" spans="1:11">
      <c r="A24" s="385" t="s">
        <v>292</v>
      </c>
      <c r="B24" s="385"/>
      <c r="C24" s="385"/>
      <c r="D24" s="385"/>
      <c r="E24" s="385"/>
      <c r="F24" s="385"/>
      <c r="G24" s="385"/>
      <c r="H24" s="242">
        <f>+D21</f>
        <v>8638352.9068571422</v>
      </c>
    </row>
    <row r="25" spans="1:11">
      <c r="A25" s="243">
        <v>0</v>
      </c>
      <c r="B25" s="243"/>
      <c r="C25" s="243" t="s">
        <v>38</v>
      </c>
      <c r="D25" s="244">
        <f ca="1">'DATA SHEET'!C8</f>
        <v>43973</v>
      </c>
      <c r="E25" s="245">
        <f>IF(E13="1-Bedroom",50000,100000)</f>
        <v>50000</v>
      </c>
      <c r="F25" s="245"/>
      <c r="G25" s="245">
        <f>+SUM(E25:F25)</f>
        <v>50000</v>
      </c>
      <c r="H25" s="247">
        <f>D21-E25</f>
        <v>8588352.9068571422</v>
      </c>
    </row>
    <row r="26" spans="1:11">
      <c r="A26" s="243">
        <v>1</v>
      </c>
      <c r="B26" s="248">
        <v>0.2</v>
      </c>
      <c r="C26" s="243" t="s">
        <v>217</v>
      </c>
      <c r="D26" s="244">
        <f ca="1">EDATE(D25,1)</f>
        <v>44004</v>
      </c>
      <c r="E26" s="245">
        <f>(D19*20%)-E25</f>
        <v>1609394.0608000001</v>
      </c>
      <c r="F26" s="245">
        <f>(D20*20%)</f>
        <v>68276.520571428569</v>
      </c>
      <c r="G26" s="245">
        <f>+SUM(E26:F26)</f>
        <v>1677670.5813714287</v>
      </c>
      <c r="H26" s="247">
        <f>H25-G26</f>
        <v>6910682.3254857138</v>
      </c>
    </row>
    <row r="27" spans="1:11">
      <c r="A27" s="243"/>
      <c r="B27" s="248">
        <v>0.8</v>
      </c>
      <c r="C27" s="243" t="s">
        <v>296</v>
      </c>
      <c r="D27" s="244"/>
      <c r="E27" s="245"/>
      <c r="F27" s="245"/>
      <c r="G27" s="245"/>
      <c r="H27" s="247"/>
    </row>
    <row r="28" spans="1:11">
      <c r="A28" s="243">
        <v>2</v>
      </c>
      <c r="B28" s="243"/>
      <c r="C28" s="243" t="s">
        <v>4</v>
      </c>
      <c r="D28" s="244">
        <f ca="1">EDATE(D26,1)</f>
        <v>44034</v>
      </c>
      <c r="E28" s="245">
        <f>($D$19*80%)/60</f>
        <v>110626.27072</v>
      </c>
      <c r="F28" s="245">
        <f>($D$20*80%)/60</f>
        <v>4551.7680380952379</v>
      </c>
      <c r="G28" s="245">
        <f t="shared" ref="G28:G87" si="0">+SUM(E28:F28)</f>
        <v>115178.03875809524</v>
      </c>
      <c r="H28" s="247">
        <f>H26-G28</f>
        <v>6795504.2867276184</v>
      </c>
    </row>
    <row r="29" spans="1:11">
      <c r="A29" s="243">
        <f>+A28+1</f>
        <v>3</v>
      </c>
      <c r="B29" s="243"/>
      <c r="C29" s="243" t="s">
        <v>5</v>
      </c>
      <c r="D29" s="244">
        <f t="shared" ref="D29:D87" ca="1" si="1">EDATE(D28,1)</f>
        <v>44065</v>
      </c>
      <c r="E29" s="245">
        <f t="shared" ref="E29:E87" si="2">($D$19*80%)/60</f>
        <v>110626.27072</v>
      </c>
      <c r="F29" s="245">
        <f t="shared" ref="F29:F87" si="3">($D$20*80%)/60</f>
        <v>4551.7680380952379</v>
      </c>
      <c r="G29" s="245">
        <f t="shared" si="0"/>
        <v>115178.03875809524</v>
      </c>
      <c r="H29" s="247">
        <f t="shared" ref="H29:H87" si="4">H28-G29</f>
        <v>6680326.2479695231</v>
      </c>
    </row>
    <row r="30" spans="1:11">
      <c r="A30" s="243">
        <f t="shared" ref="A30:A87" si="5">+A29+1</f>
        <v>4</v>
      </c>
      <c r="B30" s="243"/>
      <c r="C30" s="243" t="s">
        <v>6</v>
      </c>
      <c r="D30" s="244">
        <f t="shared" ca="1" si="1"/>
        <v>44096</v>
      </c>
      <c r="E30" s="245">
        <f t="shared" si="2"/>
        <v>110626.27072</v>
      </c>
      <c r="F30" s="245">
        <f t="shared" si="3"/>
        <v>4551.7680380952379</v>
      </c>
      <c r="G30" s="245">
        <f t="shared" si="0"/>
        <v>115178.03875809524</v>
      </c>
      <c r="H30" s="247">
        <f t="shared" si="4"/>
        <v>6565148.2092114277</v>
      </c>
    </row>
    <row r="31" spans="1:11">
      <c r="A31" s="243">
        <f t="shared" si="5"/>
        <v>5</v>
      </c>
      <c r="B31" s="243"/>
      <c r="C31" s="243" t="s">
        <v>7</v>
      </c>
      <c r="D31" s="244">
        <f t="shared" ca="1" si="1"/>
        <v>44126</v>
      </c>
      <c r="E31" s="245">
        <f t="shared" si="2"/>
        <v>110626.27072</v>
      </c>
      <c r="F31" s="245">
        <f t="shared" si="3"/>
        <v>4551.7680380952379</v>
      </c>
      <c r="G31" s="245">
        <f t="shared" si="0"/>
        <v>115178.03875809524</v>
      </c>
      <c r="H31" s="247">
        <f t="shared" si="4"/>
        <v>6449970.1704533324</v>
      </c>
    </row>
    <row r="32" spans="1:11">
      <c r="A32" s="243">
        <f t="shared" si="5"/>
        <v>6</v>
      </c>
      <c r="B32" s="243"/>
      <c r="C32" s="243" t="s">
        <v>8</v>
      </c>
      <c r="D32" s="244">
        <f t="shared" ca="1" si="1"/>
        <v>44157</v>
      </c>
      <c r="E32" s="245">
        <f t="shared" si="2"/>
        <v>110626.27072</v>
      </c>
      <c r="F32" s="245">
        <f t="shared" si="3"/>
        <v>4551.7680380952379</v>
      </c>
      <c r="G32" s="245">
        <f t="shared" si="0"/>
        <v>115178.03875809524</v>
      </c>
      <c r="H32" s="247">
        <f t="shared" si="4"/>
        <v>6334792.131695237</v>
      </c>
    </row>
    <row r="33" spans="1:8">
      <c r="A33" s="243">
        <f t="shared" si="5"/>
        <v>7</v>
      </c>
      <c r="B33" s="243"/>
      <c r="C33" s="243" t="s">
        <v>9</v>
      </c>
      <c r="D33" s="244">
        <f t="shared" ca="1" si="1"/>
        <v>44187</v>
      </c>
      <c r="E33" s="245">
        <f t="shared" si="2"/>
        <v>110626.27072</v>
      </c>
      <c r="F33" s="245">
        <f t="shared" si="3"/>
        <v>4551.7680380952379</v>
      </c>
      <c r="G33" s="245">
        <f t="shared" si="0"/>
        <v>115178.03875809524</v>
      </c>
      <c r="H33" s="247">
        <f t="shared" si="4"/>
        <v>6219614.0929371417</v>
      </c>
    </row>
    <row r="34" spans="1:8">
      <c r="A34" s="243">
        <f t="shared" si="5"/>
        <v>8</v>
      </c>
      <c r="B34" s="243"/>
      <c r="C34" s="243" t="s">
        <v>10</v>
      </c>
      <c r="D34" s="244">
        <f t="shared" ca="1" si="1"/>
        <v>44218</v>
      </c>
      <c r="E34" s="245">
        <f t="shared" si="2"/>
        <v>110626.27072</v>
      </c>
      <c r="F34" s="245">
        <f t="shared" si="3"/>
        <v>4551.7680380952379</v>
      </c>
      <c r="G34" s="245">
        <f t="shared" si="0"/>
        <v>115178.03875809524</v>
      </c>
      <c r="H34" s="247">
        <f t="shared" si="4"/>
        <v>6104436.0541790463</v>
      </c>
    </row>
    <row r="35" spans="1:8">
      <c r="A35" s="243">
        <f t="shared" si="5"/>
        <v>9</v>
      </c>
      <c r="B35" s="243"/>
      <c r="C35" s="243" t="s">
        <v>11</v>
      </c>
      <c r="D35" s="244">
        <f t="shared" ca="1" si="1"/>
        <v>44249</v>
      </c>
      <c r="E35" s="245">
        <f t="shared" si="2"/>
        <v>110626.27072</v>
      </c>
      <c r="F35" s="245">
        <f t="shared" si="3"/>
        <v>4551.7680380952379</v>
      </c>
      <c r="G35" s="245">
        <f t="shared" si="0"/>
        <v>115178.03875809524</v>
      </c>
      <c r="H35" s="247">
        <f t="shared" si="4"/>
        <v>5989258.0154209509</v>
      </c>
    </row>
    <row r="36" spans="1:8">
      <c r="A36" s="243">
        <f t="shared" si="5"/>
        <v>10</v>
      </c>
      <c r="B36" s="243"/>
      <c r="C36" s="243" t="s">
        <v>12</v>
      </c>
      <c r="D36" s="244">
        <f t="shared" ca="1" si="1"/>
        <v>44277</v>
      </c>
      <c r="E36" s="245">
        <f t="shared" si="2"/>
        <v>110626.27072</v>
      </c>
      <c r="F36" s="245">
        <f t="shared" si="3"/>
        <v>4551.7680380952379</v>
      </c>
      <c r="G36" s="245">
        <f t="shared" si="0"/>
        <v>115178.03875809524</v>
      </c>
      <c r="H36" s="247">
        <f t="shared" si="4"/>
        <v>5874079.9766628556</v>
      </c>
    </row>
    <row r="37" spans="1:8">
      <c r="A37" s="243">
        <f t="shared" si="5"/>
        <v>11</v>
      </c>
      <c r="B37" s="243"/>
      <c r="C37" s="243" t="s">
        <v>13</v>
      </c>
      <c r="D37" s="244">
        <f t="shared" ca="1" si="1"/>
        <v>44308</v>
      </c>
      <c r="E37" s="245">
        <f t="shared" si="2"/>
        <v>110626.27072</v>
      </c>
      <c r="F37" s="245">
        <f t="shared" si="3"/>
        <v>4551.7680380952379</v>
      </c>
      <c r="G37" s="245">
        <f t="shared" si="0"/>
        <v>115178.03875809524</v>
      </c>
      <c r="H37" s="247">
        <f t="shared" si="4"/>
        <v>5758901.9379047602</v>
      </c>
    </row>
    <row r="38" spans="1:8">
      <c r="A38" s="243">
        <f t="shared" si="5"/>
        <v>12</v>
      </c>
      <c r="B38" s="243"/>
      <c r="C38" s="243" t="s">
        <v>14</v>
      </c>
      <c r="D38" s="244">
        <f t="shared" ca="1" si="1"/>
        <v>44338</v>
      </c>
      <c r="E38" s="245">
        <f t="shared" si="2"/>
        <v>110626.27072</v>
      </c>
      <c r="F38" s="245">
        <f t="shared" si="3"/>
        <v>4551.7680380952379</v>
      </c>
      <c r="G38" s="245">
        <f t="shared" si="0"/>
        <v>115178.03875809524</v>
      </c>
      <c r="H38" s="247">
        <f t="shared" si="4"/>
        <v>5643723.8991466649</v>
      </c>
    </row>
    <row r="39" spans="1:8">
      <c r="A39" s="243">
        <f t="shared" si="5"/>
        <v>13</v>
      </c>
      <c r="B39" s="243"/>
      <c r="C39" s="243" t="s">
        <v>15</v>
      </c>
      <c r="D39" s="244">
        <f t="shared" ca="1" si="1"/>
        <v>44369</v>
      </c>
      <c r="E39" s="245">
        <f t="shared" si="2"/>
        <v>110626.27072</v>
      </c>
      <c r="F39" s="245">
        <f t="shared" si="3"/>
        <v>4551.7680380952379</v>
      </c>
      <c r="G39" s="245">
        <f t="shared" si="0"/>
        <v>115178.03875809524</v>
      </c>
      <c r="H39" s="247">
        <f t="shared" si="4"/>
        <v>5528545.8603885695</v>
      </c>
    </row>
    <row r="40" spans="1:8">
      <c r="A40" s="243">
        <f t="shared" si="5"/>
        <v>14</v>
      </c>
      <c r="B40" s="243"/>
      <c r="C40" s="243" t="s">
        <v>19</v>
      </c>
      <c r="D40" s="244">
        <f t="shared" ca="1" si="1"/>
        <v>44399</v>
      </c>
      <c r="E40" s="245">
        <f t="shared" si="2"/>
        <v>110626.27072</v>
      </c>
      <c r="F40" s="245">
        <f t="shared" si="3"/>
        <v>4551.7680380952379</v>
      </c>
      <c r="G40" s="245">
        <f t="shared" si="0"/>
        <v>115178.03875809524</v>
      </c>
      <c r="H40" s="247">
        <f t="shared" si="4"/>
        <v>5413367.8216304742</v>
      </c>
    </row>
    <row r="41" spans="1:8">
      <c r="A41" s="243">
        <f t="shared" si="5"/>
        <v>15</v>
      </c>
      <c r="B41" s="243"/>
      <c r="C41" s="243" t="s">
        <v>20</v>
      </c>
      <c r="D41" s="244">
        <f t="shared" ca="1" si="1"/>
        <v>44430</v>
      </c>
      <c r="E41" s="245">
        <f t="shared" si="2"/>
        <v>110626.27072</v>
      </c>
      <c r="F41" s="245">
        <f t="shared" si="3"/>
        <v>4551.7680380952379</v>
      </c>
      <c r="G41" s="245">
        <f t="shared" si="0"/>
        <v>115178.03875809524</v>
      </c>
      <c r="H41" s="247">
        <f t="shared" si="4"/>
        <v>5298189.7828723788</v>
      </c>
    </row>
    <row r="42" spans="1:8">
      <c r="A42" s="243">
        <f t="shared" si="5"/>
        <v>16</v>
      </c>
      <c r="B42" s="243"/>
      <c r="C42" s="243" t="s">
        <v>21</v>
      </c>
      <c r="D42" s="244">
        <f t="shared" ca="1" si="1"/>
        <v>44461</v>
      </c>
      <c r="E42" s="245">
        <f t="shared" si="2"/>
        <v>110626.27072</v>
      </c>
      <c r="F42" s="245">
        <f t="shared" si="3"/>
        <v>4551.7680380952379</v>
      </c>
      <c r="G42" s="245">
        <f t="shared" si="0"/>
        <v>115178.03875809524</v>
      </c>
      <c r="H42" s="247">
        <f t="shared" si="4"/>
        <v>5183011.7441142835</v>
      </c>
    </row>
    <row r="43" spans="1:8">
      <c r="A43" s="243">
        <f t="shared" si="5"/>
        <v>17</v>
      </c>
      <c r="B43" s="243"/>
      <c r="C43" s="243" t="s">
        <v>22</v>
      </c>
      <c r="D43" s="244">
        <f t="shared" ca="1" si="1"/>
        <v>44491</v>
      </c>
      <c r="E43" s="245">
        <f t="shared" si="2"/>
        <v>110626.27072</v>
      </c>
      <c r="F43" s="245">
        <f t="shared" si="3"/>
        <v>4551.7680380952379</v>
      </c>
      <c r="G43" s="245">
        <f t="shared" si="0"/>
        <v>115178.03875809524</v>
      </c>
      <c r="H43" s="247">
        <f t="shared" si="4"/>
        <v>5067833.7053561881</v>
      </c>
    </row>
    <row r="44" spans="1:8">
      <c r="A44" s="243">
        <f t="shared" si="5"/>
        <v>18</v>
      </c>
      <c r="B44" s="243"/>
      <c r="C44" s="243" t="s">
        <v>23</v>
      </c>
      <c r="D44" s="244">
        <f t="shared" ca="1" si="1"/>
        <v>44522</v>
      </c>
      <c r="E44" s="245">
        <f t="shared" si="2"/>
        <v>110626.27072</v>
      </c>
      <c r="F44" s="245">
        <f t="shared" si="3"/>
        <v>4551.7680380952379</v>
      </c>
      <c r="G44" s="245">
        <f t="shared" si="0"/>
        <v>115178.03875809524</v>
      </c>
      <c r="H44" s="247">
        <f t="shared" si="4"/>
        <v>4952655.6665980928</v>
      </c>
    </row>
    <row r="45" spans="1:8">
      <c r="A45" s="243">
        <f t="shared" si="5"/>
        <v>19</v>
      </c>
      <c r="B45" s="243"/>
      <c r="C45" s="243" t="s">
        <v>24</v>
      </c>
      <c r="D45" s="244">
        <f t="shared" ca="1" si="1"/>
        <v>44552</v>
      </c>
      <c r="E45" s="245">
        <f t="shared" si="2"/>
        <v>110626.27072</v>
      </c>
      <c r="F45" s="245">
        <f t="shared" si="3"/>
        <v>4551.7680380952379</v>
      </c>
      <c r="G45" s="245">
        <f t="shared" si="0"/>
        <v>115178.03875809524</v>
      </c>
      <c r="H45" s="247">
        <f t="shared" si="4"/>
        <v>4837477.6278399974</v>
      </c>
    </row>
    <row r="46" spans="1:8">
      <c r="A46" s="243">
        <f t="shared" si="5"/>
        <v>20</v>
      </c>
      <c r="B46" s="243"/>
      <c r="C46" s="243" t="s">
        <v>25</v>
      </c>
      <c r="D46" s="244">
        <f t="shared" ca="1" si="1"/>
        <v>44583</v>
      </c>
      <c r="E46" s="245">
        <f t="shared" si="2"/>
        <v>110626.27072</v>
      </c>
      <c r="F46" s="245">
        <f t="shared" si="3"/>
        <v>4551.7680380952379</v>
      </c>
      <c r="G46" s="245">
        <f t="shared" si="0"/>
        <v>115178.03875809524</v>
      </c>
      <c r="H46" s="247">
        <f t="shared" si="4"/>
        <v>4722299.5890819021</v>
      </c>
    </row>
    <row r="47" spans="1:8">
      <c r="A47" s="243">
        <f t="shared" si="5"/>
        <v>21</v>
      </c>
      <c r="B47" s="243"/>
      <c r="C47" s="243" t="s">
        <v>26</v>
      </c>
      <c r="D47" s="244">
        <f t="shared" ca="1" si="1"/>
        <v>44614</v>
      </c>
      <c r="E47" s="245">
        <f t="shared" si="2"/>
        <v>110626.27072</v>
      </c>
      <c r="F47" s="245">
        <f t="shared" si="3"/>
        <v>4551.7680380952379</v>
      </c>
      <c r="G47" s="245">
        <f t="shared" si="0"/>
        <v>115178.03875809524</v>
      </c>
      <c r="H47" s="247">
        <f t="shared" si="4"/>
        <v>4607121.5503238067</v>
      </c>
    </row>
    <row r="48" spans="1:8">
      <c r="A48" s="243">
        <f t="shared" si="5"/>
        <v>22</v>
      </c>
      <c r="B48" s="243"/>
      <c r="C48" s="243" t="s">
        <v>27</v>
      </c>
      <c r="D48" s="244">
        <f t="shared" ca="1" si="1"/>
        <v>44642</v>
      </c>
      <c r="E48" s="245">
        <f t="shared" si="2"/>
        <v>110626.27072</v>
      </c>
      <c r="F48" s="245">
        <f t="shared" si="3"/>
        <v>4551.7680380952379</v>
      </c>
      <c r="G48" s="245">
        <f t="shared" si="0"/>
        <v>115178.03875809524</v>
      </c>
      <c r="H48" s="247">
        <f t="shared" si="4"/>
        <v>4491943.5115657113</v>
      </c>
    </row>
    <row r="49" spans="1:8">
      <c r="A49" s="243">
        <f t="shared" si="5"/>
        <v>23</v>
      </c>
      <c r="B49" s="243"/>
      <c r="C49" s="243" t="s">
        <v>28</v>
      </c>
      <c r="D49" s="244">
        <f t="shared" ca="1" si="1"/>
        <v>44673</v>
      </c>
      <c r="E49" s="245">
        <f t="shared" si="2"/>
        <v>110626.27072</v>
      </c>
      <c r="F49" s="245">
        <f t="shared" si="3"/>
        <v>4551.7680380952379</v>
      </c>
      <c r="G49" s="245">
        <f t="shared" si="0"/>
        <v>115178.03875809524</v>
      </c>
      <c r="H49" s="247">
        <f t="shared" si="4"/>
        <v>4376765.472807616</v>
      </c>
    </row>
    <row r="50" spans="1:8">
      <c r="A50" s="243">
        <f t="shared" si="5"/>
        <v>24</v>
      </c>
      <c r="B50" s="243"/>
      <c r="C50" s="243" t="s">
        <v>29</v>
      </c>
      <c r="D50" s="244">
        <f t="shared" ca="1" si="1"/>
        <v>44703</v>
      </c>
      <c r="E50" s="245">
        <f t="shared" si="2"/>
        <v>110626.27072</v>
      </c>
      <c r="F50" s="245">
        <f t="shared" si="3"/>
        <v>4551.7680380952379</v>
      </c>
      <c r="G50" s="245">
        <f t="shared" si="0"/>
        <v>115178.03875809524</v>
      </c>
      <c r="H50" s="247">
        <f t="shared" si="4"/>
        <v>4261587.4340495206</v>
      </c>
    </row>
    <row r="51" spans="1:8">
      <c r="A51" s="243">
        <f t="shared" si="5"/>
        <v>25</v>
      </c>
      <c r="B51" s="243"/>
      <c r="C51" s="243" t="s">
        <v>30</v>
      </c>
      <c r="D51" s="244">
        <f t="shared" ca="1" si="1"/>
        <v>44734</v>
      </c>
      <c r="E51" s="245">
        <f t="shared" si="2"/>
        <v>110626.27072</v>
      </c>
      <c r="F51" s="245">
        <f t="shared" si="3"/>
        <v>4551.7680380952379</v>
      </c>
      <c r="G51" s="245">
        <f t="shared" si="0"/>
        <v>115178.03875809524</v>
      </c>
      <c r="H51" s="247">
        <f t="shared" si="4"/>
        <v>4146409.3952914253</v>
      </c>
    </row>
    <row r="52" spans="1:8">
      <c r="A52" s="243">
        <f t="shared" si="5"/>
        <v>26</v>
      </c>
      <c r="B52" s="243"/>
      <c r="C52" s="243" t="s">
        <v>48</v>
      </c>
      <c r="D52" s="244">
        <f t="shared" ca="1" si="1"/>
        <v>44764</v>
      </c>
      <c r="E52" s="245">
        <f t="shared" si="2"/>
        <v>110626.27072</v>
      </c>
      <c r="F52" s="245">
        <f t="shared" si="3"/>
        <v>4551.7680380952379</v>
      </c>
      <c r="G52" s="245">
        <f t="shared" si="0"/>
        <v>115178.03875809524</v>
      </c>
      <c r="H52" s="247">
        <f t="shared" si="4"/>
        <v>4031231.3565333299</v>
      </c>
    </row>
    <row r="53" spans="1:8">
      <c r="A53" s="243">
        <f t="shared" si="5"/>
        <v>27</v>
      </c>
      <c r="B53" s="243"/>
      <c r="C53" s="243" t="s">
        <v>49</v>
      </c>
      <c r="D53" s="244">
        <f t="shared" ca="1" si="1"/>
        <v>44795</v>
      </c>
      <c r="E53" s="245">
        <f t="shared" si="2"/>
        <v>110626.27072</v>
      </c>
      <c r="F53" s="245">
        <f t="shared" si="3"/>
        <v>4551.7680380952379</v>
      </c>
      <c r="G53" s="245">
        <f t="shared" si="0"/>
        <v>115178.03875809524</v>
      </c>
      <c r="H53" s="247">
        <f t="shared" si="4"/>
        <v>3916053.3177752346</v>
      </c>
    </row>
    <row r="54" spans="1:8">
      <c r="A54" s="243">
        <f t="shared" si="5"/>
        <v>28</v>
      </c>
      <c r="B54" s="243"/>
      <c r="C54" s="243" t="s">
        <v>50</v>
      </c>
      <c r="D54" s="244">
        <f t="shared" ca="1" si="1"/>
        <v>44826</v>
      </c>
      <c r="E54" s="245">
        <f t="shared" si="2"/>
        <v>110626.27072</v>
      </c>
      <c r="F54" s="245">
        <f t="shared" si="3"/>
        <v>4551.7680380952379</v>
      </c>
      <c r="G54" s="245">
        <f t="shared" si="0"/>
        <v>115178.03875809524</v>
      </c>
      <c r="H54" s="247">
        <f t="shared" si="4"/>
        <v>3800875.2790171392</v>
      </c>
    </row>
    <row r="55" spans="1:8">
      <c r="A55" s="243">
        <f t="shared" si="5"/>
        <v>29</v>
      </c>
      <c r="B55" s="243"/>
      <c r="C55" s="243" t="s">
        <v>51</v>
      </c>
      <c r="D55" s="244">
        <f t="shared" ca="1" si="1"/>
        <v>44856</v>
      </c>
      <c r="E55" s="245">
        <f t="shared" si="2"/>
        <v>110626.27072</v>
      </c>
      <c r="F55" s="245">
        <f t="shared" si="3"/>
        <v>4551.7680380952379</v>
      </c>
      <c r="G55" s="245">
        <f t="shared" si="0"/>
        <v>115178.03875809524</v>
      </c>
      <c r="H55" s="247">
        <f t="shared" si="4"/>
        <v>3685697.2402590439</v>
      </c>
    </row>
    <row r="56" spans="1:8">
      <c r="A56" s="243">
        <f t="shared" si="5"/>
        <v>30</v>
      </c>
      <c r="B56" s="243"/>
      <c r="C56" s="243" t="s">
        <v>52</v>
      </c>
      <c r="D56" s="244">
        <f t="shared" ca="1" si="1"/>
        <v>44887</v>
      </c>
      <c r="E56" s="245">
        <f t="shared" si="2"/>
        <v>110626.27072</v>
      </c>
      <c r="F56" s="245">
        <f t="shared" si="3"/>
        <v>4551.7680380952379</v>
      </c>
      <c r="G56" s="245">
        <f t="shared" si="0"/>
        <v>115178.03875809524</v>
      </c>
      <c r="H56" s="247">
        <f t="shared" si="4"/>
        <v>3570519.2015009485</v>
      </c>
    </row>
    <row r="57" spans="1:8">
      <c r="A57" s="243">
        <f t="shared" si="5"/>
        <v>31</v>
      </c>
      <c r="B57" s="243"/>
      <c r="C57" s="243" t="s">
        <v>53</v>
      </c>
      <c r="D57" s="244">
        <f t="shared" ca="1" si="1"/>
        <v>44917</v>
      </c>
      <c r="E57" s="245">
        <f t="shared" si="2"/>
        <v>110626.27072</v>
      </c>
      <c r="F57" s="245">
        <f t="shared" si="3"/>
        <v>4551.7680380952379</v>
      </c>
      <c r="G57" s="245">
        <f t="shared" si="0"/>
        <v>115178.03875809524</v>
      </c>
      <c r="H57" s="247">
        <f t="shared" si="4"/>
        <v>3455341.1627428532</v>
      </c>
    </row>
    <row r="58" spans="1:8">
      <c r="A58" s="243">
        <f t="shared" si="5"/>
        <v>32</v>
      </c>
      <c r="B58" s="243"/>
      <c r="C58" s="243" t="s">
        <v>93</v>
      </c>
      <c r="D58" s="244">
        <f t="shared" ca="1" si="1"/>
        <v>44948</v>
      </c>
      <c r="E58" s="245">
        <f t="shared" si="2"/>
        <v>110626.27072</v>
      </c>
      <c r="F58" s="245">
        <f t="shared" si="3"/>
        <v>4551.7680380952379</v>
      </c>
      <c r="G58" s="245">
        <f t="shared" si="0"/>
        <v>115178.03875809524</v>
      </c>
      <c r="H58" s="247">
        <f t="shared" si="4"/>
        <v>3340163.1239847578</v>
      </c>
    </row>
    <row r="59" spans="1:8">
      <c r="A59" s="243">
        <f t="shared" si="5"/>
        <v>33</v>
      </c>
      <c r="B59" s="243"/>
      <c r="C59" s="243" t="s">
        <v>94</v>
      </c>
      <c r="D59" s="244">
        <f t="shared" ca="1" si="1"/>
        <v>44979</v>
      </c>
      <c r="E59" s="245">
        <f t="shared" si="2"/>
        <v>110626.27072</v>
      </c>
      <c r="F59" s="245">
        <f t="shared" si="3"/>
        <v>4551.7680380952379</v>
      </c>
      <c r="G59" s="245">
        <f t="shared" si="0"/>
        <v>115178.03875809524</v>
      </c>
      <c r="H59" s="247">
        <f t="shared" si="4"/>
        <v>3224985.0852266625</v>
      </c>
    </row>
    <row r="60" spans="1:8">
      <c r="A60" s="243">
        <f t="shared" si="5"/>
        <v>34</v>
      </c>
      <c r="B60" s="243"/>
      <c r="C60" s="243" t="s">
        <v>95</v>
      </c>
      <c r="D60" s="244">
        <f t="shared" ca="1" si="1"/>
        <v>45007</v>
      </c>
      <c r="E60" s="245">
        <f t="shared" si="2"/>
        <v>110626.27072</v>
      </c>
      <c r="F60" s="245">
        <f t="shared" si="3"/>
        <v>4551.7680380952379</v>
      </c>
      <c r="G60" s="245">
        <f t="shared" si="0"/>
        <v>115178.03875809524</v>
      </c>
      <c r="H60" s="247">
        <f t="shared" si="4"/>
        <v>3109807.0464685671</v>
      </c>
    </row>
    <row r="61" spans="1:8">
      <c r="A61" s="243">
        <f t="shared" si="5"/>
        <v>35</v>
      </c>
      <c r="B61" s="243"/>
      <c r="C61" s="243" t="s">
        <v>96</v>
      </c>
      <c r="D61" s="244">
        <f t="shared" ca="1" si="1"/>
        <v>45038</v>
      </c>
      <c r="E61" s="245">
        <f t="shared" si="2"/>
        <v>110626.27072</v>
      </c>
      <c r="F61" s="245">
        <f t="shared" si="3"/>
        <v>4551.7680380952379</v>
      </c>
      <c r="G61" s="245">
        <f t="shared" si="0"/>
        <v>115178.03875809524</v>
      </c>
      <c r="H61" s="247">
        <f t="shared" si="4"/>
        <v>2994629.0077104717</v>
      </c>
    </row>
    <row r="62" spans="1:8">
      <c r="A62" s="243">
        <f t="shared" si="5"/>
        <v>36</v>
      </c>
      <c r="B62" s="243"/>
      <c r="C62" s="243" t="s">
        <v>97</v>
      </c>
      <c r="D62" s="244">
        <f t="shared" ca="1" si="1"/>
        <v>45068</v>
      </c>
      <c r="E62" s="245">
        <f t="shared" si="2"/>
        <v>110626.27072</v>
      </c>
      <c r="F62" s="245">
        <f t="shared" si="3"/>
        <v>4551.7680380952379</v>
      </c>
      <c r="G62" s="245">
        <f t="shared" si="0"/>
        <v>115178.03875809524</v>
      </c>
      <c r="H62" s="247">
        <f t="shared" si="4"/>
        <v>2879450.9689523764</v>
      </c>
    </row>
    <row r="63" spans="1:8">
      <c r="A63" s="243">
        <f t="shared" si="5"/>
        <v>37</v>
      </c>
      <c r="B63" s="243"/>
      <c r="C63" s="243" t="s">
        <v>98</v>
      </c>
      <c r="D63" s="244">
        <f t="shared" ca="1" si="1"/>
        <v>45099</v>
      </c>
      <c r="E63" s="245">
        <f t="shared" si="2"/>
        <v>110626.27072</v>
      </c>
      <c r="F63" s="245">
        <f t="shared" si="3"/>
        <v>4551.7680380952379</v>
      </c>
      <c r="G63" s="245">
        <f t="shared" si="0"/>
        <v>115178.03875809524</v>
      </c>
      <c r="H63" s="247">
        <f t="shared" si="4"/>
        <v>2764272.930194281</v>
      </c>
    </row>
    <row r="64" spans="1:8">
      <c r="A64" s="243">
        <f t="shared" si="5"/>
        <v>38</v>
      </c>
      <c r="B64" s="243"/>
      <c r="C64" s="243" t="s">
        <v>99</v>
      </c>
      <c r="D64" s="244">
        <f t="shared" ca="1" si="1"/>
        <v>45129</v>
      </c>
      <c r="E64" s="245">
        <f t="shared" si="2"/>
        <v>110626.27072</v>
      </c>
      <c r="F64" s="245">
        <f t="shared" si="3"/>
        <v>4551.7680380952379</v>
      </c>
      <c r="G64" s="245">
        <f t="shared" si="0"/>
        <v>115178.03875809524</v>
      </c>
      <c r="H64" s="247">
        <f t="shared" si="4"/>
        <v>2649094.8914361857</v>
      </c>
    </row>
    <row r="65" spans="1:8">
      <c r="A65" s="243">
        <f t="shared" si="5"/>
        <v>39</v>
      </c>
      <c r="B65" s="243"/>
      <c r="C65" s="243" t="s">
        <v>100</v>
      </c>
      <c r="D65" s="244">
        <f t="shared" ca="1" si="1"/>
        <v>45160</v>
      </c>
      <c r="E65" s="245">
        <f t="shared" si="2"/>
        <v>110626.27072</v>
      </c>
      <c r="F65" s="245">
        <f t="shared" si="3"/>
        <v>4551.7680380952379</v>
      </c>
      <c r="G65" s="245">
        <f t="shared" si="0"/>
        <v>115178.03875809524</v>
      </c>
      <c r="H65" s="247">
        <f t="shared" si="4"/>
        <v>2533916.8526780903</v>
      </c>
    </row>
    <row r="66" spans="1:8">
      <c r="A66" s="243">
        <f t="shared" si="5"/>
        <v>40</v>
      </c>
      <c r="B66" s="243"/>
      <c r="C66" s="243" t="s">
        <v>101</v>
      </c>
      <c r="D66" s="244">
        <f t="shared" ca="1" si="1"/>
        <v>45191</v>
      </c>
      <c r="E66" s="245">
        <f t="shared" si="2"/>
        <v>110626.27072</v>
      </c>
      <c r="F66" s="245">
        <f t="shared" si="3"/>
        <v>4551.7680380952379</v>
      </c>
      <c r="G66" s="245">
        <f t="shared" si="0"/>
        <v>115178.03875809524</v>
      </c>
      <c r="H66" s="247">
        <f t="shared" si="4"/>
        <v>2418738.813919995</v>
      </c>
    </row>
    <row r="67" spans="1:8">
      <c r="A67" s="243">
        <f t="shared" si="5"/>
        <v>41</v>
      </c>
      <c r="B67" s="243"/>
      <c r="C67" s="243" t="s">
        <v>102</v>
      </c>
      <c r="D67" s="244">
        <f t="shared" ca="1" si="1"/>
        <v>45221</v>
      </c>
      <c r="E67" s="245">
        <f t="shared" si="2"/>
        <v>110626.27072</v>
      </c>
      <c r="F67" s="245">
        <f t="shared" si="3"/>
        <v>4551.7680380952379</v>
      </c>
      <c r="G67" s="245">
        <f t="shared" si="0"/>
        <v>115178.03875809524</v>
      </c>
      <c r="H67" s="247">
        <f t="shared" si="4"/>
        <v>2303560.7751618996</v>
      </c>
    </row>
    <row r="68" spans="1:8">
      <c r="A68" s="243">
        <f t="shared" si="5"/>
        <v>42</v>
      </c>
      <c r="B68" s="243"/>
      <c r="C68" s="243" t="s">
        <v>103</v>
      </c>
      <c r="D68" s="244">
        <f t="shared" ca="1" si="1"/>
        <v>45252</v>
      </c>
      <c r="E68" s="245">
        <f t="shared" si="2"/>
        <v>110626.27072</v>
      </c>
      <c r="F68" s="245">
        <f t="shared" si="3"/>
        <v>4551.7680380952379</v>
      </c>
      <c r="G68" s="245">
        <f t="shared" si="0"/>
        <v>115178.03875809524</v>
      </c>
      <c r="H68" s="247">
        <f t="shared" si="4"/>
        <v>2188382.7364038043</v>
      </c>
    </row>
    <row r="69" spans="1:8">
      <c r="A69" s="243">
        <f t="shared" si="5"/>
        <v>43</v>
      </c>
      <c r="B69" s="243"/>
      <c r="C69" s="243" t="s">
        <v>104</v>
      </c>
      <c r="D69" s="244">
        <f t="shared" ca="1" si="1"/>
        <v>45282</v>
      </c>
      <c r="E69" s="245">
        <f t="shared" si="2"/>
        <v>110626.27072</v>
      </c>
      <c r="F69" s="245">
        <f t="shared" si="3"/>
        <v>4551.7680380952379</v>
      </c>
      <c r="G69" s="245">
        <f t="shared" si="0"/>
        <v>115178.03875809524</v>
      </c>
      <c r="H69" s="247">
        <f t="shared" si="4"/>
        <v>2073204.6976457089</v>
      </c>
    </row>
    <row r="70" spans="1:8">
      <c r="A70" s="243">
        <f t="shared" si="5"/>
        <v>44</v>
      </c>
      <c r="B70" s="243"/>
      <c r="C70" s="243" t="s">
        <v>105</v>
      </c>
      <c r="D70" s="244">
        <f t="shared" ca="1" si="1"/>
        <v>45313</v>
      </c>
      <c r="E70" s="245">
        <f t="shared" si="2"/>
        <v>110626.27072</v>
      </c>
      <c r="F70" s="245">
        <f t="shared" si="3"/>
        <v>4551.7680380952379</v>
      </c>
      <c r="G70" s="245">
        <f t="shared" si="0"/>
        <v>115178.03875809524</v>
      </c>
      <c r="H70" s="247">
        <f t="shared" si="4"/>
        <v>1958026.6588876136</v>
      </c>
    </row>
    <row r="71" spans="1:8">
      <c r="A71" s="243">
        <f t="shared" si="5"/>
        <v>45</v>
      </c>
      <c r="B71" s="243"/>
      <c r="C71" s="243" t="s">
        <v>106</v>
      </c>
      <c r="D71" s="244">
        <f t="shared" ca="1" si="1"/>
        <v>45344</v>
      </c>
      <c r="E71" s="245">
        <f t="shared" si="2"/>
        <v>110626.27072</v>
      </c>
      <c r="F71" s="245">
        <f t="shared" si="3"/>
        <v>4551.7680380952379</v>
      </c>
      <c r="G71" s="245">
        <f t="shared" si="0"/>
        <v>115178.03875809524</v>
      </c>
      <c r="H71" s="247">
        <f t="shared" si="4"/>
        <v>1842848.6201295182</v>
      </c>
    </row>
    <row r="72" spans="1:8">
      <c r="A72" s="243">
        <f t="shared" si="5"/>
        <v>46</v>
      </c>
      <c r="B72" s="243"/>
      <c r="C72" s="243" t="s">
        <v>107</v>
      </c>
      <c r="D72" s="244">
        <f t="shared" ca="1" si="1"/>
        <v>45373</v>
      </c>
      <c r="E72" s="245">
        <f t="shared" si="2"/>
        <v>110626.27072</v>
      </c>
      <c r="F72" s="245">
        <f t="shared" si="3"/>
        <v>4551.7680380952379</v>
      </c>
      <c r="G72" s="245">
        <f t="shared" si="0"/>
        <v>115178.03875809524</v>
      </c>
      <c r="H72" s="247">
        <f t="shared" si="4"/>
        <v>1727670.5813714229</v>
      </c>
    </row>
    <row r="73" spans="1:8">
      <c r="A73" s="243">
        <f t="shared" si="5"/>
        <v>47</v>
      </c>
      <c r="B73" s="243"/>
      <c r="C73" s="243" t="s">
        <v>108</v>
      </c>
      <c r="D73" s="244">
        <f t="shared" ca="1" si="1"/>
        <v>45404</v>
      </c>
      <c r="E73" s="245">
        <f t="shared" si="2"/>
        <v>110626.27072</v>
      </c>
      <c r="F73" s="245">
        <f t="shared" si="3"/>
        <v>4551.7680380952379</v>
      </c>
      <c r="G73" s="245">
        <f t="shared" si="0"/>
        <v>115178.03875809524</v>
      </c>
      <c r="H73" s="247">
        <f t="shared" si="4"/>
        <v>1612492.5426133275</v>
      </c>
    </row>
    <row r="74" spans="1:8">
      <c r="A74" s="243">
        <f t="shared" si="5"/>
        <v>48</v>
      </c>
      <c r="B74" s="243"/>
      <c r="C74" s="243" t="s">
        <v>109</v>
      </c>
      <c r="D74" s="244">
        <f t="shared" ca="1" si="1"/>
        <v>45434</v>
      </c>
      <c r="E74" s="245">
        <f t="shared" si="2"/>
        <v>110626.27072</v>
      </c>
      <c r="F74" s="245">
        <f t="shared" si="3"/>
        <v>4551.7680380952379</v>
      </c>
      <c r="G74" s="245">
        <f t="shared" si="0"/>
        <v>115178.03875809524</v>
      </c>
      <c r="H74" s="247">
        <f t="shared" si="4"/>
        <v>1497314.5038552321</v>
      </c>
    </row>
    <row r="75" spans="1:8">
      <c r="A75" s="243">
        <f t="shared" si="5"/>
        <v>49</v>
      </c>
      <c r="B75" s="243"/>
      <c r="C75" s="243" t="s">
        <v>110</v>
      </c>
      <c r="D75" s="244">
        <f t="shared" ca="1" si="1"/>
        <v>45465</v>
      </c>
      <c r="E75" s="245">
        <f t="shared" si="2"/>
        <v>110626.27072</v>
      </c>
      <c r="F75" s="245">
        <f t="shared" si="3"/>
        <v>4551.7680380952379</v>
      </c>
      <c r="G75" s="245">
        <f t="shared" si="0"/>
        <v>115178.03875809524</v>
      </c>
      <c r="H75" s="247">
        <f t="shared" si="4"/>
        <v>1382136.4650971368</v>
      </c>
    </row>
    <row r="76" spans="1:8">
      <c r="A76" s="243">
        <f t="shared" si="5"/>
        <v>50</v>
      </c>
      <c r="B76" s="243"/>
      <c r="C76" s="243" t="s">
        <v>111</v>
      </c>
      <c r="D76" s="244">
        <f t="shared" ca="1" si="1"/>
        <v>45495</v>
      </c>
      <c r="E76" s="245">
        <f t="shared" si="2"/>
        <v>110626.27072</v>
      </c>
      <c r="F76" s="245">
        <f t="shared" si="3"/>
        <v>4551.7680380952379</v>
      </c>
      <c r="G76" s="245">
        <f t="shared" si="0"/>
        <v>115178.03875809524</v>
      </c>
      <c r="H76" s="247">
        <f t="shared" si="4"/>
        <v>1266958.4263390414</v>
      </c>
    </row>
    <row r="77" spans="1:8">
      <c r="A77" s="243">
        <f t="shared" si="5"/>
        <v>51</v>
      </c>
      <c r="B77" s="243"/>
      <c r="C77" s="243" t="s">
        <v>112</v>
      </c>
      <c r="D77" s="244">
        <f t="shared" ca="1" si="1"/>
        <v>45526</v>
      </c>
      <c r="E77" s="245">
        <f t="shared" si="2"/>
        <v>110626.27072</v>
      </c>
      <c r="F77" s="245">
        <f t="shared" si="3"/>
        <v>4551.7680380952379</v>
      </c>
      <c r="G77" s="245">
        <f t="shared" si="0"/>
        <v>115178.03875809524</v>
      </c>
      <c r="H77" s="247">
        <f t="shared" si="4"/>
        <v>1151780.3875809461</v>
      </c>
    </row>
    <row r="78" spans="1:8">
      <c r="A78" s="243">
        <f t="shared" si="5"/>
        <v>52</v>
      </c>
      <c r="B78" s="243"/>
      <c r="C78" s="243" t="s">
        <v>113</v>
      </c>
      <c r="D78" s="244">
        <f t="shared" ca="1" si="1"/>
        <v>45557</v>
      </c>
      <c r="E78" s="245">
        <f t="shared" si="2"/>
        <v>110626.27072</v>
      </c>
      <c r="F78" s="245">
        <f t="shared" si="3"/>
        <v>4551.7680380952379</v>
      </c>
      <c r="G78" s="245">
        <f t="shared" si="0"/>
        <v>115178.03875809524</v>
      </c>
      <c r="H78" s="247">
        <f t="shared" si="4"/>
        <v>1036602.3488228509</v>
      </c>
    </row>
    <row r="79" spans="1:8">
      <c r="A79" s="243">
        <f t="shared" si="5"/>
        <v>53</v>
      </c>
      <c r="B79" s="243"/>
      <c r="C79" s="243" t="s">
        <v>114</v>
      </c>
      <c r="D79" s="244">
        <f t="shared" ca="1" si="1"/>
        <v>45587</v>
      </c>
      <c r="E79" s="245">
        <f t="shared" si="2"/>
        <v>110626.27072</v>
      </c>
      <c r="F79" s="245">
        <f t="shared" si="3"/>
        <v>4551.7680380952379</v>
      </c>
      <c r="G79" s="245">
        <f t="shared" si="0"/>
        <v>115178.03875809524</v>
      </c>
      <c r="H79" s="247">
        <f t="shared" si="4"/>
        <v>921424.31006475561</v>
      </c>
    </row>
    <row r="80" spans="1:8">
      <c r="A80" s="243">
        <f t="shared" si="5"/>
        <v>54</v>
      </c>
      <c r="B80" s="243"/>
      <c r="C80" s="243" t="s">
        <v>115</v>
      </c>
      <c r="D80" s="244">
        <f t="shared" ca="1" si="1"/>
        <v>45618</v>
      </c>
      <c r="E80" s="245">
        <f t="shared" si="2"/>
        <v>110626.27072</v>
      </c>
      <c r="F80" s="245">
        <f t="shared" si="3"/>
        <v>4551.7680380952379</v>
      </c>
      <c r="G80" s="245">
        <f t="shared" si="0"/>
        <v>115178.03875809524</v>
      </c>
      <c r="H80" s="247">
        <f t="shared" si="4"/>
        <v>806246.27130666038</v>
      </c>
    </row>
    <row r="81" spans="1:8">
      <c r="A81" s="243">
        <f t="shared" si="5"/>
        <v>55</v>
      </c>
      <c r="B81" s="243"/>
      <c r="C81" s="243" t="s">
        <v>116</v>
      </c>
      <c r="D81" s="244">
        <f t="shared" ca="1" si="1"/>
        <v>45648</v>
      </c>
      <c r="E81" s="245">
        <f t="shared" si="2"/>
        <v>110626.27072</v>
      </c>
      <c r="F81" s="245">
        <f t="shared" si="3"/>
        <v>4551.7680380952379</v>
      </c>
      <c r="G81" s="245">
        <f t="shared" si="0"/>
        <v>115178.03875809524</v>
      </c>
      <c r="H81" s="247">
        <f t="shared" si="4"/>
        <v>691068.23254856514</v>
      </c>
    </row>
    <row r="82" spans="1:8">
      <c r="A82" s="243">
        <f t="shared" si="5"/>
        <v>56</v>
      </c>
      <c r="B82" s="243"/>
      <c r="C82" s="243" t="s">
        <v>117</v>
      </c>
      <c r="D82" s="244">
        <f t="shared" ca="1" si="1"/>
        <v>45679</v>
      </c>
      <c r="E82" s="245">
        <f t="shared" si="2"/>
        <v>110626.27072</v>
      </c>
      <c r="F82" s="245">
        <f t="shared" si="3"/>
        <v>4551.7680380952379</v>
      </c>
      <c r="G82" s="245">
        <f t="shared" si="0"/>
        <v>115178.03875809524</v>
      </c>
      <c r="H82" s="247">
        <f t="shared" si="4"/>
        <v>575890.1937904699</v>
      </c>
    </row>
    <row r="83" spans="1:8">
      <c r="A83" s="243">
        <f t="shared" si="5"/>
        <v>57</v>
      </c>
      <c r="B83" s="243"/>
      <c r="C83" s="243" t="s">
        <v>118</v>
      </c>
      <c r="D83" s="244">
        <f t="shared" ca="1" si="1"/>
        <v>45710</v>
      </c>
      <c r="E83" s="245">
        <f t="shared" si="2"/>
        <v>110626.27072</v>
      </c>
      <c r="F83" s="245">
        <f t="shared" si="3"/>
        <v>4551.7680380952379</v>
      </c>
      <c r="G83" s="245">
        <f t="shared" si="0"/>
        <v>115178.03875809524</v>
      </c>
      <c r="H83" s="247">
        <f t="shared" si="4"/>
        <v>460712.15503237466</v>
      </c>
    </row>
    <row r="84" spans="1:8">
      <c r="A84" s="243">
        <f t="shared" si="5"/>
        <v>58</v>
      </c>
      <c r="B84" s="243"/>
      <c r="C84" s="243" t="s">
        <v>119</v>
      </c>
      <c r="D84" s="244">
        <f t="shared" ca="1" si="1"/>
        <v>45738</v>
      </c>
      <c r="E84" s="245">
        <f t="shared" si="2"/>
        <v>110626.27072</v>
      </c>
      <c r="F84" s="245">
        <f t="shared" si="3"/>
        <v>4551.7680380952379</v>
      </c>
      <c r="G84" s="245">
        <f t="shared" si="0"/>
        <v>115178.03875809524</v>
      </c>
      <c r="H84" s="247">
        <f t="shared" si="4"/>
        <v>345534.11627427943</v>
      </c>
    </row>
    <row r="85" spans="1:8">
      <c r="A85" s="243">
        <f t="shared" si="5"/>
        <v>59</v>
      </c>
      <c r="B85" s="243"/>
      <c r="C85" s="243" t="s">
        <v>120</v>
      </c>
      <c r="D85" s="244">
        <f t="shared" ca="1" si="1"/>
        <v>45769</v>
      </c>
      <c r="E85" s="245">
        <f t="shared" si="2"/>
        <v>110626.27072</v>
      </c>
      <c r="F85" s="245">
        <f t="shared" si="3"/>
        <v>4551.7680380952379</v>
      </c>
      <c r="G85" s="245">
        <f t="shared" si="0"/>
        <v>115178.03875809524</v>
      </c>
      <c r="H85" s="247">
        <f t="shared" si="4"/>
        <v>230356.07751618419</v>
      </c>
    </row>
    <row r="86" spans="1:8">
      <c r="A86" s="243">
        <f t="shared" si="5"/>
        <v>60</v>
      </c>
      <c r="B86" s="243"/>
      <c r="C86" s="243" t="s">
        <v>121</v>
      </c>
      <c r="D86" s="244">
        <f t="shared" ca="1" si="1"/>
        <v>45799</v>
      </c>
      <c r="E86" s="245">
        <f t="shared" si="2"/>
        <v>110626.27072</v>
      </c>
      <c r="F86" s="245">
        <f t="shared" si="3"/>
        <v>4551.7680380952379</v>
      </c>
      <c r="G86" s="245">
        <f t="shared" si="0"/>
        <v>115178.03875809524</v>
      </c>
      <c r="H86" s="247">
        <f t="shared" si="4"/>
        <v>115178.03875808895</v>
      </c>
    </row>
    <row r="87" spans="1:8">
      <c r="A87" s="243">
        <f t="shared" si="5"/>
        <v>61</v>
      </c>
      <c r="B87" s="243"/>
      <c r="C87" s="243" t="s">
        <v>122</v>
      </c>
      <c r="D87" s="244">
        <f t="shared" ca="1" si="1"/>
        <v>45830</v>
      </c>
      <c r="E87" s="245">
        <f t="shared" si="2"/>
        <v>110626.27072</v>
      </c>
      <c r="F87" s="245">
        <f t="shared" si="3"/>
        <v>4551.7680380952379</v>
      </c>
      <c r="G87" s="245">
        <f t="shared" si="0"/>
        <v>115178.03875809524</v>
      </c>
      <c r="H87" s="247">
        <f t="shared" si="4"/>
        <v>-6.28642737865448E-9</v>
      </c>
    </row>
    <row r="88" spans="1:8">
      <c r="A88" s="384" t="s">
        <v>16</v>
      </c>
      <c r="B88" s="384"/>
      <c r="C88" s="384"/>
      <c r="D88" s="384"/>
      <c r="E88" s="249">
        <f>SUM(E25:E87)</f>
        <v>8296970.3040000126</v>
      </c>
      <c r="F88" s="249">
        <f t="shared" ref="F88:G88" si="6">SUM(F25:F87)</f>
        <v>341382.60285714333</v>
      </c>
      <c r="G88" s="249">
        <f t="shared" si="6"/>
        <v>8638352.9068571497</v>
      </c>
      <c r="H88" s="279"/>
    </row>
    <row r="89" spans="1:8" s="197" customFormat="1" ht="14">
      <c r="C89" s="206"/>
      <c r="D89" s="207"/>
      <c r="E89" s="208"/>
      <c r="F89" s="208"/>
      <c r="G89" s="208"/>
    </row>
    <row r="90" spans="1:8" s="197" customFormat="1" ht="14">
      <c r="A90" s="374" t="s">
        <v>313</v>
      </c>
      <c r="B90" s="374"/>
      <c r="C90" s="374"/>
      <c r="D90" s="374"/>
      <c r="E90" s="374"/>
      <c r="F90" s="374"/>
      <c r="G90" s="374"/>
      <c r="H90" s="374"/>
    </row>
    <row r="91" spans="1:8" s="197" customFormat="1" ht="29.25" customHeight="1">
      <c r="A91" s="388" t="s">
        <v>314</v>
      </c>
      <c r="B91" s="388"/>
      <c r="C91" s="388"/>
      <c r="D91" s="388"/>
      <c r="E91" s="388"/>
      <c r="F91" s="388"/>
      <c r="G91" s="388"/>
      <c r="H91" s="388"/>
    </row>
    <row r="92" spans="1:8" s="197" customFormat="1" ht="16.5" customHeight="1">
      <c r="A92" s="374" t="s">
        <v>315</v>
      </c>
      <c r="B92" s="374"/>
      <c r="C92" s="374"/>
      <c r="D92" s="374"/>
      <c r="E92" s="374"/>
      <c r="F92" s="374"/>
      <c r="G92" s="374"/>
      <c r="H92" s="374"/>
    </row>
    <row r="93" spans="1:8" s="197" customFormat="1" ht="16.5" customHeight="1">
      <c r="A93" s="374" t="s">
        <v>316</v>
      </c>
      <c r="B93" s="374"/>
      <c r="C93" s="374"/>
      <c r="D93" s="374"/>
      <c r="E93" s="374"/>
      <c r="F93" s="374"/>
      <c r="G93" s="374"/>
      <c r="H93" s="374"/>
    </row>
    <row r="94" spans="1:8" s="197" customFormat="1" ht="16.5" customHeight="1">
      <c r="A94" s="374" t="s">
        <v>317</v>
      </c>
      <c r="B94" s="374"/>
      <c r="C94" s="374"/>
      <c r="D94" s="374"/>
      <c r="E94" s="374"/>
      <c r="F94" s="374"/>
      <c r="G94" s="374"/>
      <c r="H94" s="374"/>
    </row>
    <row r="95" spans="1:8" s="197" customFormat="1" ht="108.75" customHeight="1">
      <c r="A95" s="374" t="s">
        <v>318</v>
      </c>
      <c r="B95" s="374"/>
      <c r="C95" s="374"/>
      <c r="D95" s="374"/>
      <c r="E95" s="374"/>
      <c r="F95" s="374"/>
      <c r="G95" s="374"/>
      <c r="H95" s="374"/>
    </row>
    <row r="96" spans="1:8" s="197" customFormat="1" ht="42" customHeight="1">
      <c r="A96" s="374" t="s">
        <v>319</v>
      </c>
      <c r="B96" s="374"/>
      <c r="C96" s="374"/>
      <c r="D96" s="374"/>
      <c r="E96" s="374"/>
      <c r="F96" s="374"/>
      <c r="G96" s="374"/>
      <c r="H96" s="374"/>
    </row>
    <row r="97" spans="1:8" s="197" customFormat="1" ht="18" customHeight="1">
      <c r="A97" s="374" t="s">
        <v>320</v>
      </c>
      <c r="B97" s="374"/>
      <c r="C97" s="374"/>
      <c r="D97" s="374"/>
      <c r="E97" s="374"/>
      <c r="F97" s="374"/>
      <c r="G97" s="374"/>
      <c r="H97" s="374"/>
    </row>
    <row r="98" spans="1:8" s="197" customFormat="1" ht="14">
      <c r="A98" s="374"/>
      <c r="B98" s="374"/>
      <c r="C98" s="374"/>
      <c r="D98" s="374"/>
      <c r="E98" s="374"/>
      <c r="F98" s="374"/>
      <c r="G98" s="374"/>
      <c r="H98" s="374"/>
    </row>
    <row r="99" spans="1:8" s="197" customFormat="1" ht="14">
      <c r="A99" s="197" t="s">
        <v>17</v>
      </c>
      <c r="D99" s="209"/>
      <c r="G99" s="198"/>
    </row>
    <row r="100" spans="1:8" s="197" customFormat="1" ht="14">
      <c r="D100" s="209"/>
      <c r="G100" s="198"/>
    </row>
    <row r="101" spans="1:8" s="197" customFormat="1" ht="15" customHeight="1">
      <c r="A101" s="210"/>
      <c r="B101" s="210"/>
      <c r="C101" s="210"/>
      <c r="D101" s="209"/>
      <c r="E101" s="210"/>
      <c r="F101" s="210"/>
      <c r="G101" s="211"/>
    </row>
    <row r="102" spans="1:8" s="197" customFormat="1" ht="14">
      <c r="A102" s="375" t="s">
        <v>293</v>
      </c>
      <c r="B102" s="375"/>
      <c r="C102" s="375"/>
      <c r="D102" s="209"/>
      <c r="E102" s="375" t="s">
        <v>18</v>
      </c>
      <c r="F102" s="375"/>
      <c r="G102" s="375"/>
    </row>
    <row r="103" spans="1:8" s="39" customFormat="1" ht="14">
      <c r="D103" s="40"/>
    </row>
  </sheetData>
  <sheetProtection password="CAF1" sheet="1" selectLockedCells="1"/>
  <mergeCells count="20">
    <mergeCell ref="A90:H90"/>
    <mergeCell ref="A91:H91"/>
    <mergeCell ref="A92:H92"/>
    <mergeCell ref="A93:H93"/>
    <mergeCell ref="A94:H94"/>
    <mergeCell ref="H1:H2"/>
    <mergeCell ref="A88:D88"/>
    <mergeCell ref="A24:G24"/>
    <mergeCell ref="C5:H5"/>
    <mergeCell ref="C6:H6"/>
    <mergeCell ref="C7:H7"/>
    <mergeCell ref="C8:H8"/>
    <mergeCell ref="C9:H9"/>
    <mergeCell ref="C10:H10"/>
    <mergeCell ref="A95:H95"/>
    <mergeCell ref="A96:H96"/>
    <mergeCell ref="A97:H97"/>
    <mergeCell ref="A98:H98"/>
    <mergeCell ref="A102:C102"/>
    <mergeCell ref="E102:G102"/>
  </mergeCells>
  <hyperlinks>
    <hyperlink ref="C1" location="'DATA SHEET'!A1" display="HIGHLANDS PRIME, INC." xr:uid="{00000000-0004-0000-1500-000000000000}"/>
    <hyperlink ref="J3" location="'DATA SHEET'!A1" display="Return to Data Sheet" xr:uid="{00000000-0004-0000-1500-000001000000}"/>
  </hyperlinks>
  <printOptions horizontalCentered="1"/>
  <pageMargins left="0.7" right="0.7" top="0.75" bottom="0.75" header="0.3" footer="0.3"/>
  <pageSetup paperSize="258" scale="73" orientation="portrait" r:id="rId1"/>
  <ignoredErrors>
    <ignoredError sqref="D16" unlockedFormula="1"/>
    <ignoredError sqref="D20"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7941D"/>
    <pageSetUpPr fitToPage="1"/>
  </sheetPr>
  <dimension ref="A1:M79"/>
  <sheetViews>
    <sheetView showGridLines="0" workbookViewId="0">
      <selection activeCell="C15" sqref="C15"/>
    </sheetView>
  </sheetViews>
  <sheetFormatPr baseColWidth="10" defaultColWidth="0" defaultRowHeight="14" zeroHeight="1"/>
  <cols>
    <col min="1" max="1" width="12.1640625" style="39" customWidth="1"/>
    <col min="2" max="2" width="10.5" style="39" customWidth="1"/>
    <col min="3" max="3" width="23.83203125" style="39" customWidth="1"/>
    <col min="4" max="4" width="13.5" style="40" bestFit="1" customWidth="1"/>
    <col min="5" max="5" width="13.5" style="39" bestFit="1" customWidth="1"/>
    <col min="6" max="6" width="14.83203125" style="39" bestFit="1" customWidth="1"/>
    <col min="7" max="7" width="13.5" style="39" bestFit="1" customWidth="1"/>
    <col min="8" max="8" width="16.5" style="39" bestFit="1" customWidth="1"/>
    <col min="9" max="9" width="9.83203125" style="39" bestFit="1" customWidth="1"/>
    <col min="10" max="12" width="9.1640625" style="39" customWidth="1"/>
    <col min="13" max="13" width="0" style="39" hidden="1" customWidth="1"/>
    <col min="14" max="16384" width="9.1640625" style="39" hidden="1"/>
  </cols>
  <sheetData>
    <row r="1" spans="1:13" ht="12.75" customHeight="1">
      <c r="C1" s="212" t="s">
        <v>35</v>
      </c>
      <c r="H1" s="376" t="s">
        <v>66</v>
      </c>
    </row>
    <row r="2" spans="1:13" ht="12.75" customHeight="1">
      <c r="C2" s="41" t="s">
        <v>207</v>
      </c>
      <c r="H2" s="376"/>
    </row>
    <row r="3" spans="1:13">
      <c r="C3" s="41" t="s">
        <v>36</v>
      </c>
      <c r="J3" s="251" t="s">
        <v>215</v>
      </c>
    </row>
    <row r="4" spans="1:13"/>
    <row r="5" spans="1:13">
      <c r="A5" s="283" t="s">
        <v>0</v>
      </c>
      <c r="B5" s="284"/>
      <c r="C5" s="395" t="str">
        <f>'DATA SHEET'!C9</f>
        <v xml:space="preserve"> </v>
      </c>
      <c r="D5" s="395"/>
      <c r="E5" s="395"/>
      <c r="F5" s="395"/>
      <c r="G5" s="395"/>
      <c r="H5" s="396"/>
    </row>
    <row r="6" spans="1:13">
      <c r="A6" s="215" t="s">
        <v>31</v>
      </c>
      <c r="B6" s="216"/>
      <c r="C6" s="397" t="str">
        <f>VLOOKUP('DATA SHEET'!$C$10,' Glenview PL'!C6:G41,1,FALSE)</f>
        <v>GB</v>
      </c>
      <c r="D6" s="397"/>
      <c r="E6" s="397"/>
      <c r="F6" s="397"/>
      <c r="G6" s="397"/>
      <c r="H6" s="398"/>
    </row>
    <row r="7" spans="1:13">
      <c r="A7" s="215" t="s">
        <v>37</v>
      </c>
      <c r="B7" s="216"/>
      <c r="C7" s="380">
        <f>VLOOKUP('DATA SHEET'!C10,' Glenview PL'!C6:G41,3,0)</f>
        <v>67.900000000000006</v>
      </c>
      <c r="D7" s="380"/>
      <c r="E7" s="380"/>
      <c r="F7" s="380"/>
      <c r="G7" s="380"/>
      <c r="H7" s="381"/>
    </row>
    <row r="8" spans="1:13">
      <c r="A8" s="215" t="s">
        <v>194</v>
      </c>
      <c r="B8" s="216"/>
      <c r="C8" s="391" t="str">
        <f>VLOOKUP('DATA SHEET'!C10,' Glenview PL'!C6:G41,2,0)</f>
        <v>1-Bedroom Terrace Suite</v>
      </c>
      <c r="D8" s="391"/>
      <c r="E8" s="391"/>
      <c r="F8" s="391"/>
      <c r="G8" s="391"/>
      <c r="H8" s="392"/>
      <c r="I8" s="286">
        <v>0.1</v>
      </c>
    </row>
    <row r="9" spans="1:13">
      <c r="A9" s="222" t="s">
        <v>294</v>
      </c>
      <c r="B9" s="223"/>
      <c r="C9" s="382">
        <f>VLOOKUP('DATA SHEET'!C10,' Glenview PL'!C6:G41,4,0)</f>
        <v>8851760</v>
      </c>
      <c r="D9" s="382"/>
      <c r="E9" s="382"/>
      <c r="F9" s="382"/>
      <c r="G9" s="382"/>
      <c r="H9" s="383"/>
    </row>
    <row r="10" spans="1:13">
      <c r="A10" s="224" t="s">
        <v>33</v>
      </c>
      <c r="B10" s="225"/>
      <c r="C10" s="399" t="str">
        <f>'DATA SHEET'!B21</f>
        <v>10% DP, 10% over 36 months, 80% Lumpsum</v>
      </c>
      <c r="D10" s="399"/>
      <c r="E10" s="399"/>
      <c r="F10" s="399"/>
      <c r="G10" s="399"/>
      <c r="H10" s="400"/>
    </row>
    <row r="11" spans="1:13"/>
    <row r="12" spans="1:13">
      <c r="A12" s="41" t="s">
        <v>55</v>
      </c>
      <c r="B12" s="41"/>
    </row>
    <row r="13" spans="1:13">
      <c r="A13" s="197" t="s">
        <v>307</v>
      </c>
      <c r="D13" s="42">
        <f>(C9-650000)</f>
        <v>8201760</v>
      </c>
      <c r="E13" s="226" t="str">
        <f>LEFT(C8,9)</f>
        <v>1-Bedroom</v>
      </c>
      <c r="F13" s="226"/>
      <c r="G13" s="226"/>
    </row>
    <row r="14" spans="1:13">
      <c r="A14" s="227" t="s">
        <v>72</v>
      </c>
      <c r="B14" s="228"/>
      <c r="C14" s="306">
        <v>0.01</v>
      </c>
      <c r="D14" s="229">
        <f>IF(C14&lt;=1%,D13*C14,"BEYOND MAX")</f>
        <v>82017.600000000006</v>
      </c>
      <c r="E14" s="40"/>
      <c r="F14" s="40"/>
      <c r="G14" s="40"/>
      <c r="H14" s="40"/>
      <c r="I14" s="40"/>
      <c r="J14" s="40"/>
      <c r="K14" s="277"/>
      <c r="L14" s="40"/>
      <c r="M14" s="40"/>
    </row>
    <row r="15" spans="1:13">
      <c r="A15" s="227" t="s">
        <v>325</v>
      </c>
      <c r="B15" s="228"/>
      <c r="C15" s="306">
        <v>0.02</v>
      </c>
      <c r="D15" s="229">
        <f>IF(C15&lt;=2%,((D13-D14)*C15),"BEYOND MAX DISC.")</f>
        <v>162394.848</v>
      </c>
      <c r="E15" s="40"/>
      <c r="F15" s="40"/>
      <c r="G15" s="40"/>
      <c r="H15" s="40"/>
      <c r="I15" s="40"/>
      <c r="J15" s="40"/>
      <c r="K15" s="277"/>
      <c r="L15" s="40"/>
      <c r="M15" s="40"/>
    </row>
    <row r="16" spans="1:13">
      <c r="A16" s="227" t="s">
        <v>326</v>
      </c>
      <c r="B16" s="228"/>
      <c r="D16" s="87">
        <f>VLOOKUP('DATA SHEET'!C10,' Glenview PL'!$C$6:$G$41,5,0)</f>
        <v>230000</v>
      </c>
      <c r="K16" s="41"/>
    </row>
    <row r="17" spans="1:13">
      <c r="A17" s="197" t="s">
        <v>308</v>
      </c>
      <c r="B17" s="197"/>
      <c r="C17" s="197"/>
      <c r="D17" s="230">
        <f>D13-SUM(D14:D16)</f>
        <v>7727347.5520000001</v>
      </c>
      <c r="E17" s="231"/>
      <c r="F17" s="231"/>
      <c r="G17" s="231"/>
      <c r="H17" s="231"/>
      <c r="I17" s="231"/>
      <c r="J17" s="231"/>
      <c r="K17" s="278"/>
      <c r="L17" s="231"/>
      <c r="M17" s="231"/>
    </row>
    <row r="18" spans="1:13" s="280" customFormat="1" ht="15">
      <c r="A18" s="232" t="s">
        <v>214</v>
      </c>
      <c r="B18" s="228"/>
      <c r="C18" s="196"/>
      <c r="D18" s="233">
        <v>650000</v>
      </c>
      <c r="E18" s="231"/>
      <c r="F18" s="231"/>
      <c r="G18" s="278"/>
      <c r="H18" s="281"/>
      <c r="I18" s="282"/>
    </row>
    <row r="19" spans="1:13">
      <c r="A19" s="234" t="s">
        <v>309</v>
      </c>
      <c r="B19" s="198"/>
      <c r="C19" s="198"/>
      <c r="D19" s="235">
        <f>+SUM(D17:D18)</f>
        <v>8377347.5520000001</v>
      </c>
      <c r="E19" s="231"/>
      <c r="F19" s="231"/>
      <c r="G19" s="231"/>
      <c r="H19" s="231"/>
      <c r="I19" s="231"/>
      <c r="J19" s="231"/>
      <c r="K19" s="278"/>
      <c r="L19" s="231"/>
      <c r="M19" s="231"/>
    </row>
    <row r="20" spans="1:13">
      <c r="A20" s="236" t="s">
        <v>285</v>
      </c>
      <c r="B20" s="236"/>
      <c r="C20" s="199">
        <v>0.05</v>
      </c>
      <c r="D20" s="237">
        <f>(D17/1.12)*C20</f>
        <v>344970.87285714288</v>
      </c>
      <c r="E20" s="231"/>
      <c r="F20" s="231"/>
      <c r="G20" s="231"/>
      <c r="H20" s="231"/>
      <c r="I20" s="231"/>
      <c r="J20" s="231"/>
      <c r="K20" s="278"/>
      <c r="L20" s="231"/>
      <c r="M20" s="231"/>
    </row>
    <row r="21" spans="1:13" ht="15" thickBot="1">
      <c r="A21" s="198" t="s">
        <v>58</v>
      </c>
      <c r="B21" s="198"/>
      <c r="C21" s="198"/>
      <c r="D21" s="238">
        <f>+SUM(D19:D20)</f>
        <v>8722318.4248571433</v>
      </c>
      <c r="E21" s="40"/>
      <c r="F21" s="40"/>
      <c r="G21" s="40"/>
      <c r="H21" s="40"/>
      <c r="I21" s="40"/>
      <c r="J21" s="40"/>
      <c r="K21" s="277"/>
      <c r="L21" s="40"/>
      <c r="M21" s="40"/>
    </row>
    <row r="22" spans="1:13" ht="15" thickTop="1"/>
    <row r="23" spans="1:13">
      <c r="A23" s="239" t="s">
        <v>34</v>
      </c>
      <c r="B23" s="239" t="s">
        <v>286</v>
      </c>
      <c r="C23" s="239" t="s">
        <v>2</v>
      </c>
      <c r="D23" s="239" t="s">
        <v>287</v>
      </c>
      <c r="E23" s="239" t="s">
        <v>310</v>
      </c>
      <c r="F23" s="240" t="s">
        <v>289</v>
      </c>
      <c r="G23" s="241" t="s">
        <v>290</v>
      </c>
      <c r="H23" s="239" t="s">
        <v>291</v>
      </c>
    </row>
    <row r="24" spans="1:13" ht="13.5" customHeight="1">
      <c r="A24" s="243">
        <v>0</v>
      </c>
      <c r="B24" s="243"/>
      <c r="C24" s="243" t="s">
        <v>38</v>
      </c>
      <c r="D24" s="244">
        <f ca="1">'DATA SHEET'!C8</f>
        <v>43973</v>
      </c>
      <c r="E24" s="289">
        <f>IF(E13="1-Bedroom",50000,100000)</f>
        <v>50000</v>
      </c>
      <c r="F24" s="289"/>
      <c r="G24" s="290">
        <f>+SUM(E24:F24)</f>
        <v>50000</v>
      </c>
      <c r="H24" s="247">
        <f>D21-G24</f>
        <v>8672318.4248571433</v>
      </c>
    </row>
    <row r="25" spans="1:13" ht="13.5" customHeight="1">
      <c r="A25" s="243">
        <v>1</v>
      </c>
      <c r="B25" s="248">
        <v>0.1</v>
      </c>
      <c r="C25" s="243" t="s">
        <v>217</v>
      </c>
      <c r="D25" s="244">
        <f ca="1">EDATE(D24,1)</f>
        <v>44004</v>
      </c>
      <c r="E25" s="290">
        <f>($D$19*10%)-E24</f>
        <v>787734.75520000001</v>
      </c>
      <c r="F25" s="290">
        <f>($D$20*10%)</f>
        <v>34497.087285714289</v>
      </c>
      <c r="G25" s="290">
        <f>+SUM(E25:F25)</f>
        <v>822231.84248571435</v>
      </c>
      <c r="H25" s="291">
        <f>H24-G25</f>
        <v>7850086.5823714286</v>
      </c>
    </row>
    <row r="26" spans="1:13" ht="13.5" customHeight="1">
      <c r="A26" s="243"/>
      <c r="B26" s="248">
        <v>0.1</v>
      </c>
      <c r="C26" s="243" t="s">
        <v>297</v>
      </c>
      <c r="D26" s="244"/>
      <c r="E26" s="290"/>
      <c r="F26" s="290"/>
      <c r="G26" s="290"/>
      <c r="H26" s="291"/>
    </row>
    <row r="27" spans="1:13">
      <c r="A27" s="243">
        <f>+A25+1</f>
        <v>2</v>
      </c>
      <c r="B27" s="243"/>
      <c r="C27" s="243" t="s">
        <v>4</v>
      </c>
      <c r="D27" s="244">
        <f ca="1">EDATE(D25,1)</f>
        <v>44034</v>
      </c>
      <c r="E27" s="290">
        <f>($D$19*10%)/36</f>
        <v>23270.409866666669</v>
      </c>
      <c r="F27" s="290">
        <f>($D$20*10%)/36</f>
        <v>958.25242460317475</v>
      </c>
      <c r="G27" s="290">
        <f>+SUM(E27:F27)</f>
        <v>24228.662291269844</v>
      </c>
      <c r="H27" s="291">
        <f>H25-G27</f>
        <v>7825857.9200801589</v>
      </c>
    </row>
    <row r="28" spans="1:13">
      <c r="A28" s="243">
        <f>+A27+1</f>
        <v>3</v>
      </c>
      <c r="B28" s="243"/>
      <c r="C28" s="243" t="s">
        <v>5</v>
      </c>
      <c r="D28" s="244">
        <f t="shared" ref="D28:D63" ca="1" si="0">EDATE(D27,1)</f>
        <v>44065</v>
      </c>
      <c r="E28" s="290">
        <f t="shared" ref="E28:E62" si="1">($D$19*10%)/36</f>
        <v>23270.409866666669</v>
      </c>
      <c r="F28" s="290">
        <f t="shared" ref="F28:F62" si="2">($D$20*10%)/36</f>
        <v>958.25242460317475</v>
      </c>
      <c r="G28" s="290">
        <f t="shared" ref="G28:G63" si="3">+SUM(E28:F28)</f>
        <v>24228.662291269844</v>
      </c>
      <c r="H28" s="291">
        <f t="shared" ref="H28:H63" si="4">H27-G28</f>
        <v>7801629.2577888891</v>
      </c>
    </row>
    <row r="29" spans="1:13">
      <c r="A29" s="243">
        <f t="shared" ref="A29:A63" si="5">+A28+1</f>
        <v>4</v>
      </c>
      <c r="B29" s="243"/>
      <c r="C29" s="243" t="s">
        <v>6</v>
      </c>
      <c r="D29" s="244">
        <f t="shared" ca="1" si="0"/>
        <v>44096</v>
      </c>
      <c r="E29" s="290">
        <f t="shared" si="1"/>
        <v>23270.409866666669</v>
      </c>
      <c r="F29" s="290">
        <f t="shared" si="2"/>
        <v>958.25242460317475</v>
      </c>
      <c r="G29" s="290">
        <f t="shared" si="3"/>
        <v>24228.662291269844</v>
      </c>
      <c r="H29" s="291">
        <f t="shared" si="4"/>
        <v>7777400.5954976194</v>
      </c>
    </row>
    <row r="30" spans="1:13">
      <c r="A30" s="243">
        <f t="shared" si="5"/>
        <v>5</v>
      </c>
      <c r="B30" s="243"/>
      <c r="C30" s="243" t="s">
        <v>7</v>
      </c>
      <c r="D30" s="244">
        <f t="shared" ca="1" si="0"/>
        <v>44126</v>
      </c>
      <c r="E30" s="290">
        <f t="shared" si="1"/>
        <v>23270.409866666669</v>
      </c>
      <c r="F30" s="290">
        <f t="shared" si="2"/>
        <v>958.25242460317475</v>
      </c>
      <c r="G30" s="290">
        <f t="shared" si="3"/>
        <v>24228.662291269844</v>
      </c>
      <c r="H30" s="291">
        <f t="shared" si="4"/>
        <v>7753171.9332063496</v>
      </c>
    </row>
    <row r="31" spans="1:13">
      <c r="A31" s="243">
        <f t="shared" si="5"/>
        <v>6</v>
      </c>
      <c r="B31" s="243"/>
      <c r="C31" s="243" t="s">
        <v>8</v>
      </c>
      <c r="D31" s="244">
        <f t="shared" ca="1" si="0"/>
        <v>44157</v>
      </c>
      <c r="E31" s="290">
        <f t="shared" si="1"/>
        <v>23270.409866666669</v>
      </c>
      <c r="F31" s="290">
        <f t="shared" si="2"/>
        <v>958.25242460317475</v>
      </c>
      <c r="G31" s="290">
        <f t="shared" si="3"/>
        <v>24228.662291269844</v>
      </c>
      <c r="H31" s="291">
        <f t="shared" si="4"/>
        <v>7728943.2709150799</v>
      </c>
    </row>
    <row r="32" spans="1:13">
      <c r="A32" s="243">
        <f t="shared" si="5"/>
        <v>7</v>
      </c>
      <c r="B32" s="243"/>
      <c r="C32" s="243" t="s">
        <v>9</v>
      </c>
      <c r="D32" s="244">
        <f t="shared" ca="1" si="0"/>
        <v>44187</v>
      </c>
      <c r="E32" s="290">
        <f t="shared" si="1"/>
        <v>23270.409866666669</v>
      </c>
      <c r="F32" s="290">
        <f t="shared" si="2"/>
        <v>958.25242460317475</v>
      </c>
      <c r="G32" s="290">
        <f t="shared" si="3"/>
        <v>24228.662291269844</v>
      </c>
      <c r="H32" s="291">
        <f t="shared" si="4"/>
        <v>7704714.6086238101</v>
      </c>
    </row>
    <row r="33" spans="1:8">
      <c r="A33" s="243">
        <f t="shared" si="5"/>
        <v>8</v>
      </c>
      <c r="B33" s="243"/>
      <c r="C33" s="243" t="s">
        <v>10</v>
      </c>
      <c r="D33" s="244">
        <f t="shared" ca="1" si="0"/>
        <v>44218</v>
      </c>
      <c r="E33" s="290">
        <f t="shared" si="1"/>
        <v>23270.409866666669</v>
      </c>
      <c r="F33" s="290">
        <f t="shared" si="2"/>
        <v>958.25242460317475</v>
      </c>
      <c r="G33" s="290">
        <f t="shared" si="3"/>
        <v>24228.662291269844</v>
      </c>
      <c r="H33" s="291">
        <f t="shared" si="4"/>
        <v>7680485.9463325404</v>
      </c>
    </row>
    <row r="34" spans="1:8">
      <c r="A34" s="243">
        <f t="shared" si="5"/>
        <v>9</v>
      </c>
      <c r="B34" s="243"/>
      <c r="C34" s="243" t="s">
        <v>11</v>
      </c>
      <c r="D34" s="244">
        <f t="shared" ca="1" si="0"/>
        <v>44249</v>
      </c>
      <c r="E34" s="290">
        <f t="shared" si="1"/>
        <v>23270.409866666669</v>
      </c>
      <c r="F34" s="290">
        <f t="shared" si="2"/>
        <v>958.25242460317475</v>
      </c>
      <c r="G34" s="290">
        <f t="shared" si="3"/>
        <v>24228.662291269844</v>
      </c>
      <c r="H34" s="291">
        <f t="shared" si="4"/>
        <v>7656257.2840412706</v>
      </c>
    </row>
    <row r="35" spans="1:8">
      <c r="A35" s="243">
        <f t="shared" si="5"/>
        <v>10</v>
      </c>
      <c r="B35" s="243"/>
      <c r="C35" s="243" t="s">
        <v>12</v>
      </c>
      <c r="D35" s="244">
        <f t="shared" ca="1" si="0"/>
        <v>44277</v>
      </c>
      <c r="E35" s="290">
        <f t="shared" si="1"/>
        <v>23270.409866666669</v>
      </c>
      <c r="F35" s="290">
        <f t="shared" si="2"/>
        <v>958.25242460317475</v>
      </c>
      <c r="G35" s="290">
        <f t="shared" si="3"/>
        <v>24228.662291269844</v>
      </c>
      <c r="H35" s="291">
        <f t="shared" si="4"/>
        <v>7632028.6217500009</v>
      </c>
    </row>
    <row r="36" spans="1:8">
      <c r="A36" s="243">
        <f t="shared" si="5"/>
        <v>11</v>
      </c>
      <c r="B36" s="243"/>
      <c r="C36" s="243" t="s">
        <v>13</v>
      </c>
      <c r="D36" s="244">
        <f t="shared" ca="1" si="0"/>
        <v>44308</v>
      </c>
      <c r="E36" s="290">
        <f t="shared" si="1"/>
        <v>23270.409866666669</v>
      </c>
      <c r="F36" s="290">
        <f t="shared" si="2"/>
        <v>958.25242460317475</v>
      </c>
      <c r="G36" s="290">
        <f t="shared" si="3"/>
        <v>24228.662291269844</v>
      </c>
      <c r="H36" s="291">
        <f t="shared" si="4"/>
        <v>7607799.9594587311</v>
      </c>
    </row>
    <row r="37" spans="1:8">
      <c r="A37" s="243">
        <f t="shared" si="5"/>
        <v>12</v>
      </c>
      <c r="B37" s="243"/>
      <c r="C37" s="243" t="s">
        <v>14</v>
      </c>
      <c r="D37" s="244">
        <f t="shared" ca="1" si="0"/>
        <v>44338</v>
      </c>
      <c r="E37" s="290">
        <f t="shared" si="1"/>
        <v>23270.409866666669</v>
      </c>
      <c r="F37" s="290">
        <f t="shared" si="2"/>
        <v>958.25242460317475</v>
      </c>
      <c r="G37" s="290">
        <f t="shared" si="3"/>
        <v>24228.662291269844</v>
      </c>
      <c r="H37" s="291">
        <f t="shared" si="4"/>
        <v>7583571.2971674614</v>
      </c>
    </row>
    <row r="38" spans="1:8">
      <c r="A38" s="243">
        <f t="shared" si="5"/>
        <v>13</v>
      </c>
      <c r="B38" s="243"/>
      <c r="C38" s="243" t="s">
        <v>15</v>
      </c>
      <c r="D38" s="244">
        <f t="shared" ca="1" si="0"/>
        <v>44369</v>
      </c>
      <c r="E38" s="290">
        <f t="shared" si="1"/>
        <v>23270.409866666669</v>
      </c>
      <c r="F38" s="290">
        <f t="shared" si="2"/>
        <v>958.25242460317475</v>
      </c>
      <c r="G38" s="290">
        <f t="shared" si="3"/>
        <v>24228.662291269844</v>
      </c>
      <c r="H38" s="291">
        <f t="shared" si="4"/>
        <v>7559342.6348761916</v>
      </c>
    </row>
    <row r="39" spans="1:8">
      <c r="A39" s="243">
        <f t="shared" si="5"/>
        <v>14</v>
      </c>
      <c r="B39" s="243"/>
      <c r="C39" s="243" t="s">
        <v>19</v>
      </c>
      <c r="D39" s="244">
        <f t="shared" ca="1" si="0"/>
        <v>44399</v>
      </c>
      <c r="E39" s="290">
        <f t="shared" si="1"/>
        <v>23270.409866666669</v>
      </c>
      <c r="F39" s="290">
        <f t="shared" si="2"/>
        <v>958.25242460317475</v>
      </c>
      <c r="G39" s="290">
        <f t="shared" si="3"/>
        <v>24228.662291269844</v>
      </c>
      <c r="H39" s="291">
        <f t="shared" si="4"/>
        <v>7535113.9725849219</v>
      </c>
    </row>
    <row r="40" spans="1:8">
      <c r="A40" s="243">
        <f t="shared" si="5"/>
        <v>15</v>
      </c>
      <c r="B40" s="243"/>
      <c r="C40" s="243" t="s">
        <v>20</v>
      </c>
      <c r="D40" s="244">
        <f t="shared" ca="1" si="0"/>
        <v>44430</v>
      </c>
      <c r="E40" s="290">
        <f t="shared" si="1"/>
        <v>23270.409866666669</v>
      </c>
      <c r="F40" s="290">
        <f t="shared" si="2"/>
        <v>958.25242460317475</v>
      </c>
      <c r="G40" s="290">
        <f t="shared" si="3"/>
        <v>24228.662291269844</v>
      </c>
      <c r="H40" s="291">
        <f t="shared" si="4"/>
        <v>7510885.3102936521</v>
      </c>
    </row>
    <row r="41" spans="1:8">
      <c r="A41" s="243">
        <f t="shared" si="5"/>
        <v>16</v>
      </c>
      <c r="B41" s="243"/>
      <c r="C41" s="243" t="s">
        <v>21</v>
      </c>
      <c r="D41" s="244">
        <f t="shared" ca="1" si="0"/>
        <v>44461</v>
      </c>
      <c r="E41" s="290">
        <f t="shared" si="1"/>
        <v>23270.409866666669</v>
      </c>
      <c r="F41" s="290">
        <f t="shared" si="2"/>
        <v>958.25242460317475</v>
      </c>
      <c r="G41" s="290">
        <f t="shared" si="3"/>
        <v>24228.662291269844</v>
      </c>
      <c r="H41" s="291">
        <f t="shared" si="4"/>
        <v>7486656.6480023824</v>
      </c>
    </row>
    <row r="42" spans="1:8">
      <c r="A42" s="243">
        <f t="shared" si="5"/>
        <v>17</v>
      </c>
      <c r="B42" s="243"/>
      <c r="C42" s="243" t="s">
        <v>22</v>
      </c>
      <c r="D42" s="244">
        <f t="shared" ca="1" si="0"/>
        <v>44491</v>
      </c>
      <c r="E42" s="290">
        <f t="shared" si="1"/>
        <v>23270.409866666669</v>
      </c>
      <c r="F42" s="290">
        <f t="shared" si="2"/>
        <v>958.25242460317475</v>
      </c>
      <c r="G42" s="290">
        <f t="shared" si="3"/>
        <v>24228.662291269844</v>
      </c>
      <c r="H42" s="291">
        <f t="shared" si="4"/>
        <v>7462427.9857111126</v>
      </c>
    </row>
    <row r="43" spans="1:8">
      <c r="A43" s="243">
        <f t="shared" si="5"/>
        <v>18</v>
      </c>
      <c r="B43" s="243"/>
      <c r="C43" s="243" t="s">
        <v>23</v>
      </c>
      <c r="D43" s="244">
        <f t="shared" ca="1" si="0"/>
        <v>44522</v>
      </c>
      <c r="E43" s="290">
        <f t="shared" si="1"/>
        <v>23270.409866666669</v>
      </c>
      <c r="F43" s="290">
        <f t="shared" si="2"/>
        <v>958.25242460317475</v>
      </c>
      <c r="G43" s="290">
        <f t="shared" si="3"/>
        <v>24228.662291269844</v>
      </c>
      <c r="H43" s="291">
        <f t="shared" si="4"/>
        <v>7438199.3234198429</v>
      </c>
    </row>
    <row r="44" spans="1:8">
      <c r="A44" s="243">
        <f t="shared" si="5"/>
        <v>19</v>
      </c>
      <c r="B44" s="243"/>
      <c r="C44" s="243" t="s">
        <v>24</v>
      </c>
      <c r="D44" s="244">
        <f t="shared" ca="1" si="0"/>
        <v>44552</v>
      </c>
      <c r="E44" s="290">
        <f t="shared" si="1"/>
        <v>23270.409866666669</v>
      </c>
      <c r="F44" s="290">
        <f t="shared" si="2"/>
        <v>958.25242460317475</v>
      </c>
      <c r="G44" s="290">
        <f t="shared" si="3"/>
        <v>24228.662291269844</v>
      </c>
      <c r="H44" s="291">
        <f t="shared" si="4"/>
        <v>7413970.6611285731</v>
      </c>
    </row>
    <row r="45" spans="1:8">
      <c r="A45" s="243">
        <f t="shared" si="5"/>
        <v>20</v>
      </c>
      <c r="B45" s="243"/>
      <c r="C45" s="243" t="s">
        <v>25</v>
      </c>
      <c r="D45" s="244">
        <f t="shared" ca="1" si="0"/>
        <v>44583</v>
      </c>
      <c r="E45" s="290">
        <f t="shared" si="1"/>
        <v>23270.409866666669</v>
      </c>
      <c r="F45" s="290">
        <f t="shared" si="2"/>
        <v>958.25242460317475</v>
      </c>
      <c r="G45" s="290">
        <f t="shared" si="3"/>
        <v>24228.662291269844</v>
      </c>
      <c r="H45" s="291">
        <f t="shared" si="4"/>
        <v>7389741.9988373034</v>
      </c>
    </row>
    <row r="46" spans="1:8">
      <c r="A46" s="243">
        <f t="shared" si="5"/>
        <v>21</v>
      </c>
      <c r="B46" s="243"/>
      <c r="C46" s="243" t="s">
        <v>26</v>
      </c>
      <c r="D46" s="244">
        <f t="shared" ca="1" si="0"/>
        <v>44614</v>
      </c>
      <c r="E46" s="290">
        <f t="shared" si="1"/>
        <v>23270.409866666669</v>
      </c>
      <c r="F46" s="290">
        <f t="shared" si="2"/>
        <v>958.25242460317475</v>
      </c>
      <c r="G46" s="290">
        <f t="shared" si="3"/>
        <v>24228.662291269844</v>
      </c>
      <c r="H46" s="291">
        <f t="shared" si="4"/>
        <v>7365513.3365460336</v>
      </c>
    </row>
    <row r="47" spans="1:8">
      <c r="A47" s="243">
        <f t="shared" si="5"/>
        <v>22</v>
      </c>
      <c r="B47" s="243"/>
      <c r="C47" s="243" t="s">
        <v>27</v>
      </c>
      <c r="D47" s="244">
        <f t="shared" ca="1" si="0"/>
        <v>44642</v>
      </c>
      <c r="E47" s="290">
        <f t="shared" si="1"/>
        <v>23270.409866666669</v>
      </c>
      <c r="F47" s="290">
        <f t="shared" si="2"/>
        <v>958.25242460317475</v>
      </c>
      <c r="G47" s="290">
        <f t="shared" si="3"/>
        <v>24228.662291269844</v>
      </c>
      <c r="H47" s="291">
        <f t="shared" si="4"/>
        <v>7341284.6742547639</v>
      </c>
    </row>
    <row r="48" spans="1:8">
      <c r="A48" s="243">
        <f t="shared" si="5"/>
        <v>23</v>
      </c>
      <c r="B48" s="243"/>
      <c r="C48" s="243" t="s">
        <v>28</v>
      </c>
      <c r="D48" s="244">
        <f t="shared" ca="1" si="0"/>
        <v>44673</v>
      </c>
      <c r="E48" s="290">
        <f t="shared" si="1"/>
        <v>23270.409866666669</v>
      </c>
      <c r="F48" s="290">
        <f t="shared" si="2"/>
        <v>958.25242460317475</v>
      </c>
      <c r="G48" s="290">
        <f t="shared" si="3"/>
        <v>24228.662291269844</v>
      </c>
      <c r="H48" s="291">
        <f t="shared" si="4"/>
        <v>7317056.0119634941</v>
      </c>
    </row>
    <row r="49" spans="1:8">
      <c r="A49" s="243">
        <f t="shared" si="5"/>
        <v>24</v>
      </c>
      <c r="B49" s="243"/>
      <c r="C49" s="243" t="s">
        <v>29</v>
      </c>
      <c r="D49" s="244">
        <f t="shared" ca="1" si="0"/>
        <v>44703</v>
      </c>
      <c r="E49" s="290">
        <f t="shared" si="1"/>
        <v>23270.409866666669</v>
      </c>
      <c r="F49" s="290">
        <f t="shared" si="2"/>
        <v>958.25242460317475</v>
      </c>
      <c r="G49" s="290">
        <f t="shared" si="3"/>
        <v>24228.662291269844</v>
      </c>
      <c r="H49" s="291">
        <f t="shared" si="4"/>
        <v>7292827.3496722244</v>
      </c>
    </row>
    <row r="50" spans="1:8">
      <c r="A50" s="243">
        <f t="shared" si="5"/>
        <v>25</v>
      </c>
      <c r="B50" s="243"/>
      <c r="C50" s="243" t="s">
        <v>30</v>
      </c>
      <c r="D50" s="244">
        <f t="shared" ca="1" si="0"/>
        <v>44734</v>
      </c>
      <c r="E50" s="290">
        <f t="shared" si="1"/>
        <v>23270.409866666669</v>
      </c>
      <c r="F50" s="290">
        <f t="shared" si="2"/>
        <v>958.25242460317475</v>
      </c>
      <c r="G50" s="290">
        <f t="shared" si="3"/>
        <v>24228.662291269844</v>
      </c>
      <c r="H50" s="291">
        <f t="shared" si="4"/>
        <v>7268598.6873809546</v>
      </c>
    </row>
    <row r="51" spans="1:8">
      <c r="A51" s="243">
        <f t="shared" si="5"/>
        <v>26</v>
      </c>
      <c r="B51" s="243"/>
      <c r="C51" s="243" t="s">
        <v>48</v>
      </c>
      <c r="D51" s="244">
        <f t="shared" ca="1" si="0"/>
        <v>44764</v>
      </c>
      <c r="E51" s="290">
        <f t="shared" si="1"/>
        <v>23270.409866666669</v>
      </c>
      <c r="F51" s="290">
        <f t="shared" si="2"/>
        <v>958.25242460317475</v>
      </c>
      <c r="G51" s="290">
        <f t="shared" si="3"/>
        <v>24228.662291269844</v>
      </c>
      <c r="H51" s="291">
        <f t="shared" si="4"/>
        <v>7244370.0250896849</v>
      </c>
    </row>
    <row r="52" spans="1:8">
      <c r="A52" s="243">
        <f t="shared" si="5"/>
        <v>27</v>
      </c>
      <c r="B52" s="243"/>
      <c r="C52" s="243" t="s">
        <v>49</v>
      </c>
      <c r="D52" s="244">
        <f t="shared" ca="1" si="0"/>
        <v>44795</v>
      </c>
      <c r="E52" s="290">
        <f t="shared" si="1"/>
        <v>23270.409866666669</v>
      </c>
      <c r="F52" s="290">
        <f t="shared" si="2"/>
        <v>958.25242460317475</v>
      </c>
      <c r="G52" s="290">
        <f t="shared" si="3"/>
        <v>24228.662291269844</v>
      </c>
      <c r="H52" s="291">
        <f t="shared" si="4"/>
        <v>7220141.3627984151</v>
      </c>
    </row>
    <row r="53" spans="1:8">
      <c r="A53" s="243">
        <f t="shared" si="5"/>
        <v>28</v>
      </c>
      <c r="B53" s="243"/>
      <c r="C53" s="243" t="s">
        <v>50</v>
      </c>
      <c r="D53" s="244">
        <f t="shared" ca="1" si="0"/>
        <v>44826</v>
      </c>
      <c r="E53" s="290">
        <f t="shared" si="1"/>
        <v>23270.409866666669</v>
      </c>
      <c r="F53" s="290">
        <f t="shared" si="2"/>
        <v>958.25242460317475</v>
      </c>
      <c r="G53" s="290">
        <f t="shared" si="3"/>
        <v>24228.662291269844</v>
      </c>
      <c r="H53" s="291">
        <f t="shared" si="4"/>
        <v>7195912.7005071454</v>
      </c>
    </row>
    <row r="54" spans="1:8">
      <c r="A54" s="243">
        <f t="shared" si="5"/>
        <v>29</v>
      </c>
      <c r="B54" s="243"/>
      <c r="C54" s="243" t="s">
        <v>51</v>
      </c>
      <c r="D54" s="244">
        <f t="shared" ca="1" si="0"/>
        <v>44856</v>
      </c>
      <c r="E54" s="290">
        <f t="shared" si="1"/>
        <v>23270.409866666669</v>
      </c>
      <c r="F54" s="290">
        <f t="shared" si="2"/>
        <v>958.25242460317475</v>
      </c>
      <c r="G54" s="290">
        <f t="shared" si="3"/>
        <v>24228.662291269844</v>
      </c>
      <c r="H54" s="291">
        <f t="shared" si="4"/>
        <v>7171684.0382158756</v>
      </c>
    </row>
    <row r="55" spans="1:8">
      <c r="A55" s="243">
        <f t="shared" si="5"/>
        <v>30</v>
      </c>
      <c r="B55" s="243"/>
      <c r="C55" s="243" t="s">
        <v>52</v>
      </c>
      <c r="D55" s="244">
        <f t="shared" ca="1" si="0"/>
        <v>44887</v>
      </c>
      <c r="E55" s="290">
        <f t="shared" si="1"/>
        <v>23270.409866666669</v>
      </c>
      <c r="F55" s="290">
        <f t="shared" si="2"/>
        <v>958.25242460317475</v>
      </c>
      <c r="G55" s="290">
        <f t="shared" si="3"/>
        <v>24228.662291269844</v>
      </c>
      <c r="H55" s="291">
        <f t="shared" si="4"/>
        <v>7147455.3759246059</v>
      </c>
    </row>
    <row r="56" spans="1:8">
      <c r="A56" s="243">
        <f t="shared" si="5"/>
        <v>31</v>
      </c>
      <c r="B56" s="243"/>
      <c r="C56" s="243" t="s">
        <v>53</v>
      </c>
      <c r="D56" s="244">
        <f t="shared" ca="1" si="0"/>
        <v>44917</v>
      </c>
      <c r="E56" s="290">
        <f t="shared" si="1"/>
        <v>23270.409866666669</v>
      </c>
      <c r="F56" s="290">
        <f t="shared" si="2"/>
        <v>958.25242460317475</v>
      </c>
      <c r="G56" s="290">
        <f t="shared" si="3"/>
        <v>24228.662291269844</v>
      </c>
      <c r="H56" s="291">
        <f t="shared" si="4"/>
        <v>7123226.7136333361</v>
      </c>
    </row>
    <row r="57" spans="1:8">
      <c r="A57" s="243">
        <f t="shared" si="5"/>
        <v>32</v>
      </c>
      <c r="B57" s="243"/>
      <c r="C57" s="243" t="s">
        <v>93</v>
      </c>
      <c r="D57" s="244">
        <f t="shared" ca="1" si="0"/>
        <v>44948</v>
      </c>
      <c r="E57" s="290">
        <f t="shared" si="1"/>
        <v>23270.409866666669</v>
      </c>
      <c r="F57" s="290">
        <f t="shared" si="2"/>
        <v>958.25242460317475</v>
      </c>
      <c r="G57" s="290">
        <f t="shared" si="3"/>
        <v>24228.662291269844</v>
      </c>
      <c r="H57" s="291">
        <f t="shared" si="4"/>
        <v>7098998.0513420664</v>
      </c>
    </row>
    <row r="58" spans="1:8">
      <c r="A58" s="243">
        <f t="shared" si="5"/>
        <v>33</v>
      </c>
      <c r="B58" s="243"/>
      <c r="C58" s="243" t="s">
        <v>94</v>
      </c>
      <c r="D58" s="244">
        <f t="shared" ca="1" si="0"/>
        <v>44979</v>
      </c>
      <c r="E58" s="290">
        <f t="shared" si="1"/>
        <v>23270.409866666669</v>
      </c>
      <c r="F58" s="290">
        <f t="shared" si="2"/>
        <v>958.25242460317475</v>
      </c>
      <c r="G58" s="290">
        <f t="shared" si="3"/>
        <v>24228.662291269844</v>
      </c>
      <c r="H58" s="291">
        <f t="shared" si="4"/>
        <v>7074769.3890507966</v>
      </c>
    </row>
    <row r="59" spans="1:8">
      <c r="A59" s="243">
        <f t="shared" si="5"/>
        <v>34</v>
      </c>
      <c r="B59" s="243"/>
      <c r="C59" s="243" t="s">
        <v>95</v>
      </c>
      <c r="D59" s="244">
        <f t="shared" ca="1" si="0"/>
        <v>45007</v>
      </c>
      <c r="E59" s="290">
        <f t="shared" si="1"/>
        <v>23270.409866666669</v>
      </c>
      <c r="F59" s="290">
        <f t="shared" si="2"/>
        <v>958.25242460317475</v>
      </c>
      <c r="G59" s="290">
        <f t="shared" si="3"/>
        <v>24228.662291269844</v>
      </c>
      <c r="H59" s="291">
        <f t="shared" si="4"/>
        <v>7050540.7267595269</v>
      </c>
    </row>
    <row r="60" spans="1:8">
      <c r="A60" s="243">
        <f t="shared" si="5"/>
        <v>35</v>
      </c>
      <c r="B60" s="243"/>
      <c r="C60" s="243" t="s">
        <v>96</v>
      </c>
      <c r="D60" s="244">
        <f t="shared" ca="1" si="0"/>
        <v>45038</v>
      </c>
      <c r="E60" s="290">
        <f t="shared" si="1"/>
        <v>23270.409866666669</v>
      </c>
      <c r="F60" s="290">
        <f t="shared" si="2"/>
        <v>958.25242460317475</v>
      </c>
      <c r="G60" s="290">
        <f t="shared" si="3"/>
        <v>24228.662291269844</v>
      </c>
      <c r="H60" s="291">
        <f t="shared" si="4"/>
        <v>7026312.0644682571</v>
      </c>
    </row>
    <row r="61" spans="1:8">
      <c r="A61" s="243">
        <f t="shared" si="5"/>
        <v>36</v>
      </c>
      <c r="B61" s="243"/>
      <c r="C61" s="243" t="s">
        <v>97</v>
      </c>
      <c r="D61" s="244">
        <f t="shared" ca="1" si="0"/>
        <v>45068</v>
      </c>
      <c r="E61" s="290">
        <f t="shared" si="1"/>
        <v>23270.409866666669</v>
      </c>
      <c r="F61" s="290">
        <f t="shared" si="2"/>
        <v>958.25242460317475</v>
      </c>
      <c r="G61" s="290">
        <f t="shared" si="3"/>
        <v>24228.662291269844</v>
      </c>
      <c r="H61" s="291">
        <f t="shared" si="4"/>
        <v>7002083.4021769874</v>
      </c>
    </row>
    <row r="62" spans="1:8">
      <c r="A62" s="243">
        <f t="shared" si="5"/>
        <v>37</v>
      </c>
      <c r="B62" s="243"/>
      <c r="C62" s="243" t="s">
        <v>98</v>
      </c>
      <c r="D62" s="244">
        <f t="shared" ca="1" si="0"/>
        <v>45099</v>
      </c>
      <c r="E62" s="290">
        <f t="shared" si="1"/>
        <v>23270.409866666669</v>
      </c>
      <c r="F62" s="290">
        <f t="shared" si="2"/>
        <v>958.25242460317475</v>
      </c>
      <c r="G62" s="290">
        <f t="shared" si="3"/>
        <v>24228.662291269844</v>
      </c>
      <c r="H62" s="291">
        <f t="shared" si="4"/>
        <v>6977854.7398857176</v>
      </c>
    </row>
    <row r="63" spans="1:8">
      <c r="A63" s="243">
        <f t="shared" si="5"/>
        <v>38</v>
      </c>
      <c r="B63" s="248">
        <v>0.8</v>
      </c>
      <c r="C63" s="243" t="s">
        <v>196</v>
      </c>
      <c r="D63" s="244">
        <f t="shared" ca="1" si="0"/>
        <v>45129</v>
      </c>
      <c r="E63" s="289">
        <f>D19*80%</f>
        <v>6701878.0416000001</v>
      </c>
      <c r="F63" s="289">
        <f>D20*80%</f>
        <v>275976.69828571432</v>
      </c>
      <c r="G63" s="290">
        <f t="shared" si="3"/>
        <v>6977854.7398857148</v>
      </c>
      <c r="H63" s="291">
        <f t="shared" si="4"/>
        <v>0</v>
      </c>
    </row>
    <row r="64" spans="1:8">
      <c r="A64" s="250"/>
      <c r="B64" s="250"/>
      <c r="C64" s="292" t="s">
        <v>16</v>
      </c>
      <c r="D64" s="293"/>
      <c r="E64" s="249">
        <f>SUM(E24:E63)</f>
        <v>8377347.5519999992</v>
      </c>
      <c r="F64" s="249">
        <f t="shared" ref="F64:G64" si="6">SUM(F24:F63)</f>
        <v>344970.87285714288</v>
      </c>
      <c r="G64" s="249">
        <f t="shared" si="6"/>
        <v>8722318.4248571415</v>
      </c>
      <c r="H64" s="250"/>
    </row>
    <row r="65" spans="1:8" s="197" customFormat="1">
      <c r="C65" s="206"/>
      <c r="D65" s="207"/>
      <c r="E65" s="208"/>
      <c r="F65" s="208"/>
      <c r="G65" s="208"/>
    </row>
    <row r="66" spans="1:8" s="197" customFormat="1">
      <c r="A66" s="374" t="s">
        <v>313</v>
      </c>
      <c r="B66" s="374"/>
      <c r="C66" s="374"/>
      <c r="D66" s="374"/>
      <c r="E66" s="374"/>
      <c r="F66" s="374"/>
      <c r="G66" s="374"/>
      <c r="H66" s="374"/>
    </row>
    <row r="67" spans="1:8" s="197" customFormat="1" ht="29.25" customHeight="1">
      <c r="A67" s="388" t="s">
        <v>314</v>
      </c>
      <c r="B67" s="388"/>
      <c r="C67" s="388"/>
      <c r="D67" s="388"/>
      <c r="E67" s="388"/>
      <c r="F67" s="388"/>
      <c r="G67" s="388"/>
      <c r="H67" s="388"/>
    </row>
    <row r="68" spans="1:8" s="197" customFormat="1" ht="16.5" customHeight="1">
      <c r="A68" s="374" t="s">
        <v>315</v>
      </c>
      <c r="B68" s="374"/>
      <c r="C68" s="374"/>
      <c r="D68" s="374"/>
      <c r="E68" s="374"/>
      <c r="F68" s="374"/>
      <c r="G68" s="374"/>
      <c r="H68" s="374"/>
    </row>
    <row r="69" spans="1:8" s="197" customFormat="1" ht="16.5" customHeight="1">
      <c r="A69" s="374" t="s">
        <v>316</v>
      </c>
      <c r="B69" s="374"/>
      <c r="C69" s="374"/>
      <c r="D69" s="374"/>
      <c r="E69" s="374"/>
      <c r="F69" s="374"/>
      <c r="G69" s="374"/>
      <c r="H69" s="374"/>
    </row>
    <row r="70" spans="1:8" s="197" customFormat="1" ht="16.5" customHeight="1">
      <c r="A70" s="374" t="s">
        <v>317</v>
      </c>
      <c r="B70" s="374"/>
      <c r="C70" s="374"/>
      <c r="D70" s="374"/>
      <c r="E70" s="374"/>
      <c r="F70" s="374"/>
      <c r="G70" s="374"/>
      <c r="H70" s="374"/>
    </row>
    <row r="71" spans="1:8" s="197" customFormat="1" ht="107.25" customHeight="1">
      <c r="A71" s="374" t="s">
        <v>318</v>
      </c>
      <c r="B71" s="374"/>
      <c r="C71" s="374"/>
      <c r="D71" s="374"/>
      <c r="E71" s="374"/>
      <c r="F71" s="374"/>
      <c r="G71" s="374"/>
      <c r="H71" s="374"/>
    </row>
    <row r="72" spans="1:8" s="197" customFormat="1" ht="42" customHeight="1">
      <c r="A72" s="374" t="s">
        <v>319</v>
      </c>
      <c r="B72" s="374"/>
      <c r="C72" s="374"/>
      <c r="D72" s="374"/>
      <c r="E72" s="374"/>
      <c r="F72" s="374"/>
      <c r="G72" s="374"/>
      <c r="H72" s="374"/>
    </row>
    <row r="73" spans="1:8" s="197" customFormat="1" ht="18.75" customHeight="1">
      <c r="A73" s="374" t="s">
        <v>320</v>
      </c>
      <c r="B73" s="374"/>
      <c r="C73" s="374"/>
      <c r="D73" s="374"/>
      <c r="E73" s="374"/>
      <c r="F73" s="374"/>
      <c r="G73" s="374"/>
      <c r="H73" s="374"/>
    </row>
    <row r="74" spans="1:8" s="197" customFormat="1">
      <c r="A74" s="374"/>
      <c r="B74" s="374"/>
      <c r="C74" s="374"/>
      <c r="D74" s="374"/>
      <c r="E74" s="374"/>
      <c r="F74" s="374"/>
      <c r="G74" s="374"/>
      <c r="H74" s="374"/>
    </row>
    <row r="75" spans="1:8" s="197" customFormat="1">
      <c r="A75" s="197" t="s">
        <v>17</v>
      </c>
      <c r="D75" s="209"/>
      <c r="G75" s="198"/>
    </row>
    <row r="76" spans="1:8" s="197" customFormat="1">
      <c r="D76" s="209"/>
      <c r="G76" s="198"/>
    </row>
    <row r="77" spans="1:8" s="197" customFormat="1" ht="15" customHeight="1">
      <c r="A77" s="210"/>
      <c r="B77" s="210"/>
      <c r="C77" s="210"/>
      <c r="D77" s="209"/>
      <c r="E77" s="210"/>
      <c r="F77" s="210"/>
      <c r="G77" s="211"/>
    </row>
    <row r="78" spans="1:8" s="197" customFormat="1">
      <c r="A78" s="375" t="s">
        <v>293</v>
      </c>
      <c r="B78" s="375"/>
      <c r="C78" s="375"/>
      <c r="D78" s="209"/>
      <c r="E78" s="375" t="s">
        <v>18</v>
      </c>
      <c r="F78" s="375"/>
      <c r="G78" s="375"/>
    </row>
    <row r="79" spans="1:8"/>
  </sheetData>
  <sheetProtection password="CAF1" sheet="1" selectLockedCells="1"/>
  <mergeCells count="18">
    <mergeCell ref="A69:H69"/>
    <mergeCell ref="A70:H70"/>
    <mergeCell ref="A71:H71"/>
    <mergeCell ref="C9:H9"/>
    <mergeCell ref="C10:H10"/>
    <mergeCell ref="A66:H66"/>
    <mergeCell ref="A67:H67"/>
    <mergeCell ref="A68:H68"/>
    <mergeCell ref="H1:H2"/>
    <mergeCell ref="C5:H5"/>
    <mergeCell ref="C6:H6"/>
    <mergeCell ref="C7:H7"/>
    <mergeCell ref="C8:H8"/>
    <mergeCell ref="A72:H72"/>
    <mergeCell ref="A73:H73"/>
    <mergeCell ref="A74:H74"/>
    <mergeCell ref="A78:C78"/>
    <mergeCell ref="E78:G78"/>
  </mergeCells>
  <hyperlinks>
    <hyperlink ref="C1" location="'DATA SHEET'!A1" display="HIGHLANDS PRIME, INC." xr:uid="{00000000-0004-0000-1600-000000000000}"/>
    <hyperlink ref="J3" location="'DATA SHEET'!A1" display="Return to Data Sheet" xr:uid="{00000000-0004-0000-1600-000001000000}"/>
  </hyperlinks>
  <pageMargins left="0.7" right="0.7" top="0.75" bottom="0.75" header="0.3" footer="0.3"/>
  <pageSetup paperSize="258" scale="73" orientation="portrait" verticalDpi="0" r:id="rId1"/>
  <ignoredErrors>
    <ignoredError sqref="C10 D16" unlockedFormula="1"/>
    <ignoredError sqref="D20" formula="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7941D"/>
  </sheetPr>
  <dimension ref="A1:L81"/>
  <sheetViews>
    <sheetView showGridLines="0" zoomScaleNormal="100" workbookViewId="0">
      <selection activeCell="C15" sqref="C15"/>
    </sheetView>
  </sheetViews>
  <sheetFormatPr baseColWidth="10" defaultColWidth="0" defaultRowHeight="15" zeroHeight="1"/>
  <cols>
    <col min="1" max="1" width="12.1640625" style="39" customWidth="1"/>
    <col min="2" max="2" width="10.5" style="39" customWidth="1"/>
    <col min="3" max="3" width="24" style="39" customWidth="1"/>
    <col min="4" max="4" width="13.5" style="40" bestFit="1" customWidth="1"/>
    <col min="5" max="5" width="14.5" style="39" bestFit="1" customWidth="1"/>
    <col min="6" max="6" width="14.83203125" style="39" bestFit="1" customWidth="1"/>
    <col min="7" max="7" width="14.33203125" style="280" bestFit="1" customWidth="1"/>
    <col min="8" max="8" width="16.5" style="280" bestFit="1" customWidth="1"/>
    <col min="9" max="12" width="9.1640625" style="280" customWidth="1"/>
    <col min="13" max="16384" width="9.1640625" style="280" hidden="1"/>
  </cols>
  <sheetData>
    <row r="1" spans="1:10">
      <c r="C1" s="212" t="s">
        <v>35</v>
      </c>
      <c r="H1" s="376" t="s">
        <v>66</v>
      </c>
    </row>
    <row r="2" spans="1:10">
      <c r="C2" s="41" t="s">
        <v>207</v>
      </c>
      <c r="H2" s="376"/>
    </row>
    <row r="3" spans="1:10">
      <c r="C3" s="41" t="s">
        <v>36</v>
      </c>
      <c r="H3" s="39"/>
      <c r="J3" s="251" t="s">
        <v>215</v>
      </c>
    </row>
    <row r="4" spans="1:10">
      <c r="H4" s="39"/>
    </row>
    <row r="5" spans="1:10">
      <c r="A5" s="213" t="s">
        <v>0</v>
      </c>
      <c r="B5" s="269"/>
      <c r="C5" s="377" t="str">
        <f>'DATA SHEET'!C9</f>
        <v xml:space="preserve"> </v>
      </c>
      <c r="D5" s="377"/>
      <c r="E5" s="377"/>
      <c r="F5" s="377"/>
      <c r="G5" s="377"/>
      <c r="H5" s="378"/>
    </row>
    <row r="6" spans="1:10">
      <c r="A6" s="215" t="s">
        <v>31</v>
      </c>
      <c r="B6" s="216"/>
      <c r="C6" s="379" t="str">
        <f>VLOOKUP('DATA SHEET'!$C$10,' Glenview PL'!C6:G41,1,FALSE)</f>
        <v>GB</v>
      </c>
      <c r="D6" s="379"/>
      <c r="E6" s="379"/>
      <c r="F6" s="379"/>
      <c r="G6" s="379"/>
      <c r="H6" s="390"/>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row>
    <row r="9" spans="1:10">
      <c r="A9" s="407" t="s">
        <v>294</v>
      </c>
      <c r="B9" s="408"/>
      <c r="C9" s="382">
        <f>VLOOKUP('DATA SHEET'!C10,' Glenview PL'!C6:G41,4,0)</f>
        <v>8851760</v>
      </c>
      <c r="D9" s="382"/>
      <c r="E9" s="382"/>
      <c r="F9" s="382"/>
      <c r="G9" s="382"/>
      <c r="H9" s="383"/>
    </row>
    <row r="10" spans="1:10">
      <c r="A10" s="224" t="s">
        <v>33</v>
      </c>
      <c r="B10" s="225"/>
      <c r="C10" s="393" t="str">
        <f>+'DATA SHEET'!C22</f>
        <v>5% DP, 20% over 36 months, 75% Lumpsum</v>
      </c>
      <c r="D10" s="393"/>
      <c r="E10" s="393"/>
      <c r="F10" s="393"/>
      <c r="G10" s="393"/>
      <c r="H10" s="394"/>
    </row>
    <row r="11" spans="1:10"/>
    <row r="12" spans="1:10">
      <c r="A12" s="41" t="s">
        <v>55</v>
      </c>
      <c r="B12" s="41"/>
    </row>
    <row r="13" spans="1:10">
      <c r="A13" s="197" t="s">
        <v>307</v>
      </c>
      <c r="D13" s="42">
        <f>(C9-650000)</f>
        <v>8201760</v>
      </c>
      <c r="E13" s="226" t="str">
        <f>LEFT(C8,9)</f>
        <v>1-Bedroom</v>
      </c>
    </row>
    <row r="14" spans="1:10">
      <c r="A14" s="227" t="s">
        <v>72</v>
      </c>
      <c r="B14" s="228"/>
      <c r="C14" s="306">
        <v>5.0000000000000001E-3</v>
      </c>
      <c r="D14" s="229">
        <f>IF(C14&lt;=0.5%,D13*C14,"BEYOND MAX")</f>
        <v>41008.800000000003</v>
      </c>
      <c r="E14" s="226"/>
    </row>
    <row r="15" spans="1:10">
      <c r="A15" s="227" t="s">
        <v>325</v>
      </c>
      <c r="B15" s="228"/>
      <c r="C15" s="306">
        <v>0.01</v>
      </c>
      <c r="D15" s="229">
        <f>IF(C15&lt;=1%,((D13-D14)*C15),"BEYOND MAX")</f>
        <v>81607.512000000002</v>
      </c>
      <c r="E15" s="294">
        <f>VLOOKUP(C6,' Glenview PL'!C:G,5,0)</f>
        <v>230000</v>
      </c>
    </row>
    <row r="16" spans="1:10">
      <c r="A16" s="227" t="s">
        <v>326</v>
      </c>
      <c r="B16" s="228"/>
      <c r="C16" s="196"/>
      <c r="D16" s="87">
        <f>VLOOKUP('DATA SHEET'!C10,' Glenview PL'!$C$6:$G$41,5,0)</f>
        <v>230000</v>
      </c>
      <c r="E16" s="294"/>
    </row>
    <row r="17" spans="1:8">
      <c r="A17" s="197" t="s">
        <v>308</v>
      </c>
      <c r="B17" s="228"/>
      <c r="C17" s="196"/>
      <c r="D17" s="230">
        <f>+D13-SUM(D14:D16)</f>
        <v>7849143.6880000001</v>
      </c>
      <c r="E17" s="231"/>
      <c r="F17" s="281"/>
    </row>
    <row r="18" spans="1:8">
      <c r="A18" s="232" t="s">
        <v>214</v>
      </c>
      <c r="B18" s="228"/>
      <c r="C18" s="196"/>
      <c r="D18" s="233">
        <v>650000</v>
      </c>
      <c r="E18" s="231"/>
      <c r="F18" s="281"/>
    </row>
    <row r="19" spans="1:8">
      <c r="A19" s="234" t="s">
        <v>309</v>
      </c>
      <c r="B19" s="228"/>
      <c r="C19" s="196"/>
      <c r="D19" s="295">
        <f>+SUM(D17:D18)</f>
        <v>8499143.688000001</v>
      </c>
      <c r="E19" s="231"/>
      <c r="F19" s="281"/>
    </row>
    <row r="20" spans="1:8">
      <c r="A20" s="236" t="s">
        <v>285</v>
      </c>
      <c r="C20" s="200">
        <v>0.05</v>
      </c>
      <c r="D20" s="237">
        <f>(D17/1.12)*C20</f>
        <v>350408.20035714284</v>
      </c>
      <c r="E20" s="231"/>
      <c r="F20" s="281"/>
    </row>
    <row r="21" spans="1:8" ht="16" thickBot="1">
      <c r="A21" s="198" t="s">
        <v>58</v>
      </c>
      <c r="D21" s="238">
        <f>+SUM(D19:D20)</f>
        <v>8849551.8883571438</v>
      </c>
      <c r="E21" s="231"/>
      <c r="F21" s="281"/>
    </row>
    <row r="22" spans="1:8" ht="9.75" customHeight="1" thickTop="1"/>
    <row r="23" spans="1:8">
      <c r="A23" s="239" t="s">
        <v>34</v>
      </c>
      <c r="B23" s="239" t="s">
        <v>286</v>
      </c>
      <c r="C23" s="239" t="s">
        <v>2</v>
      </c>
      <c r="D23" s="239" t="s">
        <v>287</v>
      </c>
      <c r="E23" s="239" t="s">
        <v>310</v>
      </c>
      <c r="F23" s="240" t="s">
        <v>289</v>
      </c>
      <c r="G23" s="241" t="s">
        <v>290</v>
      </c>
      <c r="H23" s="239" t="s">
        <v>291</v>
      </c>
    </row>
    <row r="24" spans="1:8">
      <c r="A24" s="401" t="s">
        <v>292</v>
      </c>
      <c r="B24" s="402"/>
      <c r="C24" s="402"/>
      <c r="D24" s="402"/>
      <c r="E24" s="402"/>
      <c r="F24" s="402"/>
      <c r="G24" s="403"/>
      <c r="H24" s="242">
        <f>+D21</f>
        <v>8849551.8883571438</v>
      </c>
    </row>
    <row r="25" spans="1:8">
      <c r="A25" s="243">
        <v>0</v>
      </c>
      <c r="B25" s="243"/>
      <c r="C25" s="243" t="s">
        <v>38</v>
      </c>
      <c r="D25" s="244">
        <f ca="1">'DATA SHEET'!C8</f>
        <v>43973</v>
      </c>
      <c r="E25" s="245">
        <f>IF(E13="1-Bedroom",50000,100000)</f>
        <v>50000</v>
      </c>
      <c r="F25" s="296"/>
      <c r="G25" s="297">
        <f>+SUM(E25:F25)</f>
        <v>50000</v>
      </c>
      <c r="H25" s="247">
        <f>D21-E25</f>
        <v>8799551.8883571438</v>
      </c>
    </row>
    <row r="26" spans="1:8">
      <c r="A26" s="243">
        <v>1</v>
      </c>
      <c r="B26" s="248">
        <v>0.05</v>
      </c>
      <c r="C26" s="243" t="s">
        <v>217</v>
      </c>
      <c r="D26" s="244">
        <f ca="1">EDATE(D25,1)</f>
        <v>44004</v>
      </c>
      <c r="E26" s="245">
        <f>($D$19*5%)-E25</f>
        <v>374957.18440000009</v>
      </c>
      <c r="F26" s="245">
        <f>($D$20*5%)</f>
        <v>17520.410017857143</v>
      </c>
      <c r="G26" s="297">
        <f t="shared" ref="G26:G64" si="0">+SUM(E26:F26)</f>
        <v>392477.59441785724</v>
      </c>
      <c r="H26" s="247">
        <f>H25-G26</f>
        <v>8407074.2939392868</v>
      </c>
    </row>
    <row r="27" spans="1:8">
      <c r="A27" s="243"/>
      <c r="B27" s="248">
        <v>0.2</v>
      </c>
      <c r="C27" s="243" t="s">
        <v>297</v>
      </c>
      <c r="D27" s="244"/>
      <c r="E27" s="245"/>
      <c r="F27" s="245"/>
      <c r="G27" s="297"/>
      <c r="H27" s="247"/>
    </row>
    <row r="28" spans="1:8">
      <c r="A28" s="243">
        <f>+A26+1</f>
        <v>2</v>
      </c>
      <c r="B28" s="243"/>
      <c r="C28" s="243" t="s">
        <v>4</v>
      </c>
      <c r="D28" s="244">
        <f ca="1">EDATE(D26,1)</f>
        <v>44034</v>
      </c>
      <c r="E28" s="245">
        <f>($D$19*20%)/36</f>
        <v>47217.464933333344</v>
      </c>
      <c r="F28" s="245">
        <f>($D$20*20%)/36</f>
        <v>1946.7122242063492</v>
      </c>
      <c r="G28" s="297">
        <f t="shared" si="0"/>
        <v>49164.177157539692</v>
      </c>
      <c r="H28" s="247">
        <f>H26-G28</f>
        <v>8357910.116781747</v>
      </c>
    </row>
    <row r="29" spans="1:8">
      <c r="A29" s="243">
        <f t="shared" ref="A29:A64" si="1">+A28+1</f>
        <v>3</v>
      </c>
      <c r="B29" s="243"/>
      <c r="C29" s="243" t="s">
        <v>5</v>
      </c>
      <c r="D29" s="244">
        <f t="shared" ref="D29:D64" ca="1" si="2">EDATE(D28,1)</f>
        <v>44065</v>
      </c>
      <c r="E29" s="245">
        <f t="shared" ref="E29:E63" si="3">($D$19*20%)/36</f>
        <v>47217.464933333344</v>
      </c>
      <c r="F29" s="245">
        <f t="shared" ref="F29:F63" si="4">($D$20*20%)/36</f>
        <v>1946.7122242063492</v>
      </c>
      <c r="G29" s="297">
        <f t="shared" si="0"/>
        <v>49164.177157539692</v>
      </c>
      <c r="H29" s="247">
        <f t="shared" ref="H29:H64" si="5">H28-G29</f>
        <v>8308745.9396242071</v>
      </c>
    </row>
    <row r="30" spans="1:8">
      <c r="A30" s="243">
        <f t="shared" si="1"/>
        <v>4</v>
      </c>
      <c r="B30" s="243"/>
      <c r="C30" s="243" t="s">
        <v>6</v>
      </c>
      <c r="D30" s="244">
        <f t="shared" ca="1" si="2"/>
        <v>44096</v>
      </c>
      <c r="E30" s="245">
        <f t="shared" si="3"/>
        <v>47217.464933333344</v>
      </c>
      <c r="F30" s="245">
        <f t="shared" si="4"/>
        <v>1946.7122242063492</v>
      </c>
      <c r="G30" s="297">
        <f t="shared" si="0"/>
        <v>49164.177157539692</v>
      </c>
      <c r="H30" s="247">
        <f t="shared" si="5"/>
        <v>8259581.7624666672</v>
      </c>
    </row>
    <row r="31" spans="1:8">
      <c r="A31" s="243">
        <f t="shared" si="1"/>
        <v>5</v>
      </c>
      <c r="B31" s="243"/>
      <c r="C31" s="243" t="s">
        <v>7</v>
      </c>
      <c r="D31" s="244">
        <f t="shared" ca="1" si="2"/>
        <v>44126</v>
      </c>
      <c r="E31" s="245">
        <f t="shared" si="3"/>
        <v>47217.464933333344</v>
      </c>
      <c r="F31" s="245">
        <f t="shared" si="4"/>
        <v>1946.7122242063492</v>
      </c>
      <c r="G31" s="297">
        <f t="shared" si="0"/>
        <v>49164.177157539692</v>
      </c>
      <c r="H31" s="247">
        <f t="shared" si="5"/>
        <v>8210417.5853091273</v>
      </c>
    </row>
    <row r="32" spans="1:8">
      <c r="A32" s="243">
        <f t="shared" si="1"/>
        <v>6</v>
      </c>
      <c r="B32" s="243"/>
      <c r="C32" s="243" t="s">
        <v>8</v>
      </c>
      <c r="D32" s="244">
        <f t="shared" ca="1" si="2"/>
        <v>44157</v>
      </c>
      <c r="E32" s="245">
        <f t="shared" si="3"/>
        <v>47217.464933333344</v>
      </c>
      <c r="F32" s="245">
        <f t="shared" si="4"/>
        <v>1946.7122242063492</v>
      </c>
      <c r="G32" s="297">
        <f t="shared" si="0"/>
        <v>49164.177157539692</v>
      </c>
      <c r="H32" s="247">
        <f t="shared" si="5"/>
        <v>8161253.4081515875</v>
      </c>
    </row>
    <row r="33" spans="1:8">
      <c r="A33" s="243">
        <f t="shared" si="1"/>
        <v>7</v>
      </c>
      <c r="B33" s="243"/>
      <c r="C33" s="243" t="s">
        <v>9</v>
      </c>
      <c r="D33" s="244">
        <f t="shared" ca="1" si="2"/>
        <v>44187</v>
      </c>
      <c r="E33" s="245">
        <f t="shared" si="3"/>
        <v>47217.464933333344</v>
      </c>
      <c r="F33" s="245">
        <f t="shared" si="4"/>
        <v>1946.7122242063492</v>
      </c>
      <c r="G33" s="297">
        <f t="shared" si="0"/>
        <v>49164.177157539692</v>
      </c>
      <c r="H33" s="247">
        <f t="shared" si="5"/>
        <v>8112089.2309940476</v>
      </c>
    </row>
    <row r="34" spans="1:8">
      <c r="A34" s="243">
        <f t="shared" si="1"/>
        <v>8</v>
      </c>
      <c r="B34" s="243"/>
      <c r="C34" s="243" t="s">
        <v>10</v>
      </c>
      <c r="D34" s="244">
        <f t="shared" ca="1" si="2"/>
        <v>44218</v>
      </c>
      <c r="E34" s="245">
        <f t="shared" si="3"/>
        <v>47217.464933333344</v>
      </c>
      <c r="F34" s="245">
        <f t="shared" si="4"/>
        <v>1946.7122242063492</v>
      </c>
      <c r="G34" s="297">
        <f t="shared" si="0"/>
        <v>49164.177157539692</v>
      </c>
      <c r="H34" s="247">
        <f t="shared" si="5"/>
        <v>8062925.0538365077</v>
      </c>
    </row>
    <row r="35" spans="1:8">
      <c r="A35" s="243">
        <f t="shared" si="1"/>
        <v>9</v>
      </c>
      <c r="B35" s="243"/>
      <c r="C35" s="243" t="s">
        <v>11</v>
      </c>
      <c r="D35" s="244">
        <f t="shared" ca="1" si="2"/>
        <v>44249</v>
      </c>
      <c r="E35" s="245">
        <f t="shared" si="3"/>
        <v>47217.464933333344</v>
      </c>
      <c r="F35" s="245">
        <f t="shared" si="4"/>
        <v>1946.7122242063492</v>
      </c>
      <c r="G35" s="297">
        <f t="shared" si="0"/>
        <v>49164.177157539692</v>
      </c>
      <c r="H35" s="247">
        <f t="shared" si="5"/>
        <v>8013760.8766789678</v>
      </c>
    </row>
    <row r="36" spans="1:8">
      <c r="A36" s="243">
        <f t="shared" si="1"/>
        <v>10</v>
      </c>
      <c r="B36" s="243"/>
      <c r="C36" s="243" t="s">
        <v>12</v>
      </c>
      <c r="D36" s="244">
        <f t="shared" ca="1" si="2"/>
        <v>44277</v>
      </c>
      <c r="E36" s="245">
        <f t="shared" si="3"/>
        <v>47217.464933333344</v>
      </c>
      <c r="F36" s="245">
        <f t="shared" si="4"/>
        <v>1946.7122242063492</v>
      </c>
      <c r="G36" s="297">
        <f t="shared" si="0"/>
        <v>49164.177157539692</v>
      </c>
      <c r="H36" s="247">
        <f t="shared" si="5"/>
        <v>7964596.699521428</v>
      </c>
    </row>
    <row r="37" spans="1:8">
      <c r="A37" s="243">
        <f t="shared" si="1"/>
        <v>11</v>
      </c>
      <c r="B37" s="243"/>
      <c r="C37" s="243" t="s">
        <v>13</v>
      </c>
      <c r="D37" s="244">
        <f t="shared" ca="1" si="2"/>
        <v>44308</v>
      </c>
      <c r="E37" s="245">
        <f t="shared" si="3"/>
        <v>47217.464933333344</v>
      </c>
      <c r="F37" s="245">
        <f t="shared" si="4"/>
        <v>1946.7122242063492</v>
      </c>
      <c r="G37" s="297">
        <f t="shared" si="0"/>
        <v>49164.177157539692</v>
      </c>
      <c r="H37" s="247">
        <f t="shared" si="5"/>
        <v>7915432.5223638881</v>
      </c>
    </row>
    <row r="38" spans="1:8">
      <c r="A38" s="243">
        <f t="shared" si="1"/>
        <v>12</v>
      </c>
      <c r="B38" s="243"/>
      <c r="C38" s="243" t="s">
        <v>14</v>
      </c>
      <c r="D38" s="244">
        <f t="shared" ca="1" si="2"/>
        <v>44338</v>
      </c>
      <c r="E38" s="245">
        <f t="shared" si="3"/>
        <v>47217.464933333344</v>
      </c>
      <c r="F38" s="245">
        <f t="shared" si="4"/>
        <v>1946.7122242063492</v>
      </c>
      <c r="G38" s="297">
        <f t="shared" si="0"/>
        <v>49164.177157539692</v>
      </c>
      <c r="H38" s="247">
        <f t="shared" si="5"/>
        <v>7866268.3452063482</v>
      </c>
    </row>
    <row r="39" spans="1:8">
      <c r="A39" s="243">
        <f t="shared" si="1"/>
        <v>13</v>
      </c>
      <c r="B39" s="243"/>
      <c r="C39" s="243" t="s">
        <v>15</v>
      </c>
      <c r="D39" s="244">
        <f t="shared" ca="1" si="2"/>
        <v>44369</v>
      </c>
      <c r="E39" s="245">
        <f t="shared" si="3"/>
        <v>47217.464933333344</v>
      </c>
      <c r="F39" s="245">
        <f t="shared" si="4"/>
        <v>1946.7122242063492</v>
      </c>
      <c r="G39" s="297">
        <f t="shared" si="0"/>
        <v>49164.177157539692</v>
      </c>
      <c r="H39" s="247">
        <f t="shared" si="5"/>
        <v>7817104.1680488084</v>
      </c>
    </row>
    <row r="40" spans="1:8">
      <c r="A40" s="243">
        <f t="shared" si="1"/>
        <v>14</v>
      </c>
      <c r="B40" s="243"/>
      <c r="C40" s="243" t="s">
        <v>19</v>
      </c>
      <c r="D40" s="244">
        <f t="shared" ca="1" si="2"/>
        <v>44399</v>
      </c>
      <c r="E40" s="245">
        <f t="shared" si="3"/>
        <v>47217.464933333344</v>
      </c>
      <c r="F40" s="245">
        <f t="shared" si="4"/>
        <v>1946.7122242063492</v>
      </c>
      <c r="G40" s="297">
        <f t="shared" si="0"/>
        <v>49164.177157539692</v>
      </c>
      <c r="H40" s="247">
        <f t="shared" si="5"/>
        <v>7767939.9908912685</v>
      </c>
    </row>
    <row r="41" spans="1:8">
      <c r="A41" s="243">
        <f t="shared" si="1"/>
        <v>15</v>
      </c>
      <c r="B41" s="243"/>
      <c r="C41" s="243" t="s">
        <v>20</v>
      </c>
      <c r="D41" s="244">
        <f t="shared" ca="1" si="2"/>
        <v>44430</v>
      </c>
      <c r="E41" s="245">
        <f t="shared" si="3"/>
        <v>47217.464933333344</v>
      </c>
      <c r="F41" s="245">
        <f t="shared" si="4"/>
        <v>1946.7122242063492</v>
      </c>
      <c r="G41" s="297">
        <f t="shared" si="0"/>
        <v>49164.177157539692</v>
      </c>
      <c r="H41" s="247">
        <f t="shared" si="5"/>
        <v>7718775.8137337286</v>
      </c>
    </row>
    <row r="42" spans="1:8">
      <c r="A42" s="243">
        <f t="shared" si="1"/>
        <v>16</v>
      </c>
      <c r="B42" s="243"/>
      <c r="C42" s="243" t="s">
        <v>21</v>
      </c>
      <c r="D42" s="244">
        <f t="shared" ca="1" si="2"/>
        <v>44461</v>
      </c>
      <c r="E42" s="245">
        <f t="shared" si="3"/>
        <v>47217.464933333344</v>
      </c>
      <c r="F42" s="245">
        <f t="shared" si="4"/>
        <v>1946.7122242063492</v>
      </c>
      <c r="G42" s="297">
        <f t="shared" si="0"/>
        <v>49164.177157539692</v>
      </c>
      <c r="H42" s="247">
        <f t="shared" si="5"/>
        <v>7669611.6365761887</v>
      </c>
    </row>
    <row r="43" spans="1:8">
      <c r="A43" s="243">
        <f t="shared" si="1"/>
        <v>17</v>
      </c>
      <c r="B43" s="243"/>
      <c r="C43" s="243" t="s">
        <v>22</v>
      </c>
      <c r="D43" s="244">
        <f t="shared" ca="1" si="2"/>
        <v>44491</v>
      </c>
      <c r="E43" s="245">
        <f t="shared" si="3"/>
        <v>47217.464933333344</v>
      </c>
      <c r="F43" s="245">
        <f t="shared" si="4"/>
        <v>1946.7122242063492</v>
      </c>
      <c r="G43" s="297">
        <f t="shared" si="0"/>
        <v>49164.177157539692</v>
      </c>
      <c r="H43" s="247">
        <f t="shared" si="5"/>
        <v>7620447.4594186489</v>
      </c>
    </row>
    <row r="44" spans="1:8">
      <c r="A44" s="243">
        <f t="shared" si="1"/>
        <v>18</v>
      </c>
      <c r="B44" s="243"/>
      <c r="C44" s="243" t="s">
        <v>23</v>
      </c>
      <c r="D44" s="244">
        <f t="shared" ca="1" si="2"/>
        <v>44522</v>
      </c>
      <c r="E44" s="245">
        <f t="shared" si="3"/>
        <v>47217.464933333344</v>
      </c>
      <c r="F44" s="245">
        <f t="shared" si="4"/>
        <v>1946.7122242063492</v>
      </c>
      <c r="G44" s="297">
        <f t="shared" si="0"/>
        <v>49164.177157539692</v>
      </c>
      <c r="H44" s="247">
        <f t="shared" si="5"/>
        <v>7571283.282261109</v>
      </c>
    </row>
    <row r="45" spans="1:8">
      <c r="A45" s="243">
        <f t="shared" si="1"/>
        <v>19</v>
      </c>
      <c r="B45" s="243"/>
      <c r="C45" s="243" t="s">
        <v>24</v>
      </c>
      <c r="D45" s="244">
        <f t="shared" ca="1" si="2"/>
        <v>44552</v>
      </c>
      <c r="E45" s="245">
        <f t="shared" si="3"/>
        <v>47217.464933333344</v>
      </c>
      <c r="F45" s="245">
        <f t="shared" si="4"/>
        <v>1946.7122242063492</v>
      </c>
      <c r="G45" s="297">
        <f t="shared" si="0"/>
        <v>49164.177157539692</v>
      </c>
      <c r="H45" s="247">
        <f t="shared" si="5"/>
        <v>7522119.1051035691</v>
      </c>
    </row>
    <row r="46" spans="1:8">
      <c r="A46" s="243">
        <f t="shared" si="1"/>
        <v>20</v>
      </c>
      <c r="B46" s="243"/>
      <c r="C46" s="243" t="s">
        <v>25</v>
      </c>
      <c r="D46" s="244">
        <f t="shared" ca="1" si="2"/>
        <v>44583</v>
      </c>
      <c r="E46" s="245">
        <f t="shared" si="3"/>
        <v>47217.464933333344</v>
      </c>
      <c r="F46" s="245">
        <f t="shared" si="4"/>
        <v>1946.7122242063492</v>
      </c>
      <c r="G46" s="297">
        <f t="shared" si="0"/>
        <v>49164.177157539692</v>
      </c>
      <c r="H46" s="247">
        <f t="shared" si="5"/>
        <v>7472954.9279460292</v>
      </c>
    </row>
    <row r="47" spans="1:8">
      <c r="A47" s="243">
        <f t="shared" si="1"/>
        <v>21</v>
      </c>
      <c r="B47" s="243"/>
      <c r="C47" s="243" t="s">
        <v>26</v>
      </c>
      <c r="D47" s="244">
        <f t="shared" ca="1" si="2"/>
        <v>44614</v>
      </c>
      <c r="E47" s="245">
        <f t="shared" si="3"/>
        <v>47217.464933333344</v>
      </c>
      <c r="F47" s="245">
        <f t="shared" si="4"/>
        <v>1946.7122242063492</v>
      </c>
      <c r="G47" s="297">
        <f t="shared" si="0"/>
        <v>49164.177157539692</v>
      </c>
      <c r="H47" s="247">
        <f t="shared" si="5"/>
        <v>7423790.7507884894</v>
      </c>
    </row>
    <row r="48" spans="1:8">
      <c r="A48" s="243">
        <f t="shared" si="1"/>
        <v>22</v>
      </c>
      <c r="B48" s="243"/>
      <c r="C48" s="243" t="s">
        <v>27</v>
      </c>
      <c r="D48" s="244">
        <f t="shared" ca="1" si="2"/>
        <v>44642</v>
      </c>
      <c r="E48" s="245">
        <f t="shared" si="3"/>
        <v>47217.464933333344</v>
      </c>
      <c r="F48" s="245">
        <f t="shared" si="4"/>
        <v>1946.7122242063492</v>
      </c>
      <c r="G48" s="297">
        <f t="shared" si="0"/>
        <v>49164.177157539692</v>
      </c>
      <c r="H48" s="247">
        <f t="shared" si="5"/>
        <v>7374626.5736309495</v>
      </c>
    </row>
    <row r="49" spans="1:8">
      <c r="A49" s="243">
        <f t="shared" si="1"/>
        <v>23</v>
      </c>
      <c r="B49" s="243"/>
      <c r="C49" s="243" t="s">
        <v>28</v>
      </c>
      <c r="D49" s="244">
        <f t="shared" ca="1" si="2"/>
        <v>44673</v>
      </c>
      <c r="E49" s="245">
        <f t="shared" si="3"/>
        <v>47217.464933333344</v>
      </c>
      <c r="F49" s="245">
        <f t="shared" si="4"/>
        <v>1946.7122242063492</v>
      </c>
      <c r="G49" s="297">
        <f t="shared" si="0"/>
        <v>49164.177157539692</v>
      </c>
      <c r="H49" s="247">
        <f t="shared" si="5"/>
        <v>7325462.3964734096</v>
      </c>
    </row>
    <row r="50" spans="1:8">
      <c r="A50" s="243">
        <f t="shared" si="1"/>
        <v>24</v>
      </c>
      <c r="B50" s="243"/>
      <c r="C50" s="243" t="s">
        <v>29</v>
      </c>
      <c r="D50" s="244">
        <f t="shared" ca="1" si="2"/>
        <v>44703</v>
      </c>
      <c r="E50" s="245">
        <f t="shared" si="3"/>
        <v>47217.464933333344</v>
      </c>
      <c r="F50" s="245">
        <f t="shared" si="4"/>
        <v>1946.7122242063492</v>
      </c>
      <c r="G50" s="297">
        <f t="shared" si="0"/>
        <v>49164.177157539692</v>
      </c>
      <c r="H50" s="247">
        <f t="shared" si="5"/>
        <v>7276298.2193158697</v>
      </c>
    </row>
    <row r="51" spans="1:8">
      <c r="A51" s="243">
        <f t="shared" si="1"/>
        <v>25</v>
      </c>
      <c r="B51" s="243"/>
      <c r="C51" s="243" t="s">
        <v>30</v>
      </c>
      <c r="D51" s="244">
        <f t="shared" ca="1" si="2"/>
        <v>44734</v>
      </c>
      <c r="E51" s="245">
        <f t="shared" si="3"/>
        <v>47217.464933333344</v>
      </c>
      <c r="F51" s="245">
        <f t="shared" si="4"/>
        <v>1946.7122242063492</v>
      </c>
      <c r="G51" s="297">
        <f t="shared" si="0"/>
        <v>49164.177157539692</v>
      </c>
      <c r="H51" s="247">
        <f t="shared" si="5"/>
        <v>7227134.0421583299</v>
      </c>
    </row>
    <row r="52" spans="1:8">
      <c r="A52" s="243">
        <f t="shared" si="1"/>
        <v>26</v>
      </c>
      <c r="B52" s="243"/>
      <c r="C52" s="243" t="s">
        <v>48</v>
      </c>
      <c r="D52" s="244">
        <f t="shared" ca="1" si="2"/>
        <v>44764</v>
      </c>
      <c r="E52" s="245">
        <f t="shared" si="3"/>
        <v>47217.464933333344</v>
      </c>
      <c r="F52" s="245">
        <f t="shared" si="4"/>
        <v>1946.7122242063492</v>
      </c>
      <c r="G52" s="297">
        <f t="shared" si="0"/>
        <v>49164.177157539692</v>
      </c>
      <c r="H52" s="247">
        <f t="shared" si="5"/>
        <v>7177969.86500079</v>
      </c>
    </row>
    <row r="53" spans="1:8">
      <c r="A53" s="243">
        <f t="shared" si="1"/>
        <v>27</v>
      </c>
      <c r="B53" s="243"/>
      <c r="C53" s="243" t="s">
        <v>49</v>
      </c>
      <c r="D53" s="244">
        <f t="shared" ca="1" si="2"/>
        <v>44795</v>
      </c>
      <c r="E53" s="245">
        <f t="shared" si="3"/>
        <v>47217.464933333344</v>
      </c>
      <c r="F53" s="245">
        <f t="shared" si="4"/>
        <v>1946.7122242063492</v>
      </c>
      <c r="G53" s="297">
        <f t="shared" si="0"/>
        <v>49164.177157539692</v>
      </c>
      <c r="H53" s="247">
        <f t="shared" si="5"/>
        <v>7128805.6878432501</v>
      </c>
    </row>
    <row r="54" spans="1:8">
      <c r="A54" s="243">
        <f t="shared" si="1"/>
        <v>28</v>
      </c>
      <c r="B54" s="243"/>
      <c r="C54" s="243" t="s">
        <v>50</v>
      </c>
      <c r="D54" s="244">
        <f t="shared" ca="1" si="2"/>
        <v>44826</v>
      </c>
      <c r="E54" s="245">
        <f t="shared" si="3"/>
        <v>47217.464933333344</v>
      </c>
      <c r="F54" s="245">
        <f t="shared" si="4"/>
        <v>1946.7122242063492</v>
      </c>
      <c r="G54" s="297">
        <f t="shared" si="0"/>
        <v>49164.177157539692</v>
      </c>
      <c r="H54" s="247">
        <f t="shared" si="5"/>
        <v>7079641.5106857102</v>
      </c>
    </row>
    <row r="55" spans="1:8">
      <c r="A55" s="243">
        <f t="shared" si="1"/>
        <v>29</v>
      </c>
      <c r="B55" s="243"/>
      <c r="C55" s="243" t="s">
        <v>51</v>
      </c>
      <c r="D55" s="244">
        <f t="shared" ca="1" si="2"/>
        <v>44856</v>
      </c>
      <c r="E55" s="245">
        <f t="shared" si="3"/>
        <v>47217.464933333344</v>
      </c>
      <c r="F55" s="245">
        <f t="shared" si="4"/>
        <v>1946.7122242063492</v>
      </c>
      <c r="G55" s="297">
        <f t="shared" si="0"/>
        <v>49164.177157539692</v>
      </c>
      <c r="H55" s="247">
        <f t="shared" si="5"/>
        <v>7030477.3335281704</v>
      </c>
    </row>
    <row r="56" spans="1:8">
      <c r="A56" s="243">
        <f t="shared" si="1"/>
        <v>30</v>
      </c>
      <c r="B56" s="243"/>
      <c r="C56" s="243" t="s">
        <v>52</v>
      </c>
      <c r="D56" s="244">
        <f t="shared" ca="1" si="2"/>
        <v>44887</v>
      </c>
      <c r="E56" s="245">
        <f t="shared" si="3"/>
        <v>47217.464933333344</v>
      </c>
      <c r="F56" s="245">
        <f t="shared" si="4"/>
        <v>1946.7122242063492</v>
      </c>
      <c r="G56" s="297">
        <f t="shared" si="0"/>
        <v>49164.177157539692</v>
      </c>
      <c r="H56" s="247">
        <f t="shared" si="5"/>
        <v>6981313.1563706305</v>
      </c>
    </row>
    <row r="57" spans="1:8">
      <c r="A57" s="243">
        <f t="shared" si="1"/>
        <v>31</v>
      </c>
      <c r="B57" s="243"/>
      <c r="C57" s="243" t="s">
        <v>53</v>
      </c>
      <c r="D57" s="244">
        <f t="shared" ca="1" si="2"/>
        <v>44917</v>
      </c>
      <c r="E57" s="245">
        <f t="shared" si="3"/>
        <v>47217.464933333344</v>
      </c>
      <c r="F57" s="245">
        <f t="shared" si="4"/>
        <v>1946.7122242063492</v>
      </c>
      <c r="G57" s="297">
        <f t="shared" si="0"/>
        <v>49164.177157539692</v>
      </c>
      <c r="H57" s="247">
        <f t="shared" si="5"/>
        <v>6932148.9792130906</v>
      </c>
    </row>
    <row r="58" spans="1:8">
      <c r="A58" s="243">
        <f t="shared" si="1"/>
        <v>32</v>
      </c>
      <c r="B58" s="243"/>
      <c r="C58" s="243" t="s">
        <v>93</v>
      </c>
      <c r="D58" s="244">
        <f t="shared" ca="1" si="2"/>
        <v>44948</v>
      </c>
      <c r="E58" s="245">
        <f t="shared" si="3"/>
        <v>47217.464933333344</v>
      </c>
      <c r="F58" s="245">
        <f t="shared" si="4"/>
        <v>1946.7122242063492</v>
      </c>
      <c r="G58" s="297">
        <f t="shared" si="0"/>
        <v>49164.177157539692</v>
      </c>
      <c r="H58" s="247">
        <f t="shared" si="5"/>
        <v>6882984.8020555507</v>
      </c>
    </row>
    <row r="59" spans="1:8">
      <c r="A59" s="243">
        <f t="shared" si="1"/>
        <v>33</v>
      </c>
      <c r="B59" s="243"/>
      <c r="C59" s="243" t="s">
        <v>94</v>
      </c>
      <c r="D59" s="244">
        <f t="shared" ca="1" si="2"/>
        <v>44979</v>
      </c>
      <c r="E59" s="245">
        <f t="shared" si="3"/>
        <v>47217.464933333344</v>
      </c>
      <c r="F59" s="245">
        <f t="shared" si="4"/>
        <v>1946.7122242063492</v>
      </c>
      <c r="G59" s="297">
        <f t="shared" si="0"/>
        <v>49164.177157539692</v>
      </c>
      <c r="H59" s="247">
        <f t="shared" si="5"/>
        <v>6833820.6248980109</v>
      </c>
    </row>
    <row r="60" spans="1:8">
      <c r="A60" s="243">
        <f t="shared" si="1"/>
        <v>34</v>
      </c>
      <c r="B60" s="243"/>
      <c r="C60" s="243" t="s">
        <v>95</v>
      </c>
      <c r="D60" s="244">
        <f t="shared" ca="1" si="2"/>
        <v>45007</v>
      </c>
      <c r="E60" s="245">
        <f t="shared" si="3"/>
        <v>47217.464933333344</v>
      </c>
      <c r="F60" s="245">
        <f t="shared" si="4"/>
        <v>1946.7122242063492</v>
      </c>
      <c r="G60" s="297">
        <f t="shared" si="0"/>
        <v>49164.177157539692</v>
      </c>
      <c r="H60" s="247">
        <f t="shared" si="5"/>
        <v>6784656.447740471</v>
      </c>
    </row>
    <row r="61" spans="1:8">
      <c r="A61" s="243">
        <f t="shared" si="1"/>
        <v>35</v>
      </c>
      <c r="B61" s="243"/>
      <c r="C61" s="243" t="s">
        <v>96</v>
      </c>
      <c r="D61" s="244">
        <f t="shared" ca="1" si="2"/>
        <v>45038</v>
      </c>
      <c r="E61" s="245">
        <f t="shared" si="3"/>
        <v>47217.464933333344</v>
      </c>
      <c r="F61" s="245">
        <f t="shared" si="4"/>
        <v>1946.7122242063492</v>
      </c>
      <c r="G61" s="297">
        <f t="shared" si="0"/>
        <v>49164.177157539692</v>
      </c>
      <c r="H61" s="247">
        <f t="shared" si="5"/>
        <v>6735492.2705829311</v>
      </c>
    </row>
    <row r="62" spans="1:8">
      <c r="A62" s="243">
        <f t="shared" si="1"/>
        <v>36</v>
      </c>
      <c r="B62" s="243"/>
      <c r="C62" s="243" t="s">
        <v>97</v>
      </c>
      <c r="D62" s="244">
        <f t="shared" ca="1" si="2"/>
        <v>45068</v>
      </c>
      <c r="E62" s="245">
        <f t="shared" si="3"/>
        <v>47217.464933333344</v>
      </c>
      <c r="F62" s="245">
        <f t="shared" si="4"/>
        <v>1946.7122242063492</v>
      </c>
      <c r="G62" s="297">
        <f t="shared" si="0"/>
        <v>49164.177157539692</v>
      </c>
      <c r="H62" s="247">
        <f t="shared" si="5"/>
        <v>6686328.0934253912</v>
      </c>
    </row>
    <row r="63" spans="1:8">
      <c r="A63" s="243">
        <f t="shared" si="1"/>
        <v>37</v>
      </c>
      <c r="B63" s="243"/>
      <c r="C63" s="243" t="s">
        <v>98</v>
      </c>
      <c r="D63" s="244">
        <f t="shared" ca="1" si="2"/>
        <v>45099</v>
      </c>
      <c r="E63" s="245">
        <f t="shared" si="3"/>
        <v>47217.464933333344</v>
      </c>
      <c r="F63" s="245">
        <f t="shared" si="4"/>
        <v>1946.7122242063492</v>
      </c>
      <c r="G63" s="297">
        <f t="shared" si="0"/>
        <v>49164.177157539692</v>
      </c>
      <c r="H63" s="247">
        <f t="shared" si="5"/>
        <v>6637163.9162678514</v>
      </c>
    </row>
    <row r="64" spans="1:8">
      <c r="A64" s="243">
        <f t="shared" si="1"/>
        <v>38</v>
      </c>
      <c r="B64" s="248">
        <v>0.75</v>
      </c>
      <c r="C64" s="243" t="s">
        <v>220</v>
      </c>
      <c r="D64" s="244">
        <f t="shared" ca="1" si="2"/>
        <v>45129</v>
      </c>
      <c r="E64" s="245">
        <f>($D$19*75%)</f>
        <v>6374357.7660000008</v>
      </c>
      <c r="F64" s="245">
        <f>($D$20*75%)</f>
        <v>262806.15026785713</v>
      </c>
      <c r="G64" s="297">
        <f t="shared" si="0"/>
        <v>6637163.9162678579</v>
      </c>
      <c r="H64" s="247">
        <f t="shared" si="5"/>
        <v>0</v>
      </c>
    </row>
    <row r="65" spans="1:8">
      <c r="A65" s="404" t="s">
        <v>16</v>
      </c>
      <c r="B65" s="405"/>
      <c r="C65" s="405"/>
      <c r="D65" s="406"/>
      <c r="E65" s="249">
        <f>SUM(E25:E64)</f>
        <v>8499143.6880000029</v>
      </c>
      <c r="F65" s="249">
        <f t="shared" ref="F65:G65" si="6">SUM(F25:F64)</f>
        <v>350408.20035714284</v>
      </c>
      <c r="G65" s="249">
        <f t="shared" si="6"/>
        <v>8849551.8883571438</v>
      </c>
      <c r="H65" s="279"/>
    </row>
    <row r="66" spans="1:8" s="197" customFormat="1" ht="14">
      <c r="C66" s="206"/>
      <c r="D66" s="207"/>
      <c r="E66" s="208"/>
      <c r="F66" s="208"/>
      <c r="G66" s="208"/>
    </row>
    <row r="67" spans="1:8" s="197" customFormat="1" ht="14">
      <c r="A67" s="374" t="s">
        <v>313</v>
      </c>
      <c r="B67" s="374"/>
      <c r="C67" s="374"/>
      <c r="D67" s="374"/>
      <c r="E67" s="374"/>
      <c r="F67" s="374"/>
      <c r="G67" s="374"/>
      <c r="H67" s="374"/>
    </row>
    <row r="68" spans="1:8" s="197" customFormat="1" ht="29.25" customHeight="1">
      <c r="A68" s="388" t="s">
        <v>314</v>
      </c>
      <c r="B68" s="388"/>
      <c r="C68" s="388"/>
      <c r="D68" s="388"/>
      <c r="E68" s="388"/>
      <c r="F68" s="388"/>
      <c r="G68" s="388"/>
      <c r="H68" s="388"/>
    </row>
    <row r="69" spans="1:8" s="197" customFormat="1" ht="16.5" customHeight="1">
      <c r="A69" s="374" t="s">
        <v>315</v>
      </c>
      <c r="B69" s="374"/>
      <c r="C69" s="374"/>
      <c r="D69" s="374"/>
      <c r="E69" s="374"/>
      <c r="F69" s="374"/>
      <c r="G69" s="374"/>
      <c r="H69" s="374"/>
    </row>
    <row r="70" spans="1:8" s="197" customFormat="1" ht="16.5" customHeight="1">
      <c r="A70" s="374" t="s">
        <v>316</v>
      </c>
      <c r="B70" s="374"/>
      <c r="C70" s="374"/>
      <c r="D70" s="374"/>
      <c r="E70" s="374"/>
      <c r="F70" s="374"/>
      <c r="G70" s="374"/>
      <c r="H70" s="374"/>
    </row>
    <row r="71" spans="1:8" s="197" customFormat="1" ht="16.5" customHeight="1">
      <c r="A71" s="374" t="s">
        <v>317</v>
      </c>
      <c r="B71" s="374"/>
      <c r="C71" s="374"/>
      <c r="D71" s="374"/>
      <c r="E71" s="374"/>
      <c r="F71" s="374"/>
      <c r="G71" s="374"/>
      <c r="H71" s="374"/>
    </row>
    <row r="72" spans="1:8" s="197" customFormat="1" ht="107.25" customHeight="1">
      <c r="A72" s="374" t="s">
        <v>318</v>
      </c>
      <c r="B72" s="374"/>
      <c r="C72" s="374"/>
      <c r="D72" s="374"/>
      <c r="E72" s="374"/>
      <c r="F72" s="374"/>
      <c r="G72" s="374"/>
      <c r="H72" s="374"/>
    </row>
    <row r="73" spans="1:8" s="197" customFormat="1" ht="42" customHeight="1">
      <c r="A73" s="374" t="s">
        <v>319</v>
      </c>
      <c r="B73" s="374"/>
      <c r="C73" s="374"/>
      <c r="D73" s="374"/>
      <c r="E73" s="374"/>
      <c r="F73" s="374"/>
      <c r="G73" s="374"/>
      <c r="H73" s="374"/>
    </row>
    <row r="74" spans="1:8" s="197" customFormat="1" ht="18.75" customHeight="1">
      <c r="A74" s="374" t="s">
        <v>320</v>
      </c>
      <c r="B74" s="374"/>
      <c r="C74" s="374"/>
      <c r="D74" s="374"/>
      <c r="E74" s="374"/>
      <c r="F74" s="374"/>
      <c r="G74" s="374"/>
      <c r="H74" s="374"/>
    </row>
    <row r="75" spans="1:8" s="197" customFormat="1" ht="14">
      <c r="A75" s="374"/>
      <c r="B75" s="374"/>
      <c r="C75" s="374"/>
      <c r="D75" s="374"/>
      <c r="E75" s="374"/>
      <c r="F75" s="374"/>
      <c r="G75" s="374"/>
      <c r="H75" s="374"/>
    </row>
    <row r="76" spans="1:8" s="197" customFormat="1" ht="14">
      <c r="A76" s="197" t="s">
        <v>17</v>
      </c>
      <c r="D76" s="209"/>
      <c r="G76" s="198"/>
    </row>
    <row r="77" spans="1:8" s="197" customFormat="1" ht="14">
      <c r="D77" s="209"/>
      <c r="G77" s="198"/>
    </row>
    <row r="78" spans="1:8" s="197" customFormat="1" ht="15" customHeight="1">
      <c r="A78" s="210"/>
      <c r="B78" s="210"/>
      <c r="C78" s="210"/>
      <c r="D78" s="209"/>
      <c r="E78" s="210"/>
      <c r="F78" s="210"/>
      <c r="G78" s="211"/>
    </row>
    <row r="79" spans="1:8" s="197" customFormat="1" ht="14">
      <c r="A79" s="375" t="s">
        <v>293</v>
      </c>
      <c r="B79" s="375"/>
      <c r="C79" s="375"/>
      <c r="D79" s="209"/>
      <c r="E79" s="375" t="s">
        <v>18</v>
      </c>
      <c r="F79" s="375"/>
      <c r="G79" s="375"/>
    </row>
    <row r="80" spans="1:8" s="39" customFormat="1" ht="14">
      <c r="D80" s="40"/>
    </row>
    <row r="81"/>
  </sheetData>
  <sheetProtection password="CAF1" sheet="1" selectLockedCells="1"/>
  <mergeCells count="21">
    <mergeCell ref="A73:H73"/>
    <mergeCell ref="A74:H74"/>
    <mergeCell ref="A75:H75"/>
    <mergeCell ref="A79:C79"/>
    <mergeCell ref="E79:G79"/>
    <mergeCell ref="A9:B9"/>
    <mergeCell ref="C9:H9"/>
    <mergeCell ref="H1:H2"/>
    <mergeCell ref="C5:H5"/>
    <mergeCell ref="C6:H6"/>
    <mergeCell ref="C7:H7"/>
    <mergeCell ref="C8:H8"/>
    <mergeCell ref="A69:H69"/>
    <mergeCell ref="A70:H70"/>
    <mergeCell ref="A71:H71"/>
    <mergeCell ref="A72:H72"/>
    <mergeCell ref="C10:H10"/>
    <mergeCell ref="A24:G24"/>
    <mergeCell ref="A65:D65"/>
    <mergeCell ref="A67:H67"/>
    <mergeCell ref="A68:H68"/>
  </mergeCells>
  <hyperlinks>
    <hyperlink ref="C1" location="'DATA SHEET'!A1" display="HIGHLANDS PRIME, INC." xr:uid="{00000000-0004-0000-1700-000000000000}"/>
    <hyperlink ref="J3" location="'DATA SHEET'!A1" display="Return to Data Sheet" xr:uid="{00000000-0004-0000-1700-000001000000}"/>
  </hyperlinks>
  <pageMargins left="0.7" right="0.7" top="0.75" bottom="0.75" header="0.3" footer="0.3"/>
  <pageSetup paperSize="5" scale="65" orientation="portrait" r:id="rId1"/>
  <headerFooter>
    <oddFooter>&amp;L&amp;8A project of HIGHLANDS PRIME, INC. Horizon Terraces HLURB License To Sell No. 032272&amp;R&amp;8&amp;P of &amp;N</oddFooter>
  </headerFooter>
  <ignoredErrors>
    <ignoredError sqref="D16" unlockedFormula="1"/>
    <ignoredError sqref="D20"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tabColor rgb="FFF7941D"/>
  </sheetPr>
  <dimension ref="A1:L80"/>
  <sheetViews>
    <sheetView showGridLines="0" zoomScaleNormal="100" workbookViewId="0">
      <selection activeCell="J3" sqref="J3"/>
    </sheetView>
  </sheetViews>
  <sheetFormatPr baseColWidth="10" defaultColWidth="0" defaultRowHeight="14" zeroHeight="1"/>
  <cols>
    <col min="1" max="1" width="12.5" style="39" customWidth="1"/>
    <col min="2" max="2" width="11.1640625" style="39" customWidth="1"/>
    <col min="3" max="3" width="23.83203125" style="39" customWidth="1"/>
    <col min="4" max="4" width="16" style="40" customWidth="1"/>
    <col min="5" max="5" width="13.5" style="39" bestFit="1" customWidth="1"/>
    <col min="6" max="6" width="14.83203125" style="39" bestFit="1" customWidth="1"/>
    <col min="7" max="7" width="13.5" style="39" bestFit="1" customWidth="1"/>
    <col min="8" max="8" width="16.5" style="39" bestFit="1" customWidth="1"/>
    <col min="9" max="9" width="9.83203125" style="39" bestFit="1" customWidth="1"/>
    <col min="10" max="12" width="9.1640625" style="39" customWidth="1"/>
    <col min="13" max="16384" width="9.1640625" style="39" hidden="1"/>
  </cols>
  <sheetData>
    <row r="1" spans="1:10" ht="12.75" customHeight="1">
      <c r="C1" s="212" t="s">
        <v>35</v>
      </c>
      <c r="H1" s="376" t="s">
        <v>66</v>
      </c>
    </row>
    <row r="2" spans="1:10" ht="12.75" customHeight="1">
      <c r="C2" s="41" t="s">
        <v>207</v>
      </c>
      <c r="H2" s="376"/>
    </row>
    <row r="3" spans="1:10">
      <c r="C3" s="41" t="s">
        <v>36</v>
      </c>
      <c r="J3" s="251" t="s">
        <v>215</v>
      </c>
    </row>
    <row r="4" spans="1:10"/>
    <row r="5" spans="1:10">
      <c r="A5" s="283" t="s">
        <v>0</v>
      </c>
      <c r="B5" s="285"/>
      <c r="C5" s="395" t="str">
        <f>'DATA SHEET'!C9</f>
        <v xml:space="preserve"> </v>
      </c>
      <c r="D5" s="395"/>
      <c r="E5" s="395"/>
      <c r="F5" s="395"/>
      <c r="G5" s="395"/>
      <c r="H5" s="396"/>
    </row>
    <row r="6" spans="1:10">
      <c r="A6" s="215" t="s">
        <v>31</v>
      </c>
      <c r="B6" s="216"/>
      <c r="C6" s="397" t="str">
        <f>VLOOKUP('DATA SHEET'!$C$10,' Glenview PL'!C6:G41,1,FALSE)</f>
        <v>GB</v>
      </c>
      <c r="D6" s="397"/>
      <c r="E6" s="397"/>
      <c r="F6" s="397"/>
      <c r="G6" s="397"/>
      <c r="H6" s="398"/>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c r="I8" s="286">
        <v>0.1</v>
      </c>
    </row>
    <row r="9" spans="1:10">
      <c r="A9" s="222" t="s">
        <v>294</v>
      </c>
      <c r="B9" s="223"/>
      <c r="C9" s="382">
        <f>VLOOKUP('DATA SHEET'!C10,' Glenview PL'!C6:G41,4,0)</f>
        <v>8851760</v>
      </c>
      <c r="D9" s="382"/>
      <c r="E9" s="382"/>
      <c r="F9" s="382"/>
      <c r="G9" s="382"/>
      <c r="H9" s="383"/>
    </row>
    <row r="10" spans="1:10">
      <c r="A10" s="224" t="s">
        <v>33</v>
      </c>
      <c r="B10" s="225"/>
      <c r="C10" s="399" t="str">
        <f>'DATA SHEET'!B23</f>
        <v>10% over 6 months, 10% over 30 months, 80% Lumpsum</v>
      </c>
      <c r="D10" s="399"/>
      <c r="E10" s="399"/>
      <c r="F10" s="399"/>
      <c r="G10" s="399"/>
      <c r="H10" s="400"/>
    </row>
    <row r="11" spans="1:10"/>
    <row r="12" spans="1:10">
      <c r="A12" s="41" t="s">
        <v>55</v>
      </c>
      <c r="B12" s="41"/>
    </row>
    <row r="13" spans="1:10">
      <c r="A13" s="197" t="s">
        <v>307</v>
      </c>
      <c r="D13" s="42">
        <f>(C9-650000)</f>
        <v>8201760</v>
      </c>
      <c r="E13" s="226" t="str">
        <f>LEFT(C8,9)</f>
        <v>1-Bedroom</v>
      </c>
      <c r="F13" s="226"/>
      <c r="G13" s="226"/>
      <c r="H13" s="42"/>
    </row>
    <row r="14" spans="1:10" s="280" customFormat="1" ht="15">
      <c r="A14" s="227" t="s">
        <v>325</v>
      </c>
      <c r="B14" s="228"/>
      <c r="C14" s="306">
        <v>0.01</v>
      </c>
      <c r="D14" s="229">
        <f>IF(C14&lt;=1%,D13*C14,"BEYOND MAX")</f>
        <v>82017.600000000006</v>
      </c>
      <c r="E14" s="294">
        <f>VLOOKUP(C6,' Glenview PL'!C:G,5,0)</f>
        <v>230000</v>
      </c>
      <c r="F14" s="39"/>
    </row>
    <row r="15" spans="1:10" s="280" customFormat="1" ht="15">
      <c r="A15" s="227" t="s">
        <v>326</v>
      </c>
      <c r="B15" s="228"/>
      <c r="C15" s="196"/>
      <c r="D15" s="87">
        <f>VLOOKUP('DATA SHEET'!C10,' Glenview PL'!$C$6:$G$41,5,0)</f>
        <v>230000</v>
      </c>
      <c r="E15" s="294"/>
      <c r="F15" s="39"/>
    </row>
    <row r="16" spans="1:10" s="280" customFormat="1" ht="15">
      <c r="A16" s="197" t="s">
        <v>308</v>
      </c>
      <c r="B16" s="228"/>
      <c r="C16" s="196"/>
      <c r="D16" s="230">
        <f>+D13-SUM(D14:D15)</f>
        <v>7889742.4000000004</v>
      </c>
      <c r="E16" s="231"/>
      <c r="F16" s="281"/>
    </row>
    <row r="17" spans="1:8" s="280" customFormat="1" ht="15">
      <c r="A17" s="232" t="s">
        <v>214</v>
      </c>
      <c r="B17" s="228"/>
      <c r="C17" s="196"/>
      <c r="D17" s="233">
        <v>650000</v>
      </c>
      <c r="E17" s="231"/>
      <c r="F17" s="281"/>
    </row>
    <row r="18" spans="1:8" s="280" customFormat="1" ht="15">
      <c r="A18" s="234" t="s">
        <v>309</v>
      </c>
      <c r="B18" s="228"/>
      <c r="C18" s="196"/>
      <c r="D18" s="295">
        <f>+SUM(D16:D17)</f>
        <v>8539742.4000000004</v>
      </c>
      <c r="E18" s="231"/>
      <c r="F18" s="281"/>
    </row>
    <row r="19" spans="1:8" s="280" customFormat="1" ht="15">
      <c r="A19" s="236" t="s">
        <v>285</v>
      </c>
      <c r="B19" s="39"/>
      <c r="C19" s="200">
        <v>0.05</v>
      </c>
      <c r="D19" s="237">
        <f>(D16/1.12)*C19</f>
        <v>352220.64285714284</v>
      </c>
      <c r="E19" s="231"/>
      <c r="F19" s="281"/>
    </row>
    <row r="20" spans="1:8" s="280" customFormat="1" ht="16" thickBot="1">
      <c r="A20" s="198" t="s">
        <v>58</v>
      </c>
      <c r="B20" s="39"/>
      <c r="C20" s="39"/>
      <c r="D20" s="238">
        <f>+SUM(D18:D19)</f>
        <v>8891963.042857144</v>
      </c>
      <c r="E20" s="231"/>
      <c r="F20" s="281"/>
    </row>
    <row r="21" spans="1:8" ht="15" thickTop="1"/>
    <row r="22" spans="1:8">
      <c r="A22" s="239" t="s">
        <v>34</v>
      </c>
      <c r="B22" s="239" t="s">
        <v>286</v>
      </c>
      <c r="C22" s="239" t="s">
        <v>2</v>
      </c>
      <c r="D22" s="239" t="s">
        <v>287</v>
      </c>
      <c r="E22" s="239" t="s">
        <v>288</v>
      </c>
      <c r="F22" s="240" t="s">
        <v>289</v>
      </c>
      <c r="G22" s="241" t="s">
        <v>290</v>
      </c>
      <c r="H22" s="239" t="s">
        <v>291</v>
      </c>
    </row>
    <row r="23" spans="1:8">
      <c r="A23" s="385" t="s">
        <v>292</v>
      </c>
      <c r="B23" s="385"/>
      <c r="C23" s="385"/>
      <c r="D23" s="385"/>
      <c r="E23" s="385"/>
      <c r="F23" s="385"/>
      <c r="G23" s="385"/>
      <c r="H23" s="242">
        <f>+D20</f>
        <v>8891963.042857144</v>
      </c>
    </row>
    <row r="24" spans="1:8" ht="13.5" customHeight="1">
      <c r="A24" s="243">
        <v>0</v>
      </c>
      <c r="B24" s="243"/>
      <c r="C24" s="243" t="s">
        <v>38</v>
      </c>
      <c r="D24" s="244">
        <f ca="1">'DATA SHEET'!C8</f>
        <v>43973</v>
      </c>
      <c r="E24" s="289">
        <f>IF(E13="1-Bedroom",50000,100000)</f>
        <v>50000</v>
      </c>
      <c r="F24" s="289"/>
      <c r="G24" s="298">
        <f>+SUM(E24:F24)</f>
        <v>50000</v>
      </c>
      <c r="H24" s="247">
        <f>D20-E24</f>
        <v>8841963.042857144</v>
      </c>
    </row>
    <row r="25" spans="1:8" ht="13.5" customHeight="1">
      <c r="A25" s="243"/>
      <c r="B25" s="248">
        <v>0.1</v>
      </c>
      <c r="C25" s="243" t="s">
        <v>298</v>
      </c>
      <c r="D25" s="244"/>
      <c r="E25" s="289"/>
      <c r="F25" s="289"/>
      <c r="G25" s="298"/>
      <c r="H25" s="247"/>
    </row>
    <row r="26" spans="1:8" ht="13.5" customHeight="1">
      <c r="A26" s="243">
        <f>+A24+1</f>
        <v>1</v>
      </c>
      <c r="B26" s="243"/>
      <c r="C26" s="243" t="s">
        <v>80</v>
      </c>
      <c r="D26" s="244">
        <f ca="1">EDATE(D24,1)</f>
        <v>44004</v>
      </c>
      <c r="E26" s="290">
        <f t="shared" ref="E26:E31" si="0">(($D$18*10%)-$E$24)/6</f>
        <v>133995.70666666669</v>
      </c>
      <c r="F26" s="290">
        <f>(($D$19*10%))/6</f>
        <v>5870.3440476190481</v>
      </c>
      <c r="G26" s="298">
        <f t="shared" ref="G26:G63" si="1">+SUM(E26:F26)</f>
        <v>139866.05071428575</v>
      </c>
      <c r="H26" s="291">
        <f>H24-G26</f>
        <v>8702096.992142858</v>
      </c>
    </row>
    <row r="27" spans="1:8">
      <c r="A27" s="243">
        <f>+A26+1</f>
        <v>2</v>
      </c>
      <c r="B27" s="243"/>
      <c r="C27" s="243" t="s">
        <v>81</v>
      </c>
      <c r="D27" s="244">
        <f t="shared" ref="D27:D63" ca="1" si="2">EDATE(D26,1)</f>
        <v>44034</v>
      </c>
      <c r="E27" s="290">
        <f t="shared" si="0"/>
        <v>133995.70666666669</v>
      </c>
      <c r="F27" s="290">
        <f t="shared" ref="F27:F31" si="3">(($D$19*10%))/6</f>
        <v>5870.3440476190481</v>
      </c>
      <c r="G27" s="298">
        <f t="shared" si="1"/>
        <v>139866.05071428575</v>
      </c>
      <c r="H27" s="291">
        <f t="shared" ref="H27:H63" si="4">H26-G27</f>
        <v>8562230.9414285719</v>
      </c>
    </row>
    <row r="28" spans="1:8">
      <c r="A28" s="243">
        <f t="shared" ref="A28:A63" si="5">+A27+1</f>
        <v>3</v>
      </c>
      <c r="B28" s="243"/>
      <c r="C28" s="243" t="s">
        <v>82</v>
      </c>
      <c r="D28" s="244">
        <f t="shared" ca="1" si="2"/>
        <v>44065</v>
      </c>
      <c r="E28" s="290">
        <f t="shared" si="0"/>
        <v>133995.70666666669</v>
      </c>
      <c r="F28" s="290">
        <f t="shared" si="3"/>
        <v>5870.3440476190481</v>
      </c>
      <c r="G28" s="298">
        <f t="shared" si="1"/>
        <v>139866.05071428575</v>
      </c>
      <c r="H28" s="291">
        <f t="shared" si="4"/>
        <v>8422364.8907142859</v>
      </c>
    </row>
    <row r="29" spans="1:8">
      <c r="A29" s="243">
        <f t="shared" si="5"/>
        <v>4</v>
      </c>
      <c r="B29" s="243"/>
      <c r="C29" s="243" t="s">
        <v>83</v>
      </c>
      <c r="D29" s="244">
        <f t="shared" ca="1" si="2"/>
        <v>44096</v>
      </c>
      <c r="E29" s="290">
        <f t="shared" si="0"/>
        <v>133995.70666666669</v>
      </c>
      <c r="F29" s="290">
        <f t="shared" si="3"/>
        <v>5870.3440476190481</v>
      </c>
      <c r="G29" s="298">
        <f t="shared" si="1"/>
        <v>139866.05071428575</v>
      </c>
      <c r="H29" s="291">
        <f t="shared" si="4"/>
        <v>8282498.8399999999</v>
      </c>
    </row>
    <row r="30" spans="1:8">
      <c r="A30" s="243">
        <f t="shared" si="5"/>
        <v>5</v>
      </c>
      <c r="B30" s="243"/>
      <c r="C30" s="243" t="s">
        <v>84</v>
      </c>
      <c r="D30" s="244">
        <f t="shared" ca="1" si="2"/>
        <v>44126</v>
      </c>
      <c r="E30" s="290">
        <f t="shared" si="0"/>
        <v>133995.70666666669</v>
      </c>
      <c r="F30" s="290">
        <f t="shared" si="3"/>
        <v>5870.3440476190481</v>
      </c>
      <c r="G30" s="298">
        <f t="shared" si="1"/>
        <v>139866.05071428575</v>
      </c>
      <c r="H30" s="291">
        <f t="shared" si="4"/>
        <v>8142632.7892857138</v>
      </c>
    </row>
    <row r="31" spans="1:8">
      <c r="A31" s="243">
        <f t="shared" si="5"/>
        <v>6</v>
      </c>
      <c r="B31" s="243"/>
      <c r="C31" s="243" t="s">
        <v>85</v>
      </c>
      <c r="D31" s="244">
        <f t="shared" ca="1" si="2"/>
        <v>44157</v>
      </c>
      <c r="E31" s="290">
        <f t="shared" si="0"/>
        <v>133995.70666666669</v>
      </c>
      <c r="F31" s="290">
        <f t="shared" si="3"/>
        <v>5870.3440476190481</v>
      </c>
      <c r="G31" s="298">
        <f t="shared" si="1"/>
        <v>139866.05071428575</v>
      </c>
      <c r="H31" s="291">
        <f t="shared" si="4"/>
        <v>8002766.7385714278</v>
      </c>
    </row>
    <row r="32" spans="1:8">
      <c r="A32" s="243"/>
      <c r="B32" s="248">
        <v>0.1</v>
      </c>
      <c r="C32" s="243" t="s">
        <v>299</v>
      </c>
      <c r="D32" s="244"/>
      <c r="E32" s="290"/>
      <c r="F32" s="290"/>
      <c r="G32" s="298"/>
      <c r="H32" s="291"/>
    </row>
    <row r="33" spans="1:8">
      <c r="A33" s="243">
        <f>+A31+1</f>
        <v>7</v>
      </c>
      <c r="B33" s="243"/>
      <c r="C33" s="243" t="s">
        <v>4</v>
      </c>
      <c r="D33" s="244">
        <f ca="1">EDATE(D31,1)</f>
        <v>44187</v>
      </c>
      <c r="E33" s="299">
        <f>($D$18*10%)/30</f>
        <v>28465.808000000005</v>
      </c>
      <c r="F33" s="299">
        <f>($D$19*10%)/30</f>
        <v>1174.0688095238097</v>
      </c>
      <c r="G33" s="298">
        <f t="shared" si="1"/>
        <v>29639.876809523816</v>
      </c>
      <c r="H33" s="291">
        <f>H31-G33</f>
        <v>7973126.8617619043</v>
      </c>
    </row>
    <row r="34" spans="1:8">
      <c r="A34" s="243">
        <f t="shared" si="5"/>
        <v>8</v>
      </c>
      <c r="B34" s="243"/>
      <c r="C34" s="243" t="s">
        <v>5</v>
      </c>
      <c r="D34" s="244">
        <f t="shared" ca="1" si="2"/>
        <v>44218</v>
      </c>
      <c r="E34" s="299">
        <f t="shared" ref="E34:E62" si="6">($D$18*10%)/30</f>
        <v>28465.808000000005</v>
      </c>
      <c r="F34" s="299">
        <f t="shared" ref="F34:F62" si="7">($D$19*10%)/30</f>
        <v>1174.0688095238097</v>
      </c>
      <c r="G34" s="298">
        <f t="shared" si="1"/>
        <v>29639.876809523816</v>
      </c>
      <c r="H34" s="291">
        <f t="shared" si="4"/>
        <v>7943486.9849523809</v>
      </c>
    </row>
    <row r="35" spans="1:8">
      <c r="A35" s="243">
        <f t="shared" si="5"/>
        <v>9</v>
      </c>
      <c r="B35" s="243"/>
      <c r="C35" s="243" t="s">
        <v>12</v>
      </c>
      <c r="D35" s="244">
        <f t="shared" ca="1" si="2"/>
        <v>44249</v>
      </c>
      <c r="E35" s="299">
        <f t="shared" si="6"/>
        <v>28465.808000000005</v>
      </c>
      <c r="F35" s="299">
        <f t="shared" si="7"/>
        <v>1174.0688095238097</v>
      </c>
      <c r="G35" s="298">
        <f t="shared" si="1"/>
        <v>29639.876809523816</v>
      </c>
      <c r="H35" s="291">
        <f t="shared" si="4"/>
        <v>7913847.1081428574</v>
      </c>
    </row>
    <row r="36" spans="1:8">
      <c r="A36" s="243">
        <f t="shared" si="5"/>
        <v>10</v>
      </c>
      <c r="B36" s="243"/>
      <c r="C36" s="243" t="s">
        <v>13</v>
      </c>
      <c r="D36" s="244">
        <f t="shared" ca="1" si="2"/>
        <v>44277</v>
      </c>
      <c r="E36" s="299">
        <f t="shared" si="6"/>
        <v>28465.808000000005</v>
      </c>
      <c r="F36" s="299">
        <f t="shared" si="7"/>
        <v>1174.0688095238097</v>
      </c>
      <c r="G36" s="298">
        <f t="shared" si="1"/>
        <v>29639.876809523816</v>
      </c>
      <c r="H36" s="291">
        <f t="shared" si="4"/>
        <v>7884207.231333334</v>
      </c>
    </row>
    <row r="37" spans="1:8">
      <c r="A37" s="243">
        <f t="shared" si="5"/>
        <v>11</v>
      </c>
      <c r="B37" s="243"/>
      <c r="C37" s="243" t="s">
        <v>14</v>
      </c>
      <c r="D37" s="244">
        <f t="shared" ca="1" si="2"/>
        <v>44308</v>
      </c>
      <c r="E37" s="299">
        <f t="shared" si="6"/>
        <v>28465.808000000005</v>
      </c>
      <c r="F37" s="299">
        <f t="shared" si="7"/>
        <v>1174.0688095238097</v>
      </c>
      <c r="G37" s="298">
        <f t="shared" si="1"/>
        <v>29639.876809523816</v>
      </c>
      <c r="H37" s="291">
        <f t="shared" si="4"/>
        <v>7854567.3545238106</v>
      </c>
    </row>
    <row r="38" spans="1:8">
      <c r="A38" s="243">
        <f t="shared" si="5"/>
        <v>12</v>
      </c>
      <c r="B38" s="243"/>
      <c r="C38" s="243" t="s">
        <v>15</v>
      </c>
      <c r="D38" s="244">
        <f t="shared" ca="1" si="2"/>
        <v>44338</v>
      </c>
      <c r="E38" s="299">
        <f t="shared" si="6"/>
        <v>28465.808000000005</v>
      </c>
      <c r="F38" s="299">
        <f t="shared" si="7"/>
        <v>1174.0688095238097</v>
      </c>
      <c r="G38" s="298">
        <f t="shared" si="1"/>
        <v>29639.876809523816</v>
      </c>
      <c r="H38" s="291">
        <f t="shared" si="4"/>
        <v>7824927.4777142871</v>
      </c>
    </row>
    <row r="39" spans="1:8">
      <c r="A39" s="243">
        <f t="shared" si="5"/>
        <v>13</v>
      </c>
      <c r="B39" s="243"/>
      <c r="C39" s="243" t="s">
        <v>19</v>
      </c>
      <c r="D39" s="244">
        <f t="shared" ca="1" si="2"/>
        <v>44369</v>
      </c>
      <c r="E39" s="299">
        <f t="shared" si="6"/>
        <v>28465.808000000005</v>
      </c>
      <c r="F39" s="299">
        <f t="shared" si="7"/>
        <v>1174.0688095238097</v>
      </c>
      <c r="G39" s="298">
        <f t="shared" si="1"/>
        <v>29639.876809523816</v>
      </c>
      <c r="H39" s="291">
        <f t="shared" si="4"/>
        <v>7795287.6009047637</v>
      </c>
    </row>
    <row r="40" spans="1:8">
      <c r="A40" s="243">
        <f t="shared" si="5"/>
        <v>14</v>
      </c>
      <c r="B40" s="243"/>
      <c r="C40" s="243" t="s">
        <v>20</v>
      </c>
      <c r="D40" s="244">
        <f t="shared" ca="1" si="2"/>
        <v>44399</v>
      </c>
      <c r="E40" s="299">
        <f t="shared" si="6"/>
        <v>28465.808000000005</v>
      </c>
      <c r="F40" s="299">
        <f t="shared" si="7"/>
        <v>1174.0688095238097</v>
      </c>
      <c r="G40" s="298">
        <f t="shared" si="1"/>
        <v>29639.876809523816</v>
      </c>
      <c r="H40" s="291">
        <f t="shared" si="4"/>
        <v>7765647.7240952402</v>
      </c>
    </row>
    <row r="41" spans="1:8">
      <c r="A41" s="243">
        <f t="shared" si="5"/>
        <v>15</v>
      </c>
      <c r="B41" s="243"/>
      <c r="C41" s="243" t="s">
        <v>21</v>
      </c>
      <c r="D41" s="244">
        <f t="shared" ca="1" si="2"/>
        <v>44430</v>
      </c>
      <c r="E41" s="299">
        <f t="shared" si="6"/>
        <v>28465.808000000005</v>
      </c>
      <c r="F41" s="299">
        <f t="shared" si="7"/>
        <v>1174.0688095238097</v>
      </c>
      <c r="G41" s="298">
        <f t="shared" si="1"/>
        <v>29639.876809523816</v>
      </c>
      <c r="H41" s="291">
        <f t="shared" si="4"/>
        <v>7736007.8472857168</v>
      </c>
    </row>
    <row r="42" spans="1:8">
      <c r="A42" s="243">
        <f t="shared" si="5"/>
        <v>16</v>
      </c>
      <c r="B42" s="243"/>
      <c r="C42" s="243" t="s">
        <v>22</v>
      </c>
      <c r="D42" s="244">
        <f t="shared" ca="1" si="2"/>
        <v>44461</v>
      </c>
      <c r="E42" s="299">
        <f t="shared" si="6"/>
        <v>28465.808000000005</v>
      </c>
      <c r="F42" s="299">
        <f t="shared" si="7"/>
        <v>1174.0688095238097</v>
      </c>
      <c r="G42" s="298">
        <f t="shared" si="1"/>
        <v>29639.876809523816</v>
      </c>
      <c r="H42" s="291">
        <f t="shared" si="4"/>
        <v>7706367.9704761934</v>
      </c>
    </row>
    <row r="43" spans="1:8">
      <c r="A43" s="243">
        <f t="shared" si="5"/>
        <v>17</v>
      </c>
      <c r="B43" s="243"/>
      <c r="C43" s="243" t="s">
        <v>23</v>
      </c>
      <c r="D43" s="244">
        <f t="shared" ca="1" si="2"/>
        <v>44491</v>
      </c>
      <c r="E43" s="299">
        <f t="shared" si="6"/>
        <v>28465.808000000005</v>
      </c>
      <c r="F43" s="299">
        <f t="shared" si="7"/>
        <v>1174.0688095238097</v>
      </c>
      <c r="G43" s="298">
        <f t="shared" si="1"/>
        <v>29639.876809523816</v>
      </c>
      <c r="H43" s="291">
        <f t="shared" si="4"/>
        <v>7676728.0936666699</v>
      </c>
    </row>
    <row r="44" spans="1:8">
      <c r="A44" s="243">
        <f t="shared" si="5"/>
        <v>18</v>
      </c>
      <c r="B44" s="243"/>
      <c r="C44" s="243" t="s">
        <v>24</v>
      </c>
      <c r="D44" s="244">
        <f t="shared" ca="1" si="2"/>
        <v>44522</v>
      </c>
      <c r="E44" s="299">
        <f t="shared" si="6"/>
        <v>28465.808000000005</v>
      </c>
      <c r="F44" s="299">
        <f t="shared" si="7"/>
        <v>1174.0688095238097</v>
      </c>
      <c r="G44" s="298">
        <f t="shared" si="1"/>
        <v>29639.876809523816</v>
      </c>
      <c r="H44" s="291">
        <f t="shared" si="4"/>
        <v>7647088.2168571465</v>
      </c>
    </row>
    <row r="45" spans="1:8">
      <c r="A45" s="243">
        <f t="shared" si="5"/>
        <v>19</v>
      </c>
      <c r="B45" s="243"/>
      <c r="C45" s="243" t="s">
        <v>25</v>
      </c>
      <c r="D45" s="244">
        <f t="shared" ca="1" si="2"/>
        <v>44552</v>
      </c>
      <c r="E45" s="299">
        <f t="shared" si="6"/>
        <v>28465.808000000005</v>
      </c>
      <c r="F45" s="299">
        <f t="shared" si="7"/>
        <v>1174.0688095238097</v>
      </c>
      <c r="G45" s="298">
        <f t="shared" si="1"/>
        <v>29639.876809523816</v>
      </c>
      <c r="H45" s="291">
        <f t="shared" si="4"/>
        <v>7617448.340047623</v>
      </c>
    </row>
    <row r="46" spans="1:8">
      <c r="A46" s="243">
        <f t="shared" si="5"/>
        <v>20</v>
      </c>
      <c r="B46" s="243"/>
      <c r="C46" s="243" t="s">
        <v>26</v>
      </c>
      <c r="D46" s="244">
        <f t="shared" ca="1" si="2"/>
        <v>44583</v>
      </c>
      <c r="E46" s="299">
        <f t="shared" si="6"/>
        <v>28465.808000000005</v>
      </c>
      <c r="F46" s="299">
        <f t="shared" si="7"/>
        <v>1174.0688095238097</v>
      </c>
      <c r="G46" s="298">
        <f t="shared" si="1"/>
        <v>29639.876809523816</v>
      </c>
      <c r="H46" s="291">
        <f t="shared" si="4"/>
        <v>7587808.4632380996</v>
      </c>
    </row>
    <row r="47" spans="1:8">
      <c r="A47" s="243">
        <f t="shared" si="5"/>
        <v>21</v>
      </c>
      <c r="B47" s="243"/>
      <c r="C47" s="243" t="s">
        <v>27</v>
      </c>
      <c r="D47" s="244">
        <f t="shared" ca="1" si="2"/>
        <v>44614</v>
      </c>
      <c r="E47" s="299">
        <f t="shared" si="6"/>
        <v>28465.808000000005</v>
      </c>
      <c r="F47" s="299">
        <f t="shared" si="7"/>
        <v>1174.0688095238097</v>
      </c>
      <c r="G47" s="298">
        <f t="shared" si="1"/>
        <v>29639.876809523816</v>
      </c>
      <c r="H47" s="291">
        <f t="shared" si="4"/>
        <v>7558168.5864285761</v>
      </c>
    </row>
    <row r="48" spans="1:8">
      <c r="A48" s="243">
        <f t="shared" si="5"/>
        <v>22</v>
      </c>
      <c r="B48" s="243"/>
      <c r="C48" s="243" t="s">
        <v>28</v>
      </c>
      <c r="D48" s="244">
        <f t="shared" ca="1" si="2"/>
        <v>44642</v>
      </c>
      <c r="E48" s="299">
        <f t="shared" si="6"/>
        <v>28465.808000000005</v>
      </c>
      <c r="F48" s="299">
        <f t="shared" si="7"/>
        <v>1174.0688095238097</v>
      </c>
      <c r="G48" s="298">
        <f t="shared" si="1"/>
        <v>29639.876809523816</v>
      </c>
      <c r="H48" s="291">
        <f t="shared" si="4"/>
        <v>7528528.7096190527</v>
      </c>
    </row>
    <row r="49" spans="1:8">
      <c r="A49" s="243">
        <f t="shared" si="5"/>
        <v>23</v>
      </c>
      <c r="B49" s="243"/>
      <c r="C49" s="243" t="s">
        <v>29</v>
      </c>
      <c r="D49" s="244">
        <f t="shared" ca="1" si="2"/>
        <v>44673</v>
      </c>
      <c r="E49" s="299">
        <f t="shared" si="6"/>
        <v>28465.808000000005</v>
      </c>
      <c r="F49" s="299">
        <f t="shared" si="7"/>
        <v>1174.0688095238097</v>
      </c>
      <c r="G49" s="298">
        <f t="shared" si="1"/>
        <v>29639.876809523816</v>
      </c>
      <c r="H49" s="291">
        <f t="shared" si="4"/>
        <v>7498888.8328095293</v>
      </c>
    </row>
    <row r="50" spans="1:8">
      <c r="A50" s="243">
        <f t="shared" si="5"/>
        <v>24</v>
      </c>
      <c r="B50" s="243"/>
      <c r="C50" s="243" t="s">
        <v>30</v>
      </c>
      <c r="D50" s="244">
        <f t="shared" ca="1" si="2"/>
        <v>44703</v>
      </c>
      <c r="E50" s="299">
        <f t="shared" si="6"/>
        <v>28465.808000000005</v>
      </c>
      <c r="F50" s="299">
        <f t="shared" si="7"/>
        <v>1174.0688095238097</v>
      </c>
      <c r="G50" s="298">
        <f t="shared" si="1"/>
        <v>29639.876809523816</v>
      </c>
      <c r="H50" s="291">
        <f t="shared" si="4"/>
        <v>7469248.9560000058</v>
      </c>
    </row>
    <row r="51" spans="1:8">
      <c r="A51" s="243">
        <f t="shared" si="5"/>
        <v>25</v>
      </c>
      <c r="B51" s="243"/>
      <c r="C51" s="243" t="s">
        <v>48</v>
      </c>
      <c r="D51" s="244">
        <f t="shared" ca="1" si="2"/>
        <v>44734</v>
      </c>
      <c r="E51" s="299">
        <f t="shared" si="6"/>
        <v>28465.808000000005</v>
      </c>
      <c r="F51" s="299">
        <f t="shared" si="7"/>
        <v>1174.0688095238097</v>
      </c>
      <c r="G51" s="298">
        <f t="shared" si="1"/>
        <v>29639.876809523816</v>
      </c>
      <c r="H51" s="291">
        <f t="shared" si="4"/>
        <v>7439609.0791904824</v>
      </c>
    </row>
    <row r="52" spans="1:8">
      <c r="A52" s="243">
        <f t="shared" si="5"/>
        <v>26</v>
      </c>
      <c r="B52" s="243"/>
      <c r="C52" s="243" t="s">
        <v>49</v>
      </c>
      <c r="D52" s="244">
        <f t="shared" ca="1" si="2"/>
        <v>44764</v>
      </c>
      <c r="E52" s="299">
        <f t="shared" si="6"/>
        <v>28465.808000000005</v>
      </c>
      <c r="F52" s="299">
        <f t="shared" si="7"/>
        <v>1174.0688095238097</v>
      </c>
      <c r="G52" s="298">
        <f t="shared" si="1"/>
        <v>29639.876809523816</v>
      </c>
      <c r="H52" s="291">
        <f t="shared" si="4"/>
        <v>7409969.2023809589</v>
      </c>
    </row>
    <row r="53" spans="1:8">
      <c r="A53" s="243">
        <f t="shared" si="5"/>
        <v>27</v>
      </c>
      <c r="B53" s="243"/>
      <c r="C53" s="243" t="s">
        <v>50</v>
      </c>
      <c r="D53" s="244">
        <f t="shared" ca="1" si="2"/>
        <v>44795</v>
      </c>
      <c r="E53" s="299">
        <f t="shared" si="6"/>
        <v>28465.808000000005</v>
      </c>
      <c r="F53" s="299">
        <f t="shared" si="7"/>
        <v>1174.0688095238097</v>
      </c>
      <c r="G53" s="298">
        <f t="shared" si="1"/>
        <v>29639.876809523816</v>
      </c>
      <c r="H53" s="291">
        <f t="shared" si="4"/>
        <v>7380329.3255714355</v>
      </c>
    </row>
    <row r="54" spans="1:8">
      <c r="A54" s="243">
        <f t="shared" si="5"/>
        <v>28</v>
      </c>
      <c r="B54" s="243"/>
      <c r="C54" s="243" t="s">
        <v>51</v>
      </c>
      <c r="D54" s="244">
        <f t="shared" ca="1" si="2"/>
        <v>44826</v>
      </c>
      <c r="E54" s="299">
        <f t="shared" si="6"/>
        <v>28465.808000000005</v>
      </c>
      <c r="F54" s="299">
        <f t="shared" si="7"/>
        <v>1174.0688095238097</v>
      </c>
      <c r="G54" s="298">
        <f t="shared" si="1"/>
        <v>29639.876809523816</v>
      </c>
      <c r="H54" s="291">
        <f t="shared" si="4"/>
        <v>7350689.4487619121</v>
      </c>
    </row>
    <row r="55" spans="1:8">
      <c r="A55" s="243">
        <f t="shared" si="5"/>
        <v>29</v>
      </c>
      <c r="B55" s="243"/>
      <c r="C55" s="243" t="s">
        <v>52</v>
      </c>
      <c r="D55" s="244">
        <f t="shared" ca="1" si="2"/>
        <v>44856</v>
      </c>
      <c r="E55" s="299">
        <f t="shared" si="6"/>
        <v>28465.808000000005</v>
      </c>
      <c r="F55" s="299">
        <f t="shared" si="7"/>
        <v>1174.0688095238097</v>
      </c>
      <c r="G55" s="298">
        <f t="shared" si="1"/>
        <v>29639.876809523816</v>
      </c>
      <c r="H55" s="291">
        <f t="shared" si="4"/>
        <v>7321049.5719523886</v>
      </c>
    </row>
    <row r="56" spans="1:8">
      <c r="A56" s="243">
        <f t="shared" si="5"/>
        <v>30</v>
      </c>
      <c r="B56" s="243"/>
      <c r="C56" s="243" t="s">
        <v>53</v>
      </c>
      <c r="D56" s="244">
        <f t="shared" ca="1" si="2"/>
        <v>44887</v>
      </c>
      <c r="E56" s="299">
        <f t="shared" si="6"/>
        <v>28465.808000000005</v>
      </c>
      <c r="F56" s="299">
        <f t="shared" si="7"/>
        <v>1174.0688095238097</v>
      </c>
      <c r="G56" s="298">
        <f t="shared" si="1"/>
        <v>29639.876809523816</v>
      </c>
      <c r="H56" s="291">
        <f t="shared" si="4"/>
        <v>7291409.6951428652</v>
      </c>
    </row>
    <row r="57" spans="1:8">
      <c r="A57" s="243">
        <f t="shared" si="5"/>
        <v>31</v>
      </c>
      <c r="B57" s="243"/>
      <c r="C57" s="243" t="s">
        <v>93</v>
      </c>
      <c r="D57" s="244">
        <f t="shared" ca="1" si="2"/>
        <v>44917</v>
      </c>
      <c r="E57" s="299">
        <f t="shared" si="6"/>
        <v>28465.808000000005</v>
      </c>
      <c r="F57" s="299">
        <f t="shared" si="7"/>
        <v>1174.0688095238097</v>
      </c>
      <c r="G57" s="298">
        <f t="shared" si="1"/>
        <v>29639.876809523816</v>
      </c>
      <c r="H57" s="291">
        <f t="shared" si="4"/>
        <v>7261769.8183333417</v>
      </c>
    </row>
    <row r="58" spans="1:8">
      <c r="A58" s="243">
        <f t="shared" si="5"/>
        <v>32</v>
      </c>
      <c r="B58" s="243"/>
      <c r="C58" s="243" t="s">
        <v>94</v>
      </c>
      <c r="D58" s="244">
        <f t="shared" ca="1" si="2"/>
        <v>44948</v>
      </c>
      <c r="E58" s="299">
        <f t="shared" si="6"/>
        <v>28465.808000000005</v>
      </c>
      <c r="F58" s="299">
        <f t="shared" si="7"/>
        <v>1174.0688095238097</v>
      </c>
      <c r="G58" s="298">
        <f t="shared" si="1"/>
        <v>29639.876809523816</v>
      </c>
      <c r="H58" s="291">
        <f t="shared" si="4"/>
        <v>7232129.9415238183</v>
      </c>
    </row>
    <row r="59" spans="1:8">
      <c r="A59" s="243">
        <f t="shared" si="5"/>
        <v>33</v>
      </c>
      <c r="B59" s="243"/>
      <c r="C59" s="243" t="s">
        <v>95</v>
      </c>
      <c r="D59" s="244">
        <f t="shared" ca="1" si="2"/>
        <v>44979</v>
      </c>
      <c r="E59" s="299">
        <f t="shared" si="6"/>
        <v>28465.808000000005</v>
      </c>
      <c r="F59" s="299">
        <f t="shared" si="7"/>
        <v>1174.0688095238097</v>
      </c>
      <c r="G59" s="298">
        <f t="shared" si="1"/>
        <v>29639.876809523816</v>
      </c>
      <c r="H59" s="291">
        <f t="shared" si="4"/>
        <v>7202490.0647142949</v>
      </c>
    </row>
    <row r="60" spans="1:8">
      <c r="A60" s="243">
        <f t="shared" si="5"/>
        <v>34</v>
      </c>
      <c r="B60" s="243"/>
      <c r="C60" s="243" t="s">
        <v>96</v>
      </c>
      <c r="D60" s="244">
        <f t="shared" ca="1" si="2"/>
        <v>45007</v>
      </c>
      <c r="E60" s="299">
        <f t="shared" si="6"/>
        <v>28465.808000000005</v>
      </c>
      <c r="F60" s="299">
        <f t="shared" si="7"/>
        <v>1174.0688095238097</v>
      </c>
      <c r="G60" s="298">
        <f t="shared" si="1"/>
        <v>29639.876809523816</v>
      </c>
      <c r="H60" s="291">
        <f t="shared" si="4"/>
        <v>7172850.1879047714</v>
      </c>
    </row>
    <row r="61" spans="1:8">
      <c r="A61" s="243">
        <f t="shared" si="5"/>
        <v>35</v>
      </c>
      <c r="B61" s="243"/>
      <c r="C61" s="243" t="s">
        <v>97</v>
      </c>
      <c r="D61" s="244">
        <f t="shared" ca="1" si="2"/>
        <v>45038</v>
      </c>
      <c r="E61" s="299">
        <f t="shared" si="6"/>
        <v>28465.808000000005</v>
      </c>
      <c r="F61" s="299">
        <f t="shared" si="7"/>
        <v>1174.0688095238097</v>
      </c>
      <c r="G61" s="298">
        <f t="shared" si="1"/>
        <v>29639.876809523816</v>
      </c>
      <c r="H61" s="291">
        <f t="shared" si="4"/>
        <v>7143210.311095248</v>
      </c>
    </row>
    <row r="62" spans="1:8">
      <c r="A62" s="243">
        <f t="shared" si="5"/>
        <v>36</v>
      </c>
      <c r="B62" s="243"/>
      <c r="C62" s="243" t="s">
        <v>98</v>
      </c>
      <c r="D62" s="244">
        <f t="shared" ca="1" si="2"/>
        <v>45068</v>
      </c>
      <c r="E62" s="299">
        <f t="shared" si="6"/>
        <v>28465.808000000005</v>
      </c>
      <c r="F62" s="299">
        <f t="shared" si="7"/>
        <v>1174.0688095238097</v>
      </c>
      <c r="G62" s="298">
        <f t="shared" si="1"/>
        <v>29639.876809523816</v>
      </c>
      <c r="H62" s="291">
        <f t="shared" si="4"/>
        <v>7113570.4342857245</v>
      </c>
    </row>
    <row r="63" spans="1:8">
      <c r="A63" s="243">
        <f t="shared" si="5"/>
        <v>37</v>
      </c>
      <c r="B63" s="243"/>
      <c r="C63" s="243" t="s">
        <v>196</v>
      </c>
      <c r="D63" s="244">
        <f t="shared" ca="1" si="2"/>
        <v>45099</v>
      </c>
      <c r="E63" s="289">
        <f>D18*80%</f>
        <v>6831793.9200000009</v>
      </c>
      <c r="F63" s="289">
        <f>D19*80%</f>
        <v>281776.51428571431</v>
      </c>
      <c r="G63" s="298">
        <f t="shared" si="1"/>
        <v>7113570.4342857152</v>
      </c>
      <c r="H63" s="291">
        <f t="shared" si="4"/>
        <v>9.3132257461547852E-9</v>
      </c>
    </row>
    <row r="64" spans="1:8">
      <c r="A64" s="384" t="s">
        <v>16</v>
      </c>
      <c r="B64" s="384"/>
      <c r="C64" s="384"/>
      <c r="D64" s="384"/>
      <c r="E64" s="249">
        <f>SUM(E24:E63)</f>
        <v>8539742.4000000004</v>
      </c>
      <c r="F64" s="249">
        <f t="shared" ref="F64:G64" si="8">SUM(F24:F63)</f>
        <v>352220.64285714284</v>
      </c>
      <c r="G64" s="249">
        <f t="shared" si="8"/>
        <v>8891963.0428571459</v>
      </c>
      <c r="H64" s="279"/>
    </row>
    <row r="65" spans="1:8" s="197" customFormat="1">
      <c r="C65" s="206"/>
      <c r="D65" s="207"/>
      <c r="E65" s="208"/>
      <c r="F65" s="208"/>
      <c r="G65" s="208"/>
    </row>
    <row r="66" spans="1:8" s="197" customFormat="1">
      <c r="A66" s="374" t="s">
        <v>313</v>
      </c>
      <c r="B66" s="374"/>
      <c r="C66" s="374"/>
      <c r="D66" s="374"/>
      <c r="E66" s="374"/>
      <c r="F66" s="374"/>
      <c r="G66" s="374"/>
      <c r="H66" s="374"/>
    </row>
    <row r="67" spans="1:8" s="197" customFormat="1" ht="29.25" customHeight="1">
      <c r="A67" s="388" t="s">
        <v>314</v>
      </c>
      <c r="B67" s="388"/>
      <c r="C67" s="388"/>
      <c r="D67" s="388"/>
      <c r="E67" s="388"/>
      <c r="F67" s="388"/>
      <c r="G67" s="388"/>
      <c r="H67" s="388"/>
    </row>
    <row r="68" spans="1:8" s="197" customFormat="1" ht="16.5" customHeight="1">
      <c r="A68" s="374" t="s">
        <v>315</v>
      </c>
      <c r="B68" s="374"/>
      <c r="C68" s="374"/>
      <c r="D68" s="374"/>
      <c r="E68" s="374"/>
      <c r="F68" s="374"/>
      <c r="G68" s="374"/>
      <c r="H68" s="374"/>
    </row>
    <row r="69" spans="1:8" s="197" customFormat="1" ht="16.5" customHeight="1">
      <c r="A69" s="374" t="s">
        <v>316</v>
      </c>
      <c r="B69" s="374"/>
      <c r="C69" s="374"/>
      <c r="D69" s="374"/>
      <c r="E69" s="374"/>
      <c r="F69" s="374"/>
      <c r="G69" s="374"/>
      <c r="H69" s="374"/>
    </row>
    <row r="70" spans="1:8" s="197" customFormat="1" ht="16.5" customHeight="1">
      <c r="A70" s="374" t="s">
        <v>317</v>
      </c>
      <c r="B70" s="374"/>
      <c r="C70" s="374"/>
      <c r="D70" s="374"/>
      <c r="E70" s="374"/>
      <c r="F70" s="374"/>
      <c r="G70" s="374"/>
      <c r="H70" s="374"/>
    </row>
    <row r="71" spans="1:8" s="197" customFormat="1" ht="107.25" customHeight="1">
      <c r="A71" s="374" t="s">
        <v>318</v>
      </c>
      <c r="B71" s="374"/>
      <c r="C71" s="374"/>
      <c r="D71" s="374"/>
      <c r="E71" s="374"/>
      <c r="F71" s="374"/>
      <c r="G71" s="374"/>
      <c r="H71" s="374"/>
    </row>
    <row r="72" spans="1:8" s="197" customFormat="1" ht="42" customHeight="1">
      <c r="A72" s="374" t="s">
        <v>319</v>
      </c>
      <c r="B72" s="374"/>
      <c r="C72" s="374"/>
      <c r="D72" s="374"/>
      <c r="E72" s="374"/>
      <c r="F72" s="374"/>
      <c r="G72" s="374"/>
      <c r="H72" s="374"/>
    </row>
    <row r="73" spans="1:8" s="197" customFormat="1" ht="18.75" customHeight="1">
      <c r="A73" s="374" t="s">
        <v>320</v>
      </c>
      <c r="B73" s="374"/>
      <c r="C73" s="374"/>
      <c r="D73" s="374"/>
      <c r="E73" s="374"/>
      <c r="F73" s="374"/>
      <c r="G73" s="374"/>
      <c r="H73" s="374"/>
    </row>
    <row r="74" spans="1:8" s="197" customFormat="1">
      <c r="A74" s="374"/>
      <c r="B74" s="374"/>
      <c r="C74" s="374"/>
      <c r="D74" s="374"/>
      <c r="E74" s="374"/>
      <c r="F74" s="374"/>
      <c r="G74" s="374"/>
      <c r="H74" s="374"/>
    </row>
    <row r="75" spans="1:8" s="197" customFormat="1">
      <c r="A75" s="197" t="s">
        <v>17</v>
      </c>
      <c r="D75" s="209"/>
      <c r="G75" s="198"/>
    </row>
    <row r="76" spans="1:8" s="197" customFormat="1">
      <c r="D76" s="209"/>
      <c r="G76" s="198"/>
    </row>
    <row r="77" spans="1:8" s="197" customFormat="1" ht="15" customHeight="1">
      <c r="A77" s="210"/>
      <c r="B77" s="210"/>
      <c r="C77" s="210"/>
      <c r="D77" s="209"/>
      <c r="E77" s="210"/>
      <c r="F77" s="210"/>
      <c r="G77" s="211"/>
    </row>
    <row r="78" spans="1:8" s="197" customFormat="1">
      <c r="A78" s="375" t="s">
        <v>293</v>
      </c>
      <c r="B78" s="375"/>
      <c r="C78" s="375"/>
      <c r="D78" s="209"/>
      <c r="E78" s="375" t="s">
        <v>18</v>
      </c>
      <c r="F78" s="375"/>
      <c r="G78" s="375"/>
    </row>
    <row r="79" spans="1:8"/>
    <row r="80" spans="1:8" s="280" customFormat="1" ht="15" hidden="1">
      <c r="A80" s="39"/>
      <c r="B80" s="39"/>
      <c r="C80" s="39"/>
      <c r="D80" s="40"/>
      <c r="E80" s="39"/>
      <c r="F80" s="39"/>
    </row>
  </sheetData>
  <sheetProtection password="CAF1" sheet="1" selectLockedCells="1"/>
  <mergeCells count="20">
    <mergeCell ref="A71:H71"/>
    <mergeCell ref="A72:H72"/>
    <mergeCell ref="A73:H73"/>
    <mergeCell ref="A74:H74"/>
    <mergeCell ref="A78:C78"/>
    <mergeCell ref="E78:G78"/>
    <mergeCell ref="H1:H2"/>
    <mergeCell ref="A23:G23"/>
    <mergeCell ref="A64:D64"/>
    <mergeCell ref="C5:H5"/>
    <mergeCell ref="C6:H6"/>
    <mergeCell ref="C7:H7"/>
    <mergeCell ref="C8:H8"/>
    <mergeCell ref="C9:H9"/>
    <mergeCell ref="C10:H10"/>
    <mergeCell ref="A66:H66"/>
    <mergeCell ref="A67:H67"/>
    <mergeCell ref="A68:H68"/>
    <mergeCell ref="A69:H69"/>
    <mergeCell ref="A70:H70"/>
  </mergeCells>
  <hyperlinks>
    <hyperlink ref="C1" location="'DATA SHEET'!A1" display="HIGHLANDS PRIME, INC." xr:uid="{00000000-0004-0000-1800-000000000000}"/>
    <hyperlink ref="J3" location="'DATA SHEET'!A1" display="Return to Data Sheet" xr:uid="{00000000-0004-0000-1800-000001000000}"/>
  </hyperlinks>
  <printOptions horizontalCentered="1"/>
  <pageMargins left="0.7" right="0.7" top="0.75" bottom="0.5" header="0.3" footer="0.3"/>
  <pageSetup scale="70" orientation="portrait" r:id="rId1"/>
  <headerFooter>
    <oddFooter>&amp;L&amp;8A project of HIGHLANDS PRIME, INC. 
Woodridge Place at Tagaytay Highlands,  Tagaytay Highlands, Tagaytay City
HLURB License To Sell No. 22459&amp;RPage &amp;P of &amp;N</oddFooter>
  </headerFooter>
  <ignoredErrors>
    <ignoredError sqref="C10 D15" unlockedFormula="1"/>
    <ignoredError sqref="D19"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7941D"/>
  </sheetPr>
  <dimension ref="A1:L100"/>
  <sheetViews>
    <sheetView showGridLines="0" topLeftCell="A4" zoomScaleNormal="100" workbookViewId="0">
      <selection activeCell="C14" sqref="C14"/>
    </sheetView>
  </sheetViews>
  <sheetFormatPr baseColWidth="10" defaultColWidth="0" defaultRowHeight="14" zeroHeight="1"/>
  <cols>
    <col min="1" max="1" width="12.33203125" style="39" customWidth="1"/>
    <col min="2" max="2" width="10.33203125" style="39" customWidth="1"/>
    <col min="3" max="3" width="24.1640625" style="39" customWidth="1"/>
    <col min="4" max="4" width="13.5" style="40" bestFit="1" customWidth="1"/>
    <col min="5" max="5" width="13.5" style="39" bestFit="1" customWidth="1"/>
    <col min="6" max="6" width="14.83203125" style="39" bestFit="1" customWidth="1"/>
    <col min="7" max="7" width="13.5" style="39" bestFit="1" customWidth="1"/>
    <col min="8" max="8" width="16.5" style="39" bestFit="1" customWidth="1"/>
    <col min="9" max="9" width="9.83203125" style="39" bestFit="1" customWidth="1"/>
    <col min="10" max="12" width="9.1640625" style="39" customWidth="1"/>
    <col min="13" max="16384" width="9.1640625" style="39" hidden="1"/>
  </cols>
  <sheetData>
    <row r="1" spans="1:10" ht="12.75" customHeight="1">
      <c r="C1" s="212" t="s">
        <v>35</v>
      </c>
      <c r="H1" s="376" t="s">
        <v>66</v>
      </c>
    </row>
    <row r="2" spans="1:10" ht="12.75" customHeight="1">
      <c r="C2" s="41" t="s">
        <v>207</v>
      </c>
      <c r="H2" s="376"/>
    </row>
    <row r="3" spans="1:10">
      <c r="C3" s="41" t="s">
        <v>36</v>
      </c>
      <c r="J3" s="251" t="s">
        <v>215</v>
      </c>
    </row>
    <row r="4" spans="1:10"/>
    <row r="5" spans="1:10">
      <c r="A5" s="283" t="s">
        <v>0</v>
      </c>
      <c r="B5" s="285"/>
      <c r="C5" s="395" t="str">
        <f>'[11]DATA SHEET'!C7</f>
        <v xml:space="preserve"> </v>
      </c>
      <c r="D5" s="395"/>
      <c r="E5" s="395"/>
      <c r="F5" s="395"/>
      <c r="G5" s="395"/>
      <c r="H5" s="396"/>
    </row>
    <row r="6" spans="1:10">
      <c r="A6" s="215" t="s">
        <v>31</v>
      </c>
      <c r="B6" s="216"/>
      <c r="C6" s="397" t="str">
        <f>VLOOKUP('DATA SHEET'!$C$10,' Glenview PL'!C6:G41,1,FALSE)</f>
        <v>GB</v>
      </c>
      <c r="D6" s="397"/>
      <c r="E6" s="397"/>
      <c r="F6" s="397"/>
      <c r="G6" s="397"/>
      <c r="H6" s="398"/>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c r="I8" s="286">
        <v>0.1</v>
      </c>
    </row>
    <row r="9" spans="1:10">
      <c r="A9" s="222" t="s">
        <v>294</v>
      </c>
      <c r="B9" s="223"/>
      <c r="C9" s="382">
        <f>VLOOKUP('DATA SHEET'!C10,' Glenview PL'!C6:G41,4,0)</f>
        <v>8851760</v>
      </c>
      <c r="D9" s="382"/>
      <c r="E9" s="382"/>
      <c r="F9" s="382"/>
      <c r="G9" s="382"/>
      <c r="H9" s="383"/>
    </row>
    <row r="10" spans="1:10">
      <c r="A10" s="224" t="s">
        <v>33</v>
      </c>
      <c r="B10" s="225"/>
      <c r="C10" s="399" t="str">
        <f>'DATA SHEET'!B24</f>
        <v>100% over 60 months</v>
      </c>
      <c r="D10" s="399"/>
      <c r="E10" s="399"/>
      <c r="F10" s="399"/>
      <c r="G10" s="399"/>
      <c r="H10" s="400"/>
    </row>
    <row r="11" spans="1:10"/>
    <row r="12" spans="1:10">
      <c r="A12" s="41" t="s">
        <v>55</v>
      </c>
      <c r="B12" s="41"/>
    </row>
    <row r="13" spans="1:10">
      <c r="A13" s="197" t="s">
        <v>307</v>
      </c>
      <c r="D13" s="42">
        <f>C9-650000</f>
        <v>8201760</v>
      </c>
      <c r="E13" s="226" t="str">
        <f>LEFT(C8,9)</f>
        <v>1-Bedroom</v>
      </c>
      <c r="F13" s="226"/>
      <c r="G13" s="226"/>
      <c r="H13" s="42"/>
    </row>
    <row r="14" spans="1:10" s="280" customFormat="1" ht="15">
      <c r="A14" s="227" t="s">
        <v>325</v>
      </c>
      <c r="B14" s="228"/>
      <c r="C14" s="306">
        <v>0.01</v>
      </c>
      <c r="D14" s="229">
        <f>IF(C14&lt;=1%,D13*C14,"BEYOND MAX")</f>
        <v>82017.600000000006</v>
      </c>
      <c r="E14" s="294">
        <f>VLOOKUP(C6,' Glenview PL'!C:G,5,0)</f>
        <v>230000</v>
      </c>
      <c r="F14" s="39"/>
    </row>
    <row r="15" spans="1:10" s="280" customFormat="1" ht="15">
      <c r="A15" s="227" t="s">
        <v>326</v>
      </c>
      <c r="B15" s="228"/>
      <c r="C15" s="196"/>
      <c r="D15" s="87">
        <f>VLOOKUP('DATA SHEET'!C10,' Glenview PL'!$C$6:$G$41,5,0)</f>
        <v>230000</v>
      </c>
      <c r="E15" s="294"/>
      <c r="F15" s="39"/>
    </row>
    <row r="16" spans="1:10" s="280" customFormat="1" ht="15">
      <c r="A16" s="197" t="s">
        <v>308</v>
      </c>
      <c r="B16" s="228"/>
      <c r="C16" s="196"/>
      <c r="D16" s="230">
        <f>+D13-SUM(D14:D15)</f>
        <v>7889742.4000000004</v>
      </c>
      <c r="E16" s="231"/>
      <c r="F16" s="281"/>
    </row>
    <row r="17" spans="1:8" s="280" customFormat="1" ht="15">
      <c r="A17" s="232" t="s">
        <v>214</v>
      </c>
      <c r="B17" s="228"/>
      <c r="C17" s="196"/>
      <c r="D17" s="233">
        <v>650000</v>
      </c>
      <c r="E17" s="231"/>
      <c r="F17" s="281"/>
    </row>
    <row r="18" spans="1:8" s="280" customFormat="1" ht="15">
      <c r="A18" s="234" t="s">
        <v>309</v>
      </c>
      <c r="B18" s="228"/>
      <c r="C18" s="196"/>
      <c r="D18" s="295">
        <f>+SUM(D16:D17)</f>
        <v>8539742.4000000004</v>
      </c>
      <c r="E18" s="231"/>
      <c r="F18" s="281"/>
    </row>
    <row r="19" spans="1:8" s="280" customFormat="1" ht="15">
      <c r="A19" s="236" t="s">
        <v>285</v>
      </c>
      <c r="B19" s="39"/>
      <c r="C19" s="200">
        <v>0.05</v>
      </c>
      <c r="D19" s="237">
        <f>(D16/1.12)*C19</f>
        <v>352220.64285714284</v>
      </c>
      <c r="E19" s="231"/>
      <c r="F19" s="281"/>
    </row>
    <row r="20" spans="1:8" s="280" customFormat="1" ht="16" thickBot="1">
      <c r="A20" s="198" t="s">
        <v>58</v>
      </c>
      <c r="B20" s="39"/>
      <c r="C20" s="39"/>
      <c r="D20" s="238">
        <f>+SUM(D18:D19)</f>
        <v>8891963.042857144</v>
      </c>
      <c r="E20" s="231"/>
      <c r="F20" s="281"/>
    </row>
    <row r="21" spans="1:8" ht="15" thickTop="1"/>
    <row r="22" spans="1:8">
      <c r="A22" s="239" t="s">
        <v>34</v>
      </c>
      <c r="B22" s="239" t="s">
        <v>286</v>
      </c>
      <c r="C22" s="239" t="s">
        <v>2</v>
      </c>
      <c r="D22" s="239" t="s">
        <v>287</v>
      </c>
      <c r="E22" s="239" t="s">
        <v>310</v>
      </c>
      <c r="F22" s="240" t="s">
        <v>289</v>
      </c>
      <c r="G22" s="241" t="s">
        <v>290</v>
      </c>
      <c r="H22" s="239" t="s">
        <v>291</v>
      </c>
    </row>
    <row r="23" spans="1:8" ht="13.5" customHeight="1">
      <c r="A23" s="243">
        <v>0</v>
      </c>
      <c r="B23" s="243"/>
      <c r="C23" s="243" t="s">
        <v>38</v>
      </c>
      <c r="D23" s="244">
        <f>'[11]DATA SHEET'!C9</f>
        <v>43781</v>
      </c>
      <c r="E23" s="289">
        <f>IF(E13="1-Bedroom",50000,100000)</f>
        <v>50000</v>
      </c>
      <c r="F23" s="289"/>
      <c r="G23" s="298">
        <f>+SUM(E23:F23)</f>
        <v>50000</v>
      </c>
      <c r="H23" s="247">
        <f>D20-G23</f>
        <v>8841963.042857144</v>
      </c>
    </row>
    <row r="24" spans="1:8" ht="13.5" customHeight="1">
      <c r="A24" s="243"/>
      <c r="B24" s="248">
        <v>1</v>
      </c>
      <c r="C24" s="243" t="s">
        <v>296</v>
      </c>
      <c r="D24" s="244"/>
      <c r="E24" s="289"/>
      <c r="F24" s="289"/>
      <c r="G24" s="298"/>
      <c r="H24" s="247"/>
    </row>
    <row r="25" spans="1:8" ht="13.5" customHeight="1">
      <c r="A25" s="243">
        <f>+A23+1</f>
        <v>1</v>
      </c>
      <c r="B25" s="243"/>
      <c r="C25" s="243" t="s">
        <v>222</v>
      </c>
      <c r="D25" s="244">
        <f>EDATE(D23,1)</f>
        <v>43811</v>
      </c>
      <c r="E25" s="290">
        <f>(($D$18*100%)-$E$23)/60</f>
        <v>141495.70666666667</v>
      </c>
      <c r="F25" s="290">
        <f>($D$19*100%)/60</f>
        <v>5870.3440476190472</v>
      </c>
      <c r="G25" s="298">
        <f t="shared" ref="G25:G84" si="0">+SUM(E25:F25)</f>
        <v>147366.05071428572</v>
      </c>
      <c r="H25" s="291">
        <f>H23-G25</f>
        <v>8694596.992142858</v>
      </c>
    </row>
    <row r="26" spans="1:8">
      <c r="A26" s="243">
        <f t="shared" ref="A26:A84" si="1">+A25+1</f>
        <v>2</v>
      </c>
      <c r="B26" s="243"/>
      <c r="C26" s="243" t="s">
        <v>223</v>
      </c>
      <c r="D26" s="244">
        <f t="shared" ref="D26:D84" si="2">EDATE(D25,1)</f>
        <v>43842</v>
      </c>
      <c r="E26" s="290">
        <f t="shared" ref="E26:E84" si="3">(($D$18*100%)-$E$23)/60</f>
        <v>141495.70666666667</v>
      </c>
      <c r="F26" s="290">
        <f t="shared" ref="F26:F84" si="4">($D$19*100%)/60</f>
        <v>5870.3440476190472</v>
      </c>
      <c r="G26" s="298">
        <f t="shared" si="0"/>
        <v>147366.05071428572</v>
      </c>
      <c r="H26" s="291">
        <f>H25-G26</f>
        <v>8547230.9414285719</v>
      </c>
    </row>
    <row r="27" spans="1:8">
      <c r="A27" s="243">
        <f t="shared" si="1"/>
        <v>3</v>
      </c>
      <c r="B27" s="243"/>
      <c r="C27" s="243" t="s">
        <v>224</v>
      </c>
      <c r="D27" s="244">
        <f t="shared" si="2"/>
        <v>43873</v>
      </c>
      <c r="E27" s="290">
        <f t="shared" si="3"/>
        <v>141495.70666666667</v>
      </c>
      <c r="F27" s="290">
        <f t="shared" si="4"/>
        <v>5870.3440476190472</v>
      </c>
      <c r="G27" s="298">
        <f t="shared" si="0"/>
        <v>147366.05071428572</v>
      </c>
      <c r="H27" s="291">
        <f t="shared" ref="H27:H84" si="5">H26-G27</f>
        <v>8399864.8907142859</v>
      </c>
    </row>
    <row r="28" spans="1:8">
      <c r="A28" s="243">
        <f t="shared" si="1"/>
        <v>4</v>
      </c>
      <c r="B28" s="243"/>
      <c r="C28" s="243" t="s">
        <v>225</v>
      </c>
      <c r="D28" s="244">
        <f t="shared" si="2"/>
        <v>43902</v>
      </c>
      <c r="E28" s="290">
        <f t="shared" si="3"/>
        <v>141495.70666666667</v>
      </c>
      <c r="F28" s="290">
        <f t="shared" si="4"/>
        <v>5870.3440476190472</v>
      </c>
      <c r="G28" s="298">
        <f t="shared" si="0"/>
        <v>147366.05071428572</v>
      </c>
      <c r="H28" s="291">
        <f t="shared" si="5"/>
        <v>8252498.8399999999</v>
      </c>
    </row>
    <row r="29" spans="1:8">
      <c r="A29" s="243">
        <f t="shared" si="1"/>
        <v>5</v>
      </c>
      <c r="B29" s="243"/>
      <c r="C29" s="243" t="s">
        <v>226</v>
      </c>
      <c r="D29" s="244">
        <f t="shared" si="2"/>
        <v>43933</v>
      </c>
      <c r="E29" s="290">
        <f t="shared" si="3"/>
        <v>141495.70666666667</v>
      </c>
      <c r="F29" s="290">
        <f t="shared" si="4"/>
        <v>5870.3440476190472</v>
      </c>
      <c r="G29" s="298">
        <f t="shared" si="0"/>
        <v>147366.05071428572</v>
      </c>
      <c r="H29" s="291">
        <f t="shared" si="5"/>
        <v>8105132.7892857138</v>
      </c>
    </row>
    <row r="30" spans="1:8">
      <c r="A30" s="243">
        <f t="shared" si="1"/>
        <v>6</v>
      </c>
      <c r="B30" s="243"/>
      <c r="C30" s="243" t="s">
        <v>227</v>
      </c>
      <c r="D30" s="244">
        <f t="shared" si="2"/>
        <v>43963</v>
      </c>
      <c r="E30" s="290">
        <f t="shared" si="3"/>
        <v>141495.70666666667</v>
      </c>
      <c r="F30" s="290">
        <f t="shared" si="4"/>
        <v>5870.3440476190472</v>
      </c>
      <c r="G30" s="298">
        <f t="shared" si="0"/>
        <v>147366.05071428572</v>
      </c>
      <c r="H30" s="291">
        <f t="shared" si="5"/>
        <v>7957766.7385714278</v>
      </c>
    </row>
    <row r="31" spans="1:8">
      <c r="A31" s="243">
        <f t="shared" si="1"/>
        <v>7</v>
      </c>
      <c r="B31" s="243"/>
      <c r="C31" s="243" t="s">
        <v>228</v>
      </c>
      <c r="D31" s="244">
        <f t="shared" si="2"/>
        <v>43994</v>
      </c>
      <c r="E31" s="290">
        <f t="shared" si="3"/>
        <v>141495.70666666667</v>
      </c>
      <c r="F31" s="290">
        <f t="shared" si="4"/>
        <v>5870.3440476190472</v>
      </c>
      <c r="G31" s="298">
        <f t="shared" si="0"/>
        <v>147366.05071428572</v>
      </c>
      <c r="H31" s="291">
        <f t="shared" si="5"/>
        <v>7810400.6878571417</v>
      </c>
    </row>
    <row r="32" spans="1:8">
      <c r="A32" s="243">
        <f t="shared" si="1"/>
        <v>8</v>
      </c>
      <c r="B32" s="243"/>
      <c r="C32" s="243" t="s">
        <v>229</v>
      </c>
      <c r="D32" s="244">
        <f t="shared" si="2"/>
        <v>44024</v>
      </c>
      <c r="E32" s="290">
        <f t="shared" si="3"/>
        <v>141495.70666666667</v>
      </c>
      <c r="F32" s="290">
        <f t="shared" si="4"/>
        <v>5870.3440476190472</v>
      </c>
      <c r="G32" s="298">
        <f t="shared" si="0"/>
        <v>147366.05071428572</v>
      </c>
      <c r="H32" s="291">
        <f t="shared" si="5"/>
        <v>7663034.6371428557</v>
      </c>
    </row>
    <row r="33" spans="1:8">
      <c r="A33" s="243">
        <f t="shared" si="1"/>
        <v>9</v>
      </c>
      <c r="B33" s="243"/>
      <c r="C33" s="243" t="s">
        <v>230</v>
      </c>
      <c r="D33" s="244">
        <f t="shared" si="2"/>
        <v>44055</v>
      </c>
      <c r="E33" s="290">
        <f t="shared" si="3"/>
        <v>141495.70666666667</v>
      </c>
      <c r="F33" s="290">
        <f t="shared" si="4"/>
        <v>5870.3440476190472</v>
      </c>
      <c r="G33" s="298">
        <f t="shared" si="0"/>
        <v>147366.05071428572</v>
      </c>
      <c r="H33" s="291">
        <f t="shared" si="5"/>
        <v>7515668.5864285696</v>
      </c>
    </row>
    <row r="34" spans="1:8">
      <c r="A34" s="243">
        <f t="shared" si="1"/>
        <v>10</v>
      </c>
      <c r="B34" s="243"/>
      <c r="C34" s="243" t="s">
        <v>231</v>
      </c>
      <c r="D34" s="244">
        <f t="shared" si="2"/>
        <v>44086</v>
      </c>
      <c r="E34" s="290">
        <f t="shared" si="3"/>
        <v>141495.70666666667</v>
      </c>
      <c r="F34" s="290">
        <f t="shared" si="4"/>
        <v>5870.3440476190472</v>
      </c>
      <c r="G34" s="298">
        <f t="shared" si="0"/>
        <v>147366.05071428572</v>
      </c>
      <c r="H34" s="291">
        <f t="shared" si="5"/>
        <v>7368302.5357142836</v>
      </c>
    </row>
    <row r="35" spans="1:8">
      <c r="A35" s="243">
        <f t="shared" si="1"/>
        <v>11</v>
      </c>
      <c r="B35" s="243"/>
      <c r="C35" s="243" t="s">
        <v>232</v>
      </c>
      <c r="D35" s="244">
        <f t="shared" si="2"/>
        <v>44116</v>
      </c>
      <c r="E35" s="290">
        <f t="shared" si="3"/>
        <v>141495.70666666667</v>
      </c>
      <c r="F35" s="290">
        <f t="shared" si="4"/>
        <v>5870.3440476190472</v>
      </c>
      <c r="G35" s="298">
        <f t="shared" si="0"/>
        <v>147366.05071428572</v>
      </c>
      <c r="H35" s="291">
        <f t="shared" si="5"/>
        <v>7220936.4849999975</v>
      </c>
    </row>
    <row r="36" spans="1:8">
      <c r="A36" s="243">
        <f t="shared" si="1"/>
        <v>12</v>
      </c>
      <c r="B36" s="243"/>
      <c r="C36" s="243" t="s">
        <v>233</v>
      </c>
      <c r="D36" s="244">
        <f t="shared" si="2"/>
        <v>44147</v>
      </c>
      <c r="E36" s="290">
        <f t="shared" si="3"/>
        <v>141495.70666666667</v>
      </c>
      <c r="F36" s="290">
        <f t="shared" si="4"/>
        <v>5870.3440476190472</v>
      </c>
      <c r="G36" s="298">
        <f t="shared" si="0"/>
        <v>147366.05071428572</v>
      </c>
      <c r="H36" s="291">
        <f t="shared" si="5"/>
        <v>7073570.4342857115</v>
      </c>
    </row>
    <row r="37" spans="1:8">
      <c r="A37" s="243">
        <f t="shared" si="1"/>
        <v>13</v>
      </c>
      <c r="B37" s="243"/>
      <c r="C37" s="243" t="s">
        <v>234</v>
      </c>
      <c r="D37" s="244">
        <f t="shared" si="2"/>
        <v>44177</v>
      </c>
      <c r="E37" s="290">
        <f t="shared" si="3"/>
        <v>141495.70666666667</v>
      </c>
      <c r="F37" s="290">
        <f t="shared" si="4"/>
        <v>5870.3440476190472</v>
      </c>
      <c r="G37" s="298">
        <f t="shared" si="0"/>
        <v>147366.05071428572</v>
      </c>
      <c r="H37" s="291">
        <f t="shared" si="5"/>
        <v>6926204.3835714255</v>
      </c>
    </row>
    <row r="38" spans="1:8">
      <c r="A38" s="243">
        <f t="shared" si="1"/>
        <v>14</v>
      </c>
      <c r="B38" s="243"/>
      <c r="C38" s="243" t="s">
        <v>235</v>
      </c>
      <c r="D38" s="244">
        <f t="shared" si="2"/>
        <v>44208</v>
      </c>
      <c r="E38" s="290">
        <f t="shared" si="3"/>
        <v>141495.70666666667</v>
      </c>
      <c r="F38" s="290">
        <f t="shared" si="4"/>
        <v>5870.3440476190472</v>
      </c>
      <c r="G38" s="298">
        <f t="shared" si="0"/>
        <v>147366.05071428572</v>
      </c>
      <c r="H38" s="291">
        <f t="shared" si="5"/>
        <v>6778838.3328571394</v>
      </c>
    </row>
    <row r="39" spans="1:8">
      <c r="A39" s="243">
        <f t="shared" si="1"/>
        <v>15</v>
      </c>
      <c r="B39" s="243"/>
      <c r="C39" s="243" t="s">
        <v>236</v>
      </c>
      <c r="D39" s="244">
        <f t="shared" si="2"/>
        <v>44239</v>
      </c>
      <c r="E39" s="290">
        <f t="shared" si="3"/>
        <v>141495.70666666667</v>
      </c>
      <c r="F39" s="290">
        <f t="shared" si="4"/>
        <v>5870.3440476190472</v>
      </c>
      <c r="G39" s="298">
        <f t="shared" si="0"/>
        <v>147366.05071428572</v>
      </c>
      <c r="H39" s="291">
        <f t="shared" si="5"/>
        <v>6631472.2821428534</v>
      </c>
    </row>
    <row r="40" spans="1:8">
      <c r="A40" s="243">
        <f t="shared" si="1"/>
        <v>16</v>
      </c>
      <c r="B40" s="243"/>
      <c r="C40" s="243" t="s">
        <v>237</v>
      </c>
      <c r="D40" s="244">
        <f t="shared" si="2"/>
        <v>44267</v>
      </c>
      <c r="E40" s="290">
        <f t="shared" si="3"/>
        <v>141495.70666666667</v>
      </c>
      <c r="F40" s="290">
        <f t="shared" si="4"/>
        <v>5870.3440476190472</v>
      </c>
      <c r="G40" s="298">
        <f t="shared" si="0"/>
        <v>147366.05071428572</v>
      </c>
      <c r="H40" s="291">
        <f t="shared" si="5"/>
        <v>6484106.2314285673</v>
      </c>
    </row>
    <row r="41" spans="1:8">
      <c r="A41" s="243">
        <f t="shared" si="1"/>
        <v>17</v>
      </c>
      <c r="B41" s="243"/>
      <c r="C41" s="243" t="s">
        <v>238</v>
      </c>
      <c r="D41" s="244">
        <f t="shared" si="2"/>
        <v>44298</v>
      </c>
      <c r="E41" s="290">
        <f t="shared" si="3"/>
        <v>141495.70666666667</v>
      </c>
      <c r="F41" s="290">
        <f t="shared" si="4"/>
        <v>5870.3440476190472</v>
      </c>
      <c r="G41" s="298">
        <f t="shared" si="0"/>
        <v>147366.05071428572</v>
      </c>
      <c r="H41" s="291">
        <f t="shared" si="5"/>
        <v>6336740.1807142813</v>
      </c>
    </row>
    <row r="42" spans="1:8">
      <c r="A42" s="243">
        <f t="shared" si="1"/>
        <v>18</v>
      </c>
      <c r="B42" s="243"/>
      <c r="C42" s="243" t="s">
        <v>239</v>
      </c>
      <c r="D42" s="244">
        <f t="shared" si="2"/>
        <v>44328</v>
      </c>
      <c r="E42" s="290">
        <f t="shared" si="3"/>
        <v>141495.70666666667</v>
      </c>
      <c r="F42" s="290">
        <f t="shared" si="4"/>
        <v>5870.3440476190472</v>
      </c>
      <c r="G42" s="298">
        <f t="shared" si="0"/>
        <v>147366.05071428572</v>
      </c>
      <c r="H42" s="291">
        <f t="shared" si="5"/>
        <v>6189374.1299999952</v>
      </c>
    </row>
    <row r="43" spans="1:8">
      <c r="A43" s="243">
        <f t="shared" si="1"/>
        <v>19</v>
      </c>
      <c r="B43" s="243"/>
      <c r="C43" s="243" t="s">
        <v>240</v>
      </c>
      <c r="D43" s="244">
        <f t="shared" si="2"/>
        <v>44359</v>
      </c>
      <c r="E43" s="290">
        <f t="shared" si="3"/>
        <v>141495.70666666667</v>
      </c>
      <c r="F43" s="290">
        <f t="shared" si="4"/>
        <v>5870.3440476190472</v>
      </c>
      <c r="G43" s="298">
        <f t="shared" si="0"/>
        <v>147366.05071428572</v>
      </c>
      <c r="H43" s="291">
        <f t="shared" si="5"/>
        <v>6042008.0792857092</v>
      </c>
    </row>
    <row r="44" spans="1:8">
      <c r="A44" s="243">
        <f t="shared" si="1"/>
        <v>20</v>
      </c>
      <c r="B44" s="243"/>
      <c r="C44" s="243" t="s">
        <v>241</v>
      </c>
      <c r="D44" s="244">
        <f t="shared" si="2"/>
        <v>44389</v>
      </c>
      <c r="E44" s="290">
        <f t="shared" si="3"/>
        <v>141495.70666666667</v>
      </c>
      <c r="F44" s="290">
        <f t="shared" si="4"/>
        <v>5870.3440476190472</v>
      </c>
      <c r="G44" s="298">
        <f t="shared" si="0"/>
        <v>147366.05071428572</v>
      </c>
      <c r="H44" s="291">
        <f t="shared" si="5"/>
        <v>5894642.0285714231</v>
      </c>
    </row>
    <row r="45" spans="1:8">
      <c r="A45" s="243">
        <f t="shared" si="1"/>
        <v>21</v>
      </c>
      <c r="B45" s="243"/>
      <c r="C45" s="243" t="s">
        <v>242</v>
      </c>
      <c r="D45" s="244">
        <f t="shared" si="2"/>
        <v>44420</v>
      </c>
      <c r="E45" s="290">
        <f t="shared" si="3"/>
        <v>141495.70666666667</v>
      </c>
      <c r="F45" s="290">
        <f t="shared" si="4"/>
        <v>5870.3440476190472</v>
      </c>
      <c r="G45" s="298">
        <f t="shared" si="0"/>
        <v>147366.05071428572</v>
      </c>
      <c r="H45" s="291">
        <f t="shared" si="5"/>
        <v>5747275.9778571371</v>
      </c>
    </row>
    <row r="46" spans="1:8">
      <c r="A46" s="243">
        <f t="shared" si="1"/>
        <v>22</v>
      </c>
      <c r="B46" s="243"/>
      <c r="C46" s="243" t="s">
        <v>243</v>
      </c>
      <c r="D46" s="244">
        <f t="shared" si="2"/>
        <v>44451</v>
      </c>
      <c r="E46" s="290">
        <f t="shared" si="3"/>
        <v>141495.70666666667</v>
      </c>
      <c r="F46" s="290">
        <f t="shared" si="4"/>
        <v>5870.3440476190472</v>
      </c>
      <c r="G46" s="298">
        <f t="shared" si="0"/>
        <v>147366.05071428572</v>
      </c>
      <c r="H46" s="291">
        <f t="shared" si="5"/>
        <v>5599909.9271428511</v>
      </c>
    </row>
    <row r="47" spans="1:8">
      <c r="A47" s="243">
        <f t="shared" si="1"/>
        <v>23</v>
      </c>
      <c r="B47" s="243"/>
      <c r="C47" s="243" t="s">
        <v>244</v>
      </c>
      <c r="D47" s="244">
        <f t="shared" si="2"/>
        <v>44481</v>
      </c>
      <c r="E47" s="290">
        <f t="shared" si="3"/>
        <v>141495.70666666667</v>
      </c>
      <c r="F47" s="290">
        <f t="shared" si="4"/>
        <v>5870.3440476190472</v>
      </c>
      <c r="G47" s="298">
        <f t="shared" si="0"/>
        <v>147366.05071428572</v>
      </c>
      <c r="H47" s="291">
        <f t="shared" si="5"/>
        <v>5452543.876428565</v>
      </c>
    </row>
    <row r="48" spans="1:8">
      <c r="A48" s="243">
        <f t="shared" si="1"/>
        <v>24</v>
      </c>
      <c r="B48" s="243"/>
      <c r="C48" s="243" t="s">
        <v>245</v>
      </c>
      <c r="D48" s="244">
        <f t="shared" si="2"/>
        <v>44512</v>
      </c>
      <c r="E48" s="290">
        <f t="shared" si="3"/>
        <v>141495.70666666667</v>
      </c>
      <c r="F48" s="290">
        <f t="shared" si="4"/>
        <v>5870.3440476190472</v>
      </c>
      <c r="G48" s="298">
        <f t="shared" si="0"/>
        <v>147366.05071428572</v>
      </c>
      <c r="H48" s="291">
        <f t="shared" si="5"/>
        <v>5305177.825714279</v>
      </c>
    </row>
    <row r="49" spans="1:8">
      <c r="A49" s="243">
        <f t="shared" si="1"/>
        <v>25</v>
      </c>
      <c r="B49" s="243"/>
      <c r="C49" s="243" t="s">
        <v>246</v>
      </c>
      <c r="D49" s="244">
        <f t="shared" si="2"/>
        <v>44542</v>
      </c>
      <c r="E49" s="290">
        <f t="shared" si="3"/>
        <v>141495.70666666667</v>
      </c>
      <c r="F49" s="290">
        <f t="shared" si="4"/>
        <v>5870.3440476190472</v>
      </c>
      <c r="G49" s="298">
        <f t="shared" si="0"/>
        <v>147366.05071428572</v>
      </c>
      <c r="H49" s="291">
        <f t="shared" si="5"/>
        <v>5157811.7749999929</v>
      </c>
    </row>
    <row r="50" spans="1:8">
      <c r="A50" s="243">
        <f t="shared" si="1"/>
        <v>26</v>
      </c>
      <c r="B50" s="243"/>
      <c r="C50" s="243" t="s">
        <v>247</v>
      </c>
      <c r="D50" s="244">
        <f t="shared" si="2"/>
        <v>44573</v>
      </c>
      <c r="E50" s="290">
        <f t="shared" si="3"/>
        <v>141495.70666666667</v>
      </c>
      <c r="F50" s="290">
        <f t="shared" si="4"/>
        <v>5870.3440476190472</v>
      </c>
      <c r="G50" s="298">
        <f t="shared" si="0"/>
        <v>147366.05071428572</v>
      </c>
      <c r="H50" s="291">
        <f t="shared" si="5"/>
        <v>5010445.7242857069</v>
      </c>
    </row>
    <row r="51" spans="1:8">
      <c r="A51" s="243">
        <f t="shared" si="1"/>
        <v>27</v>
      </c>
      <c r="B51" s="243"/>
      <c r="C51" s="243" t="s">
        <v>248</v>
      </c>
      <c r="D51" s="244">
        <f t="shared" si="2"/>
        <v>44604</v>
      </c>
      <c r="E51" s="290">
        <f t="shared" si="3"/>
        <v>141495.70666666667</v>
      </c>
      <c r="F51" s="290">
        <f t="shared" si="4"/>
        <v>5870.3440476190472</v>
      </c>
      <c r="G51" s="298">
        <f t="shared" si="0"/>
        <v>147366.05071428572</v>
      </c>
      <c r="H51" s="291">
        <f t="shared" si="5"/>
        <v>4863079.6735714208</v>
      </c>
    </row>
    <row r="52" spans="1:8">
      <c r="A52" s="243">
        <f t="shared" si="1"/>
        <v>28</v>
      </c>
      <c r="B52" s="243"/>
      <c r="C52" s="243" t="s">
        <v>249</v>
      </c>
      <c r="D52" s="244">
        <f t="shared" si="2"/>
        <v>44632</v>
      </c>
      <c r="E52" s="290">
        <f t="shared" si="3"/>
        <v>141495.70666666667</v>
      </c>
      <c r="F52" s="290">
        <f t="shared" si="4"/>
        <v>5870.3440476190472</v>
      </c>
      <c r="G52" s="298">
        <f t="shared" si="0"/>
        <v>147366.05071428572</v>
      </c>
      <c r="H52" s="291">
        <f t="shared" si="5"/>
        <v>4715713.6228571348</v>
      </c>
    </row>
    <row r="53" spans="1:8">
      <c r="A53" s="243">
        <f t="shared" si="1"/>
        <v>29</v>
      </c>
      <c r="B53" s="243"/>
      <c r="C53" s="243" t="s">
        <v>250</v>
      </c>
      <c r="D53" s="244">
        <f t="shared" si="2"/>
        <v>44663</v>
      </c>
      <c r="E53" s="290">
        <f t="shared" si="3"/>
        <v>141495.70666666667</v>
      </c>
      <c r="F53" s="290">
        <f t="shared" si="4"/>
        <v>5870.3440476190472</v>
      </c>
      <c r="G53" s="298">
        <f t="shared" si="0"/>
        <v>147366.05071428572</v>
      </c>
      <c r="H53" s="291">
        <f t="shared" si="5"/>
        <v>4568347.5721428487</v>
      </c>
    </row>
    <row r="54" spans="1:8">
      <c r="A54" s="243">
        <f t="shared" si="1"/>
        <v>30</v>
      </c>
      <c r="B54" s="243"/>
      <c r="C54" s="243" t="s">
        <v>251</v>
      </c>
      <c r="D54" s="244">
        <f t="shared" si="2"/>
        <v>44693</v>
      </c>
      <c r="E54" s="290">
        <f t="shared" si="3"/>
        <v>141495.70666666667</v>
      </c>
      <c r="F54" s="290">
        <f t="shared" si="4"/>
        <v>5870.3440476190472</v>
      </c>
      <c r="G54" s="298">
        <f t="shared" si="0"/>
        <v>147366.05071428572</v>
      </c>
      <c r="H54" s="291">
        <f t="shared" si="5"/>
        <v>4420981.5214285627</v>
      </c>
    </row>
    <row r="55" spans="1:8">
      <c r="A55" s="243">
        <f t="shared" si="1"/>
        <v>31</v>
      </c>
      <c r="B55" s="243"/>
      <c r="C55" s="243" t="s">
        <v>252</v>
      </c>
      <c r="D55" s="244">
        <f t="shared" si="2"/>
        <v>44724</v>
      </c>
      <c r="E55" s="290">
        <f t="shared" si="3"/>
        <v>141495.70666666667</v>
      </c>
      <c r="F55" s="290">
        <f t="shared" si="4"/>
        <v>5870.3440476190472</v>
      </c>
      <c r="G55" s="298">
        <f t="shared" si="0"/>
        <v>147366.05071428572</v>
      </c>
      <c r="H55" s="291">
        <f t="shared" si="5"/>
        <v>4273615.4707142767</v>
      </c>
    </row>
    <row r="56" spans="1:8">
      <c r="A56" s="243">
        <f t="shared" si="1"/>
        <v>32</v>
      </c>
      <c r="B56" s="243"/>
      <c r="C56" s="243" t="s">
        <v>253</v>
      </c>
      <c r="D56" s="244">
        <f t="shared" si="2"/>
        <v>44754</v>
      </c>
      <c r="E56" s="290">
        <f t="shared" si="3"/>
        <v>141495.70666666667</v>
      </c>
      <c r="F56" s="290">
        <f t="shared" si="4"/>
        <v>5870.3440476190472</v>
      </c>
      <c r="G56" s="298">
        <f t="shared" si="0"/>
        <v>147366.05071428572</v>
      </c>
      <c r="H56" s="291">
        <f t="shared" si="5"/>
        <v>4126249.4199999911</v>
      </c>
    </row>
    <row r="57" spans="1:8">
      <c r="A57" s="243">
        <f t="shared" si="1"/>
        <v>33</v>
      </c>
      <c r="B57" s="243"/>
      <c r="C57" s="243" t="s">
        <v>254</v>
      </c>
      <c r="D57" s="244">
        <f t="shared" si="2"/>
        <v>44785</v>
      </c>
      <c r="E57" s="290">
        <f t="shared" si="3"/>
        <v>141495.70666666667</v>
      </c>
      <c r="F57" s="290">
        <f t="shared" si="4"/>
        <v>5870.3440476190472</v>
      </c>
      <c r="G57" s="298">
        <f t="shared" si="0"/>
        <v>147366.05071428572</v>
      </c>
      <c r="H57" s="291">
        <f t="shared" si="5"/>
        <v>3978883.3692857055</v>
      </c>
    </row>
    <row r="58" spans="1:8">
      <c r="A58" s="243">
        <f t="shared" si="1"/>
        <v>34</v>
      </c>
      <c r="B58" s="243"/>
      <c r="C58" s="243" t="s">
        <v>255</v>
      </c>
      <c r="D58" s="244">
        <f t="shared" si="2"/>
        <v>44816</v>
      </c>
      <c r="E58" s="290">
        <f t="shared" si="3"/>
        <v>141495.70666666667</v>
      </c>
      <c r="F58" s="290">
        <f t="shared" si="4"/>
        <v>5870.3440476190472</v>
      </c>
      <c r="G58" s="298">
        <f t="shared" si="0"/>
        <v>147366.05071428572</v>
      </c>
      <c r="H58" s="291">
        <f t="shared" si="5"/>
        <v>3831517.3185714199</v>
      </c>
    </row>
    <row r="59" spans="1:8">
      <c r="A59" s="243">
        <f t="shared" si="1"/>
        <v>35</v>
      </c>
      <c r="B59" s="243"/>
      <c r="C59" s="243" t="s">
        <v>256</v>
      </c>
      <c r="D59" s="244">
        <f t="shared" si="2"/>
        <v>44846</v>
      </c>
      <c r="E59" s="290">
        <f t="shared" si="3"/>
        <v>141495.70666666667</v>
      </c>
      <c r="F59" s="290">
        <f t="shared" si="4"/>
        <v>5870.3440476190472</v>
      </c>
      <c r="G59" s="298">
        <f t="shared" si="0"/>
        <v>147366.05071428572</v>
      </c>
      <c r="H59" s="291">
        <f t="shared" si="5"/>
        <v>3684151.2678571343</v>
      </c>
    </row>
    <row r="60" spans="1:8">
      <c r="A60" s="243">
        <f t="shared" si="1"/>
        <v>36</v>
      </c>
      <c r="B60" s="243"/>
      <c r="C60" s="243" t="s">
        <v>257</v>
      </c>
      <c r="D60" s="244">
        <f t="shared" si="2"/>
        <v>44877</v>
      </c>
      <c r="E60" s="290">
        <f t="shared" si="3"/>
        <v>141495.70666666667</v>
      </c>
      <c r="F60" s="290">
        <f t="shared" si="4"/>
        <v>5870.3440476190472</v>
      </c>
      <c r="G60" s="298">
        <f t="shared" si="0"/>
        <v>147366.05071428572</v>
      </c>
      <c r="H60" s="291">
        <f t="shared" si="5"/>
        <v>3536785.2171428488</v>
      </c>
    </row>
    <row r="61" spans="1:8">
      <c r="A61" s="243">
        <f t="shared" si="1"/>
        <v>37</v>
      </c>
      <c r="B61" s="243"/>
      <c r="C61" s="243" t="s">
        <v>258</v>
      </c>
      <c r="D61" s="244">
        <f t="shared" si="2"/>
        <v>44907</v>
      </c>
      <c r="E61" s="290">
        <f t="shared" si="3"/>
        <v>141495.70666666667</v>
      </c>
      <c r="F61" s="290">
        <f t="shared" si="4"/>
        <v>5870.3440476190472</v>
      </c>
      <c r="G61" s="298">
        <f t="shared" si="0"/>
        <v>147366.05071428572</v>
      </c>
      <c r="H61" s="291">
        <f t="shared" si="5"/>
        <v>3389419.1664285632</v>
      </c>
    </row>
    <row r="62" spans="1:8">
      <c r="A62" s="243">
        <f t="shared" si="1"/>
        <v>38</v>
      </c>
      <c r="B62" s="243"/>
      <c r="C62" s="243" t="s">
        <v>259</v>
      </c>
      <c r="D62" s="244">
        <f t="shared" si="2"/>
        <v>44938</v>
      </c>
      <c r="E62" s="290">
        <f t="shared" si="3"/>
        <v>141495.70666666667</v>
      </c>
      <c r="F62" s="290">
        <f t="shared" si="4"/>
        <v>5870.3440476190472</v>
      </c>
      <c r="G62" s="298">
        <f t="shared" si="0"/>
        <v>147366.05071428572</v>
      </c>
      <c r="H62" s="291">
        <f t="shared" si="5"/>
        <v>3242053.1157142776</v>
      </c>
    </row>
    <row r="63" spans="1:8">
      <c r="A63" s="243">
        <f t="shared" si="1"/>
        <v>39</v>
      </c>
      <c r="B63" s="243"/>
      <c r="C63" s="243" t="s">
        <v>260</v>
      </c>
      <c r="D63" s="244">
        <f t="shared" si="2"/>
        <v>44969</v>
      </c>
      <c r="E63" s="290">
        <f t="shared" si="3"/>
        <v>141495.70666666667</v>
      </c>
      <c r="F63" s="290">
        <f t="shared" si="4"/>
        <v>5870.3440476190472</v>
      </c>
      <c r="G63" s="298">
        <f t="shared" si="0"/>
        <v>147366.05071428572</v>
      </c>
      <c r="H63" s="291">
        <f t="shared" si="5"/>
        <v>3094687.064999992</v>
      </c>
    </row>
    <row r="64" spans="1:8">
      <c r="A64" s="243">
        <f t="shared" si="1"/>
        <v>40</v>
      </c>
      <c r="B64" s="243"/>
      <c r="C64" s="243" t="s">
        <v>261</v>
      </c>
      <c r="D64" s="244">
        <f t="shared" si="2"/>
        <v>44997</v>
      </c>
      <c r="E64" s="290">
        <f t="shared" si="3"/>
        <v>141495.70666666667</v>
      </c>
      <c r="F64" s="290">
        <f t="shared" si="4"/>
        <v>5870.3440476190472</v>
      </c>
      <c r="G64" s="298">
        <f t="shared" si="0"/>
        <v>147366.05071428572</v>
      </c>
      <c r="H64" s="291">
        <f t="shared" si="5"/>
        <v>2947321.0142857064</v>
      </c>
    </row>
    <row r="65" spans="1:8">
      <c r="A65" s="243">
        <f t="shared" si="1"/>
        <v>41</v>
      </c>
      <c r="B65" s="243"/>
      <c r="C65" s="243" t="s">
        <v>262</v>
      </c>
      <c r="D65" s="244">
        <f t="shared" si="2"/>
        <v>45028</v>
      </c>
      <c r="E65" s="290">
        <f t="shared" si="3"/>
        <v>141495.70666666667</v>
      </c>
      <c r="F65" s="290">
        <f t="shared" si="4"/>
        <v>5870.3440476190472</v>
      </c>
      <c r="G65" s="298">
        <f t="shared" si="0"/>
        <v>147366.05071428572</v>
      </c>
      <c r="H65" s="291">
        <f t="shared" si="5"/>
        <v>2799954.9635714209</v>
      </c>
    </row>
    <row r="66" spans="1:8">
      <c r="A66" s="243">
        <f t="shared" si="1"/>
        <v>42</v>
      </c>
      <c r="B66" s="243"/>
      <c r="C66" s="243" t="s">
        <v>263</v>
      </c>
      <c r="D66" s="244">
        <f t="shared" si="2"/>
        <v>45058</v>
      </c>
      <c r="E66" s="290">
        <f t="shared" si="3"/>
        <v>141495.70666666667</v>
      </c>
      <c r="F66" s="290">
        <f t="shared" si="4"/>
        <v>5870.3440476190472</v>
      </c>
      <c r="G66" s="298">
        <f t="shared" si="0"/>
        <v>147366.05071428572</v>
      </c>
      <c r="H66" s="291">
        <f t="shared" si="5"/>
        <v>2652588.9128571353</v>
      </c>
    </row>
    <row r="67" spans="1:8">
      <c r="A67" s="243">
        <f t="shared" si="1"/>
        <v>43</v>
      </c>
      <c r="B67" s="243"/>
      <c r="C67" s="243" t="s">
        <v>264</v>
      </c>
      <c r="D67" s="244">
        <f t="shared" si="2"/>
        <v>45089</v>
      </c>
      <c r="E67" s="290">
        <f t="shared" si="3"/>
        <v>141495.70666666667</v>
      </c>
      <c r="F67" s="290">
        <f t="shared" si="4"/>
        <v>5870.3440476190472</v>
      </c>
      <c r="G67" s="298">
        <f t="shared" si="0"/>
        <v>147366.05071428572</v>
      </c>
      <c r="H67" s="291">
        <f t="shared" si="5"/>
        <v>2505222.8621428497</v>
      </c>
    </row>
    <row r="68" spans="1:8">
      <c r="A68" s="243">
        <f t="shared" si="1"/>
        <v>44</v>
      </c>
      <c r="B68" s="243"/>
      <c r="C68" s="243" t="s">
        <v>265</v>
      </c>
      <c r="D68" s="244">
        <f t="shared" si="2"/>
        <v>45119</v>
      </c>
      <c r="E68" s="290">
        <f t="shared" si="3"/>
        <v>141495.70666666667</v>
      </c>
      <c r="F68" s="290">
        <f t="shared" si="4"/>
        <v>5870.3440476190472</v>
      </c>
      <c r="G68" s="298">
        <f t="shared" si="0"/>
        <v>147366.05071428572</v>
      </c>
      <c r="H68" s="291">
        <f t="shared" si="5"/>
        <v>2357856.8114285641</v>
      </c>
    </row>
    <row r="69" spans="1:8">
      <c r="A69" s="243">
        <f t="shared" si="1"/>
        <v>45</v>
      </c>
      <c r="B69" s="243"/>
      <c r="C69" s="243" t="s">
        <v>266</v>
      </c>
      <c r="D69" s="244">
        <f t="shared" si="2"/>
        <v>45150</v>
      </c>
      <c r="E69" s="290">
        <f t="shared" si="3"/>
        <v>141495.70666666667</v>
      </c>
      <c r="F69" s="290">
        <f t="shared" si="4"/>
        <v>5870.3440476190472</v>
      </c>
      <c r="G69" s="298">
        <f t="shared" si="0"/>
        <v>147366.05071428572</v>
      </c>
      <c r="H69" s="291">
        <f t="shared" si="5"/>
        <v>2210490.7607142786</v>
      </c>
    </row>
    <row r="70" spans="1:8">
      <c r="A70" s="243">
        <f t="shared" si="1"/>
        <v>46</v>
      </c>
      <c r="B70" s="243"/>
      <c r="C70" s="243" t="s">
        <v>267</v>
      </c>
      <c r="D70" s="244">
        <f t="shared" si="2"/>
        <v>45181</v>
      </c>
      <c r="E70" s="290">
        <f t="shared" si="3"/>
        <v>141495.70666666667</v>
      </c>
      <c r="F70" s="290">
        <f t="shared" si="4"/>
        <v>5870.3440476190472</v>
      </c>
      <c r="G70" s="298">
        <f t="shared" si="0"/>
        <v>147366.05071428572</v>
      </c>
      <c r="H70" s="291">
        <f t="shared" si="5"/>
        <v>2063124.7099999927</v>
      </c>
    </row>
    <row r="71" spans="1:8">
      <c r="A71" s="243">
        <f t="shared" si="1"/>
        <v>47</v>
      </c>
      <c r="B71" s="243"/>
      <c r="C71" s="243" t="s">
        <v>268</v>
      </c>
      <c r="D71" s="244">
        <f t="shared" si="2"/>
        <v>45211</v>
      </c>
      <c r="E71" s="290">
        <f t="shared" si="3"/>
        <v>141495.70666666667</v>
      </c>
      <c r="F71" s="290">
        <f t="shared" si="4"/>
        <v>5870.3440476190472</v>
      </c>
      <c r="G71" s="298">
        <f t="shared" si="0"/>
        <v>147366.05071428572</v>
      </c>
      <c r="H71" s="291">
        <f t="shared" si="5"/>
        <v>1915758.6592857069</v>
      </c>
    </row>
    <row r="72" spans="1:8">
      <c r="A72" s="243">
        <f t="shared" si="1"/>
        <v>48</v>
      </c>
      <c r="B72" s="243"/>
      <c r="C72" s="243" t="s">
        <v>269</v>
      </c>
      <c r="D72" s="244">
        <f t="shared" si="2"/>
        <v>45242</v>
      </c>
      <c r="E72" s="290">
        <f t="shared" si="3"/>
        <v>141495.70666666667</v>
      </c>
      <c r="F72" s="290">
        <f t="shared" si="4"/>
        <v>5870.3440476190472</v>
      </c>
      <c r="G72" s="298">
        <f t="shared" si="0"/>
        <v>147366.05071428572</v>
      </c>
      <c r="H72" s="291">
        <f t="shared" si="5"/>
        <v>1768392.6085714211</v>
      </c>
    </row>
    <row r="73" spans="1:8">
      <c r="A73" s="243">
        <f t="shared" si="1"/>
        <v>49</v>
      </c>
      <c r="B73" s="243"/>
      <c r="C73" s="243" t="s">
        <v>270</v>
      </c>
      <c r="D73" s="244">
        <f t="shared" si="2"/>
        <v>45272</v>
      </c>
      <c r="E73" s="290">
        <f t="shared" si="3"/>
        <v>141495.70666666667</v>
      </c>
      <c r="F73" s="290">
        <f t="shared" si="4"/>
        <v>5870.3440476190472</v>
      </c>
      <c r="G73" s="298">
        <f t="shared" si="0"/>
        <v>147366.05071428572</v>
      </c>
      <c r="H73" s="291">
        <f t="shared" si="5"/>
        <v>1621026.5578571353</v>
      </c>
    </row>
    <row r="74" spans="1:8">
      <c r="A74" s="243">
        <f t="shared" si="1"/>
        <v>50</v>
      </c>
      <c r="B74" s="243"/>
      <c r="C74" s="243" t="s">
        <v>271</v>
      </c>
      <c r="D74" s="244">
        <f t="shared" si="2"/>
        <v>45303</v>
      </c>
      <c r="E74" s="290">
        <f t="shared" si="3"/>
        <v>141495.70666666667</v>
      </c>
      <c r="F74" s="290">
        <f t="shared" si="4"/>
        <v>5870.3440476190472</v>
      </c>
      <c r="G74" s="298">
        <f t="shared" si="0"/>
        <v>147366.05071428572</v>
      </c>
      <c r="H74" s="291">
        <f t="shared" si="5"/>
        <v>1473660.5071428495</v>
      </c>
    </row>
    <row r="75" spans="1:8">
      <c r="A75" s="243">
        <f t="shared" si="1"/>
        <v>51</v>
      </c>
      <c r="B75" s="243"/>
      <c r="C75" s="243" t="s">
        <v>272</v>
      </c>
      <c r="D75" s="244">
        <f t="shared" si="2"/>
        <v>45334</v>
      </c>
      <c r="E75" s="290">
        <f t="shared" si="3"/>
        <v>141495.70666666667</v>
      </c>
      <c r="F75" s="290">
        <f t="shared" si="4"/>
        <v>5870.3440476190472</v>
      </c>
      <c r="G75" s="298">
        <f t="shared" si="0"/>
        <v>147366.05071428572</v>
      </c>
      <c r="H75" s="291">
        <f t="shared" si="5"/>
        <v>1326294.4564285637</v>
      </c>
    </row>
    <row r="76" spans="1:8">
      <c r="A76" s="243">
        <f t="shared" si="1"/>
        <v>52</v>
      </c>
      <c r="B76" s="243"/>
      <c r="C76" s="243" t="s">
        <v>273</v>
      </c>
      <c r="D76" s="244">
        <f t="shared" si="2"/>
        <v>45363</v>
      </c>
      <c r="E76" s="290">
        <f t="shared" si="3"/>
        <v>141495.70666666667</v>
      </c>
      <c r="F76" s="290">
        <f t="shared" si="4"/>
        <v>5870.3440476190472</v>
      </c>
      <c r="G76" s="298">
        <f t="shared" si="0"/>
        <v>147366.05071428572</v>
      </c>
      <c r="H76" s="291">
        <f t="shared" si="5"/>
        <v>1178928.4057142779</v>
      </c>
    </row>
    <row r="77" spans="1:8">
      <c r="A77" s="243">
        <f t="shared" si="1"/>
        <v>53</v>
      </c>
      <c r="B77" s="243"/>
      <c r="C77" s="243" t="s">
        <v>274</v>
      </c>
      <c r="D77" s="244">
        <f t="shared" si="2"/>
        <v>45394</v>
      </c>
      <c r="E77" s="290">
        <f t="shared" si="3"/>
        <v>141495.70666666667</v>
      </c>
      <c r="F77" s="290">
        <f t="shared" si="4"/>
        <v>5870.3440476190472</v>
      </c>
      <c r="G77" s="298">
        <f t="shared" si="0"/>
        <v>147366.05071428572</v>
      </c>
      <c r="H77" s="291">
        <f t="shared" si="5"/>
        <v>1031562.3549999922</v>
      </c>
    </row>
    <row r="78" spans="1:8">
      <c r="A78" s="243">
        <f t="shared" si="1"/>
        <v>54</v>
      </c>
      <c r="B78" s="243"/>
      <c r="C78" s="243" t="s">
        <v>275</v>
      </c>
      <c r="D78" s="244">
        <f t="shared" si="2"/>
        <v>45424</v>
      </c>
      <c r="E78" s="290">
        <f t="shared" si="3"/>
        <v>141495.70666666667</v>
      </c>
      <c r="F78" s="290">
        <f t="shared" si="4"/>
        <v>5870.3440476190472</v>
      </c>
      <c r="G78" s="298">
        <f t="shared" si="0"/>
        <v>147366.05071428572</v>
      </c>
      <c r="H78" s="291">
        <f t="shared" si="5"/>
        <v>884196.30428570649</v>
      </c>
    </row>
    <row r="79" spans="1:8">
      <c r="A79" s="243">
        <f t="shared" si="1"/>
        <v>55</v>
      </c>
      <c r="B79" s="243"/>
      <c r="C79" s="243" t="s">
        <v>276</v>
      </c>
      <c r="D79" s="244">
        <f t="shared" si="2"/>
        <v>45455</v>
      </c>
      <c r="E79" s="290">
        <f t="shared" si="3"/>
        <v>141495.70666666667</v>
      </c>
      <c r="F79" s="290">
        <f t="shared" si="4"/>
        <v>5870.3440476190472</v>
      </c>
      <c r="G79" s="298">
        <f t="shared" si="0"/>
        <v>147366.05071428572</v>
      </c>
      <c r="H79" s="291">
        <f t="shared" si="5"/>
        <v>736830.25357142079</v>
      </c>
    </row>
    <row r="80" spans="1:8">
      <c r="A80" s="243">
        <f t="shared" si="1"/>
        <v>56</v>
      </c>
      <c r="B80" s="243"/>
      <c r="C80" s="243" t="s">
        <v>277</v>
      </c>
      <c r="D80" s="244">
        <f t="shared" si="2"/>
        <v>45485</v>
      </c>
      <c r="E80" s="290">
        <f t="shared" si="3"/>
        <v>141495.70666666667</v>
      </c>
      <c r="F80" s="290">
        <f t="shared" si="4"/>
        <v>5870.3440476190472</v>
      </c>
      <c r="G80" s="298">
        <f t="shared" si="0"/>
        <v>147366.05071428572</v>
      </c>
      <c r="H80" s="291">
        <f t="shared" si="5"/>
        <v>589464.2028571351</v>
      </c>
    </row>
    <row r="81" spans="1:8">
      <c r="A81" s="243">
        <f t="shared" si="1"/>
        <v>57</v>
      </c>
      <c r="B81" s="243"/>
      <c r="C81" s="243" t="s">
        <v>278</v>
      </c>
      <c r="D81" s="244">
        <f t="shared" si="2"/>
        <v>45516</v>
      </c>
      <c r="E81" s="290">
        <f t="shared" si="3"/>
        <v>141495.70666666667</v>
      </c>
      <c r="F81" s="290">
        <f t="shared" si="4"/>
        <v>5870.3440476190472</v>
      </c>
      <c r="G81" s="298">
        <f t="shared" si="0"/>
        <v>147366.05071428572</v>
      </c>
      <c r="H81" s="291">
        <f t="shared" si="5"/>
        <v>442098.1521428494</v>
      </c>
    </row>
    <row r="82" spans="1:8">
      <c r="A82" s="243">
        <f t="shared" si="1"/>
        <v>58</v>
      </c>
      <c r="B82" s="243"/>
      <c r="C82" s="243" t="s">
        <v>279</v>
      </c>
      <c r="D82" s="244">
        <f t="shared" si="2"/>
        <v>45547</v>
      </c>
      <c r="E82" s="290">
        <f t="shared" si="3"/>
        <v>141495.70666666667</v>
      </c>
      <c r="F82" s="290">
        <f t="shared" si="4"/>
        <v>5870.3440476190472</v>
      </c>
      <c r="G82" s="298">
        <f t="shared" si="0"/>
        <v>147366.05071428572</v>
      </c>
      <c r="H82" s="291">
        <f t="shared" si="5"/>
        <v>294732.10142856371</v>
      </c>
    </row>
    <row r="83" spans="1:8">
      <c r="A83" s="243">
        <f t="shared" si="1"/>
        <v>59</v>
      </c>
      <c r="B83" s="243"/>
      <c r="C83" s="243" t="s">
        <v>280</v>
      </c>
      <c r="D83" s="244">
        <f t="shared" si="2"/>
        <v>45577</v>
      </c>
      <c r="E83" s="290">
        <f t="shared" si="3"/>
        <v>141495.70666666667</v>
      </c>
      <c r="F83" s="290">
        <f t="shared" si="4"/>
        <v>5870.3440476190472</v>
      </c>
      <c r="G83" s="298">
        <f t="shared" si="0"/>
        <v>147366.05071428572</v>
      </c>
      <c r="H83" s="291">
        <f t="shared" si="5"/>
        <v>147366.05071427798</v>
      </c>
    </row>
    <row r="84" spans="1:8">
      <c r="A84" s="243">
        <f t="shared" si="1"/>
        <v>60</v>
      </c>
      <c r="B84" s="243"/>
      <c r="C84" s="243" t="s">
        <v>281</v>
      </c>
      <c r="D84" s="244">
        <f t="shared" si="2"/>
        <v>45608</v>
      </c>
      <c r="E84" s="290">
        <f t="shared" si="3"/>
        <v>141495.70666666667</v>
      </c>
      <c r="F84" s="290">
        <f t="shared" si="4"/>
        <v>5870.3440476190472</v>
      </c>
      <c r="G84" s="298">
        <f t="shared" si="0"/>
        <v>147366.05071428572</v>
      </c>
      <c r="H84" s="291">
        <f t="shared" si="5"/>
        <v>-7.7416189014911652E-9</v>
      </c>
    </row>
    <row r="85" spans="1:8">
      <c r="A85" s="384" t="s">
        <v>16</v>
      </c>
      <c r="B85" s="384"/>
      <c r="C85" s="384"/>
      <c r="D85" s="384"/>
      <c r="E85" s="249">
        <f>SUM(E23:E84)</f>
        <v>8539742.4000000078</v>
      </c>
      <c r="F85" s="249">
        <f t="shared" ref="F85:G85" si="6">SUM(F23:F84)</f>
        <v>352220.64285714278</v>
      </c>
      <c r="G85" s="249">
        <f t="shared" si="6"/>
        <v>8891963.0428571515</v>
      </c>
      <c r="H85" s="279"/>
    </row>
    <row r="86" spans="1:8" s="197" customFormat="1">
      <c r="C86" s="206"/>
      <c r="D86" s="207"/>
      <c r="E86" s="208"/>
      <c r="F86" s="208"/>
      <c r="G86" s="208"/>
    </row>
    <row r="87" spans="1:8" s="197" customFormat="1">
      <c r="A87" s="374" t="s">
        <v>313</v>
      </c>
      <c r="B87" s="374"/>
      <c r="C87" s="374"/>
      <c r="D87" s="374"/>
      <c r="E87" s="374"/>
      <c r="F87" s="374"/>
      <c r="G87" s="374"/>
      <c r="H87" s="374"/>
    </row>
    <row r="88" spans="1:8" s="197" customFormat="1" ht="29.25" customHeight="1">
      <c r="A88" s="388" t="s">
        <v>314</v>
      </c>
      <c r="B88" s="388"/>
      <c r="C88" s="388"/>
      <c r="D88" s="388"/>
      <c r="E88" s="388"/>
      <c r="F88" s="388"/>
      <c r="G88" s="388"/>
      <c r="H88" s="388"/>
    </row>
    <row r="89" spans="1:8" s="197" customFormat="1" ht="16.5" customHeight="1">
      <c r="A89" s="374" t="s">
        <v>315</v>
      </c>
      <c r="B89" s="374"/>
      <c r="C89" s="374"/>
      <c r="D89" s="374"/>
      <c r="E89" s="374"/>
      <c r="F89" s="374"/>
      <c r="G89" s="374"/>
      <c r="H89" s="374"/>
    </row>
    <row r="90" spans="1:8" s="197" customFormat="1" ht="16.5" customHeight="1">
      <c r="A90" s="374" t="s">
        <v>316</v>
      </c>
      <c r="B90" s="374"/>
      <c r="C90" s="374"/>
      <c r="D90" s="374"/>
      <c r="E90" s="374"/>
      <c r="F90" s="374"/>
      <c r="G90" s="374"/>
      <c r="H90" s="374"/>
    </row>
    <row r="91" spans="1:8" s="197" customFormat="1" ht="16.5" customHeight="1">
      <c r="A91" s="374" t="s">
        <v>317</v>
      </c>
      <c r="B91" s="374"/>
      <c r="C91" s="374"/>
      <c r="D91" s="374"/>
      <c r="E91" s="374"/>
      <c r="F91" s="374"/>
      <c r="G91" s="374"/>
      <c r="H91" s="374"/>
    </row>
    <row r="92" spans="1:8" s="197" customFormat="1" ht="107.25" customHeight="1">
      <c r="A92" s="374" t="s">
        <v>318</v>
      </c>
      <c r="B92" s="374"/>
      <c r="C92" s="374"/>
      <c r="D92" s="374"/>
      <c r="E92" s="374"/>
      <c r="F92" s="374"/>
      <c r="G92" s="374"/>
      <c r="H92" s="374"/>
    </row>
    <row r="93" spans="1:8" s="197" customFormat="1" ht="42" customHeight="1">
      <c r="A93" s="374" t="s">
        <v>319</v>
      </c>
      <c r="B93" s="374"/>
      <c r="C93" s="374"/>
      <c r="D93" s="374"/>
      <c r="E93" s="374"/>
      <c r="F93" s="374"/>
      <c r="G93" s="374"/>
      <c r="H93" s="374"/>
    </row>
    <row r="94" spans="1:8" s="197" customFormat="1" ht="18.75" customHeight="1">
      <c r="A94" s="374" t="s">
        <v>320</v>
      </c>
      <c r="B94" s="374"/>
      <c r="C94" s="374"/>
      <c r="D94" s="374"/>
      <c r="E94" s="374"/>
      <c r="F94" s="374"/>
      <c r="G94" s="374"/>
      <c r="H94" s="374"/>
    </row>
    <row r="95" spans="1:8" s="197" customFormat="1">
      <c r="A95" s="374"/>
      <c r="B95" s="374"/>
      <c r="C95" s="374"/>
      <c r="D95" s="374"/>
      <c r="E95" s="374"/>
      <c r="F95" s="374"/>
      <c r="G95" s="374"/>
      <c r="H95" s="374"/>
    </row>
    <row r="96" spans="1:8" s="197" customFormat="1">
      <c r="A96" s="197" t="s">
        <v>17</v>
      </c>
      <c r="D96" s="209"/>
      <c r="G96" s="198"/>
    </row>
    <row r="97" spans="1:7" s="197" customFormat="1">
      <c r="D97" s="209"/>
      <c r="G97" s="198"/>
    </row>
    <row r="98" spans="1:7" s="197" customFormat="1" ht="15" customHeight="1">
      <c r="A98" s="210"/>
      <c r="B98" s="210"/>
      <c r="C98" s="210"/>
      <c r="D98" s="209"/>
      <c r="E98" s="210"/>
      <c r="F98" s="210"/>
      <c r="G98" s="211"/>
    </row>
    <row r="99" spans="1:7" s="197" customFormat="1">
      <c r="A99" s="375" t="s">
        <v>293</v>
      </c>
      <c r="B99" s="375"/>
      <c r="C99" s="375"/>
      <c r="D99" s="209"/>
      <c r="E99" s="375" t="s">
        <v>18</v>
      </c>
      <c r="F99" s="375"/>
      <c r="G99" s="375"/>
    </row>
    <row r="100" spans="1:7"/>
  </sheetData>
  <sheetProtection password="CAF1" sheet="1" selectLockedCells="1"/>
  <mergeCells count="19">
    <mergeCell ref="A93:H93"/>
    <mergeCell ref="A94:H94"/>
    <mergeCell ref="A95:H95"/>
    <mergeCell ref="A99:C99"/>
    <mergeCell ref="E99:G99"/>
    <mergeCell ref="H1:H2"/>
    <mergeCell ref="A85:D85"/>
    <mergeCell ref="C5:H5"/>
    <mergeCell ref="C6:H6"/>
    <mergeCell ref="C7:H7"/>
    <mergeCell ref="C8:H8"/>
    <mergeCell ref="C9:H9"/>
    <mergeCell ref="C10:H10"/>
    <mergeCell ref="A92:H92"/>
    <mergeCell ref="A87:H87"/>
    <mergeCell ref="A88:H88"/>
    <mergeCell ref="A89:H89"/>
    <mergeCell ref="A90:H90"/>
    <mergeCell ref="A91:H91"/>
  </mergeCells>
  <hyperlinks>
    <hyperlink ref="C1" location="'DATA SHEET'!A1" display="HIGHLANDS PRIME, INC." xr:uid="{00000000-0004-0000-1900-000000000000}"/>
    <hyperlink ref="J3" location="'DATA SHEET'!A1" display="Return to Data Sheet" xr:uid="{00000000-0004-0000-1900-000001000000}"/>
  </hyperlinks>
  <printOptions horizontalCentered="1"/>
  <pageMargins left="0.7" right="0.7" top="0.75" bottom="0.5" header="0.3" footer="0.3"/>
  <pageSetup scale="70" orientation="portrait" r:id="rId1"/>
  <headerFooter>
    <oddFooter>&amp;L&amp;8A project of HIGHLANDS PRIME, INC. 
Woodridge Place at Tagaytay Highlands,  Tagaytay Highlands, Tagaytay City
HLURB License To Sell No. 22459&amp;RPage &amp;P of &amp;N</oddFooter>
  </headerFooter>
  <ignoredErrors>
    <ignoredError sqref="D15" unlockedFormula="1"/>
    <ignoredError sqref="D19" 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7941D"/>
  </sheetPr>
  <dimension ref="A1:L102"/>
  <sheetViews>
    <sheetView showGridLines="0" zoomScaleNormal="100" workbookViewId="0">
      <selection activeCell="C14" sqref="C14"/>
    </sheetView>
  </sheetViews>
  <sheetFormatPr baseColWidth="10" defaultColWidth="0" defaultRowHeight="12.75" customHeight="1" zeroHeight="1"/>
  <cols>
    <col min="1" max="1" width="12.33203125" style="39" customWidth="1"/>
    <col min="2" max="2" width="10.33203125" style="39" customWidth="1"/>
    <col min="3" max="3" width="24.1640625" style="39" customWidth="1"/>
    <col min="4" max="4" width="13.5" style="40" bestFit="1" customWidth="1"/>
    <col min="5" max="5" width="13.5" style="39" bestFit="1" customWidth="1"/>
    <col min="6" max="6" width="14.83203125" style="39" bestFit="1" customWidth="1"/>
    <col min="7" max="7" width="13.5" style="39" bestFit="1" customWidth="1"/>
    <col min="8" max="8" width="16.5" style="39" bestFit="1" customWidth="1"/>
    <col min="9" max="9" width="9.83203125" style="39" bestFit="1" customWidth="1"/>
    <col min="10" max="12" width="9.1640625" style="39" customWidth="1"/>
    <col min="13" max="16384" width="9.1640625" style="39" hidden="1"/>
  </cols>
  <sheetData>
    <row r="1" spans="1:10" ht="12.75" customHeight="1">
      <c r="C1" s="212" t="s">
        <v>35</v>
      </c>
      <c r="H1" s="376" t="s">
        <v>66</v>
      </c>
    </row>
    <row r="2" spans="1:10" ht="12.75" customHeight="1">
      <c r="C2" s="41" t="s">
        <v>207</v>
      </c>
      <c r="H2" s="376"/>
    </row>
    <row r="3" spans="1:10" ht="14">
      <c r="C3" s="41" t="s">
        <v>36</v>
      </c>
      <c r="J3" s="251" t="s">
        <v>215</v>
      </c>
    </row>
    <row r="4" spans="1:10" ht="14"/>
    <row r="5" spans="1:10" ht="14">
      <c r="A5" s="283" t="s">
        <v>0</v>
      </c>
      <c r="B5" s="308"/>
      <c r="C5" s="395" t="str">
        <f>'[11]DATA SHEET'!C7</f>
        <v xml:space="preserve"> </v>
      </c>
      <c r="D5" s="395"/>
      <c r="E5" s="395"/>
      <c r="F5" s="395"/>
      <c r="G5" s="395"/>
      <c r="H5" s="396"/>
    </row>
    <row r="6" spans="1:10" ht="14">
      <c r="A6" s="215" t="s">
        <v>31</v>
      </c>
      <c r="B6" s="216"/>
      <c r="C6" s="397" t="str">
        <f>VLOOKUP('DATA SHEET'!$C$10,' Glenview PL'!C6:G41,1,FALSE)</f>
        <v>GB</v>
      </c>
      <c r="D6" s="397"/>
      <c r="E6" s="397"/>
      <c r="F6" s="397"/>
      <c r="G6" s="397"/>
      <c r="H6" s="398"/>
    </row>
    <row r="7" spans="1:10" ht="14">
      <c r="A7" s="215" t="s">
        <v>37</v>
      </c>
      <c r="B7" s="216"/>
      <c r="C7" s="380">
        <f>VLOOKUP('DATA SHEET'!C10,' Glenview PL'!C6:G41,3,0)</f>
        <v>67.900000000000006</v>
      </c>
      <c r="D7" s="380"/>
      <c r="E7" s="380"/>
      <c r="F7" s="380"/>
      <c r="G7" s="380"/>
      <c r="H7" s="381"/>
    </row>
    <row r="8" spans="1:10" ht="14">
      <c r="A8" s="215" t="s">
        <v>194</v>
      </c>
      <c r="B8" s="216"/>
      <c r="C8" s="391" t="str">
        <f>VLOOKUP('DATA SHEET'!C10,' Glenview PL'!C6:G41,2,0)</f>
        <v>1-Bedroom Terrace Suite</v>
      </c>
      <c r="D8" s="391"/>
      <c r="E8" s="391"/>
      <c r="F8" s="391"/>
      <c r="G8" s="391"/>
      <c r="H8" s="392"/>
      <c r="I8" s="286">
        <v>0.1</v>
      </c>
    </row>
    <row r="9" spans="1:10" ht="14">
      <c r="A9" s="222" t="s">
        <v>294</v>
      </c>
      <c r="B9" s="223"/>
      <c r="C9" s="382">
        <f>VLOOKUP('DATA SHEET'!C10,' Glenview PL'!C6:G41,4,0)</f>
        <v>8851760</v>
      </c>
      <c r="D9" s="382"/>
      <c r="E9" s="382"/>
      <c r="F9" s="382"/>
      <c r="G9" s="382"/>
      <c r="H9" s="383"/>
    </row>
    <row r="10" spans="1:10" ht="14">
      <c r="A10" s="224" t="s">
        <v>33</v>
      </c>
      <c r="B10" s="225"/>
      <c r="C10" s="399" t="str">
        <f>'DATA SHEET'!B25</f>
        <v>6% in 12 months, 7% in 12 months, 8% in 12 months, Lumpsum</v>
      </c>
      <c r="D10" s="399"/>
      <c r="E10" s="399"/>
      <c r="F10" s="399"/>
      <c r="G10" s="399"/>
      <c r="H10" s="400"/>
    </row>
    <row r="11" spans="1:10" ht="14"/>
    <row r="12" spans="1:10" ht="14">
      <c r="A12" s="41" t="s">
        <v>55</v>
      </c>
      <c r="B12" s="41"/>
    </row>
    <row r="13" spans="1:10" ht="14">
      <c r="A13" s="197" t="s">
        <v>307</v>
      </c>
      <c r="D13" s="42">
        <f>C9-650000</f>
        <v>8201760</v>
      </c>
      <c r="E13" s="226" t="str">
        <f>LEFT(C8,9)</f>
        <v>1-Bedroom</v>
      </c>
      <c r="F13" s="226"/>
      <c r="G13" s="226"/>
      <c r="H13" s="42"/>
    </row>
    <row r="14" spans="1:10" s="280" customFormat="1" ht="15">
      <c r="A14" s="227" t="s">
        <v>325</v>
      </c>
      <c r="B14" s="228"/>
      <c r="C14" s="306">
        <v>0.01</v>
      </c>
      <c r="D14" s="229">
        <f>IF(C14&lt;=1%,D13*C14,"BEYOND MAX")</f>
        <v>82017.600000000006</v>
      </c>
      <c r="E14" s="294">
        <f>VLOOKUP(C6,' Glenview PL'!C:G,5,0)</f>
        <v>230000</v>
      </c>
      <c r="F14" s="39"/>
    </row>
    <row r="15" spans="1:10" s="280" customFormat="1" ht="15">
      <c r="A15" s="227" t="s">
        <v>326</v>
      </c>
      <c r="B15" s="228"/>
      <c r="C15" s="196"/>
      <c r="D15" s="87">
        <f>VLOOKUP('DATA SHEET'!C10,' Glenview PL'!$C$6:$G$41,5,0)</f>
        <v>230000</v>
      </c>
      <c r="E15" s="294"/>
      <c r="F15" s="39"/>
    </row>
    <row r="16" spans="1:10" s="280" customFormat="1" ht="15">
      <c r="A16" s="197" t="s">
        <v>308</v>
      </c>
      <c r="B16" s="228"/>
      <c r="C16" s="196"/>
      <c r="D16" s="230">
        <f>+D13-SUM(D14:D15)</f>
        <v>7889742.4000000004</v>
      </c>
      <c r="E16" s="231"/>
      <c r="F16" s="281"/>
    </row>
    <row r="17" spans="1:8" s="280" customFormat="1" ht="15">
      <c r="A17" s="232" t="s">
        <v>214</v>
      </c>
      <c r="B17" s="228"/>
      <c r="C17" s="196"/>
      <c r="D17" s="233">
        <v>650000</v>
      </c>
      <c r="E17" s="231"/>
      <c r="F17" s="281"/>
    </row>
    <row r="18" spans="1:8" s="280" customFormat="1" ht="15">
      <c r="A18" s="234" t="s">
        <v>309</v>
      </c>
      <c r="B18" s="228"/>
      <c r="C18" s="196"/>
      <c r="D18" s="295">
        <f>+SUM(D16:D17)</f>
        <v>8539742.4000000004</v>
      </c>
      <c r="E18" s="231"/>
      <c r="F18" s="281"/>
    </row>
    <row r="19" spans="1:8" s="280" customFormat="1" ht="15">
      <c r="A19" s="236" t="s">
        <v>285</v>
      </c>
      <c r="B19" s="39"/>
      <c r="C19" s="200">
        <v>0.05</v>
      </c>
      <c r="D19" s="237">
        <f>(D16/1.12)*C19</f>
        <v>352220.64285714284</v>
      </c>
      <c r="E19" s="231"/>
      <c r="F19" s="281"/>
    </row>
    <row r="20" spans="1:8" s="280" customFormat="1" ht="16" thickBot="1">
      <c r="A20" s="198" t="s">
        <v>58</v>
      </c>
      <c r="B20" s="39"/>
      <c r="C20" s="39"/>
      <c r="D20" s="238">
        <f>+SUM(D18:D19)</f>
        <v>8891963.042857144</v>
      </c>
      <c r="E20" s="231"/>
      <c r="F20" s="281"/>
    </row>
    <row r="21" spans="1:8" ht="15" thickTop="1"/>
    <row r="22" spans="1:8" ht="14">
      <c r="A22" s="239" t="s">
        <v>34</v>
      </c>
      <c r="B22" s="239" t="s">
        <v>286</v>
      </c>
      <c r="C22" s="239" t="s">
        <v>2</v>
      </c>
      <c r="D22" s="239" t="s">
        <v>287</v>
      </c>
      <c r="E22" s="239" t="s">
        <v>310</v>
      </c>
      <c r="F22" s="240" t="s">
        <v>289</v>
      </c>
      <c r="G22" s="241" t="s">
        <v>290</v>
      </c>
      <c r="H22" s="239" t="s">
        <v>291</v>
      </c>
    </row>
    <row r="23" spans="1:8" ht="13.5" customHeight="1">
      <c r="A23" s="243">
        <v>0</v>
      </c>
      <c r="B23" s="243"/>
      <c r="C23" s="243" t="s">
        <v>38</v>
      </c>
      <c r="D23" s="244">
        <f>'[11]DATA SHEET'!C9</f>
        <v>43781</v>
      </c>
      <c r="E23" s="289">
        <f>IF(E13="1-Bedroom",50000,100000)</f>
        <v>50000</v>
      </c>
      <c r="F23" s="289"/>
      <c r="G23" s="298">
        <f>+SUM(E23:F23)</f>
        <v>50000</v>
      </c>
      <c r="H23" s="247">
        <f>D20-G23</f>
        <v>8841963.042857144</v>
      </c>
    </row>
    <row r="24" spans="1:8" ht="13.5" customHeight="1">
      <c r="A24" s="243"/>
      <c r="B24" s="248">
        <v>0.06</v>
      </c>
      <c r="C24" s="243" t="s">
        <v>324</v>
      </c>
      <c r="D24" s="244"/>
      <c r="E24" s="289"/>
      <c r="F24" s="289"/>
      <c r="G24" s="298"/>
      <c r="H24" s="247"/>
    </row>
    <row r="25" spans="1:8" ht="13.5" customHeight="1">
      <c r="A25" s="243">
        <f>+A23+1</f>
        <v>1</v>
      </c>
      <c r="B25" s="243"/>
      <c r="C25" s="243" t="s">
        <v>222</v>
      </c>
      <c r="D25" s="244">
        <f>EDATE(D23,1)</f>
        <v>43811</v>
      </c>
      <c r="E25" s="290">
        <f>(($D$18*$B$24)-$E$23)/12</f>
        <v>38532.045333333335</v>
      </c>
      <c r="F25" s="290">
        <f>($D$19*B$24)/12</f>
        <v>1761.1032142857141</v>
      </c>
      <c r="G25" s="298">
        <f t="shared" ref="G25:G63" si="0">+SUM(E25:F25)</f>
        <v>40293.14854761905</v>
      </c>
      <c r="H25" s="291">
        <f>H23-G25</f>
        <v>8801669.8943095244</v>
      </c>
    </row>
    <row r="26" spans="1:8" ht="14">
      <c r="A26" s="243">
        <f t="shared" ref="A26:A63" si="1">+A25+1</f>
        <v>2</v>
      </c>
      <c r="B26" s="243"/>
      <c r="C26" s="243" t="s">
        <v>223</v>
      </c>
      <c r="D26" s="244">
        <f t="shared" ref="D26:D63" si="2">EDATE(D25,1)</f>
        <v>43842</v>
      </c>
      <c r="E26" s="290">
        <f t="shared" ref="E26:E36" si="3">(($D$18*$B$24)-$E$23)/12</f>
        <v>38532.045333333335</v>
      </c>
      <c r="F26" s="290">
        <f t="shared" ref="F26:F36" si="4">($D$19*B$24)/12</f>
        <v>1761.1032142857141</v>
      </c>
      <c r="G26" s="298">
        <f t="shared" si="0"/>
        <v>40293.14854761905</v>
      </c>
      <c r="H26" s="291">
        <f>H25-G26</f>
        <v>8761376.7457619049</v>
      </c>
    </row>
    <row r="27" spans="1:8" ht="14">
      <c r="A27" s="243">
        <f t="shared" si="1"/>
        <v>3</v>
      </c>
      <c r="B27" s="243"/>
      <c r="C27" s="243" t="s">
        <v>224</v>
      </c>
      <c r="D27" s="244">
        <f t="shared" si="2"/>
        <v>43873</v>
      </c>
      <c r="E27" s="290">
        <f t="shared" si="3"/>
        <v>38532.045333333335</v>
      </c>
      <c r="F27" s="290">
        <f t="shared" si="4"/>
        <v>1761.1032142857141</v>
      </c>
      <c r="G27" s="298">
        <f t="shared" si="0"/>
        <v>40293.14854761905</v>
      </c>
      <c r="H27" s="291">
        <f t="shared" ref="H27:H63" si="5">H26-G27</f>
        <v>8721083.5972142853</v>
      </c>
    </row>
    <row r="28" spans="1:8" ht="14">
      <c r="A28" s="243">
        <f t="shared" si="1"/>
        <v>4</v>
      </c>
      <c r="B28" s="243"/>
      <c r="C28" s="243" t="s">
        <v>225</v>
      </c>
      <c r="D28" s="244">
        <f t="shared" si="2"/>
        <v>43902</v>
      </c>
      <c r="E28" s="290">
        <f t="shared" si="3"/>
        <v>38532.045333333335</v>
      </c>
      <c r="F28" s="290">
        <f t="shared" si="4"/>
        <v>1761.1032142857141</v>
      </c>
      <c r="G28" s="298">
        <f t="shared" si="0"/>
        <v>40293.14854761905</v>
      </c>
      <c r="H28" s="291">
        <f t="shared" si="5"/>
        <v>8680790.4486666657</v>
      </c>
    </row>
    <row r="29" spans="1:8" ht="14">
      <c r="A29" s="243">
        <f t="shared" si="1"/>
        <v>5</v>
      </c>
      <c r="B29" s="243"/>
      <c r="C29" s="243" t="s">
        <v>226</v>
      </c>
      <c r="D29" s="244">
        <f t="shared" si="2"/>
        <v>43933</v>
      </c>
      <c r="E29" s="290">
        <f t="shared" si="3"/>
        <v>38532.045333333335</v>
      </c>
      <c r="F29" s="290">
        <f t="shared" si="4"/>
        <v>1761.1032142857141</v>
      </c>
      <c r="G29" s="298">
        <f t="shared" si="0"/>
        <v>40293.14854761905</v>
      </c>
      <c r="H29" s="291">
        <f t="shared" si="5"/>
        <v>8640497.3001190461</v>
      </c>
    </row>
    <row r="30" spans="1:8" ht="14">
      <c r="A30" s="243">
        <f t="shared" si="1"/>
        <v>6</v>
      </c>
      <c r="B30" s="243"/>
      <c r="C30" s="243" t="s">
        <v>227</v>
      </c>
      <c r="D30" s="244">
        <f t="shared" si="2"/>
        <v>43963</v>
      </c>
      <c r="E30" s="290">
        <f t="shared" si="3"/>
        <v>38532.045333333335</v>
      </c>
      <c r="F30" s="290">
        <f t="shared" si="4"/>
        <v>1761.1032142857141</v>
      </c>
      <c r="G30" s="298">
        <f t="shared" si="0"/>
        <v>40293.14854761905</v>
      </c>
      <c r="H30" s="291">
        <f t="shared" si="5"/>
        <v>8600204.1515714265</v>
      </c>
    </row>
    <row r="31" spans="1:8" ht="14">
      <c r="A31" s="243">
        <f t="shared" si="1"/>
        <v>7</v>
      </c>
      <c r="B31" s="243"/>
      <c r="C31" s="243" t="s">
        <v>228</v>
      </c>
      <c r="D31" s="244">
        <f t="shared" si="2"/>
        <v>43994</v>
      </c>
      <c r="E31" s="290">
        <f t="shared" si="3"/>
        <v>38532.045333333335</v>
      </c>
      <c r="F31" s="290">
        <f t="shared" si="4"/>
        <v>1761.1032142857141</v>
      </c>
      <c r="G31" s="298">
        <f t="shared" si="0"/>
        <v>40293.14854761905</v>
      </c>
      <c r="H31" s="291">
        <f t="shared" si="5"/>
        <v>8559911.003023807</v>
      </c>
    </row>
    <row r="32" spans="1:8" ht="14">
      <c r="A32" s="243">
        <f t="shared" si="1"/>
        <v>8</v>
      </c>
      <c r="B32" s="243"/>
      <c r="C32" s="243" t="s">
        <v>229</v>
      </c>
      <c r="D32" s="244">
        <f t="shared" si="2"/>
        <v>44024</v>
      </c>
      <c r="E32" s="290">
        <f t="shared" si="3"/>
        <v>38532.045333333335</v>
      </c>
      <c r="F32" s="290">
        <f t="shared" si="4"/>
        <v>1761.1032142857141</v>
      </c>
      <c r="G32" s="298">
        <f t="shared" si="0"/>
        <v>40293.14854761905</v>
      </c>
      <c r="H32" s="291">
        <f t="shared" si="5"/>
        <v>8519617.8544761874</v>
      </c>
    </row>
    <row r="33" spans="1:8" ht="14">
      <c r="A33" s="243">
        <f t="shared" si="1"/>
        <v>9</v>
      </c>
      <c r="B33" s="243"/>
      <c r="C33" s="243" t="s">
        <v>230</v>
      </c>
      <c r="D33" s="244">
        <f t="shared" si="2"/>
        <v>44055</v>
      </c>
      <c r="E33" s="290">
        <f t="shared" si="3"/>
        <v>38532.045333333335</v>
      </c>
      <c r="F33" s="290">
        <f t="shared" si="4"/>
        <v>1761.1032142857141</v>
      </c>
      <c r="G33" s="298">
        <f t="shared" si="0"/>
        <v>40293.14854761905</v>
      </c>
      <c r="H33" s="291">
        <f t="shared" si="5"/>
        <v>8479324.7059285678</v>
      </c>
    </row>
    <row r="34" spans="1:8" ht="14">
      <c r="A34" s="243">
        <f t="shared" si="1"/>
        <v>10</v>
      </c>
      <c r="B34" s="243"/>
      <c r="C34" s="243" t="s">
        <v>231</v>
      </c>
      <c r="D34" s="244">
        <f t="shared" si="2"/>
        <v>44086</v>
      </c>
      <c r="E34" s="290">
        <f t="shared" si="3"/>
        <v>38532.045333333335</v>
      </c>
      <c r="F34" s="290">
        <f t="shared" si="4"/>
        <v>1761.1032142857141</v>
      </c>
      <c r="G34" s="298">
        <f t="shared" si="0"/>
        <v>40293.14854761905</v>
      </c>
      <c r="H34" s="291">
        <f t="shared" si="5"/>
        <v>8439031.5573809482</v>
      </c>
    </row>
    <row r="35" spans="1:8" ht="14">
      <c r="A35" s="243">
        <f t="shared" si="1"/>
        <v>11</v>
      </c>
      <c r="B35" s="243"/>
      <c r="C35" s="243" t="s">
        <v>232</v>
      </c>
      <c r="D35" s="244">
        <f t="shared" si="2"/>
        <v>44116</v>
      </c>
      <c r="E35" s="290">
        <f t="shared" si="3"/>
        <v>38532.045333333335</v>
      </c>
      <c r="F35" s="290">
        <f t="shared" si="4"/>
        <v>1761.1032142857141</v>
      </c>
      <c r="G35" s="298">
        <f t="shared" si="0"/>
        <v>40293.14854761905</v>
      </c>
      <c r="H35" s="291">
        <f t="shared" si="5"/>
        <v>8398738.4088333286</v>
      </c>
    </row>
    <row r="36" spans="1:8" ht="14">
      <c r="A36" s="243">
        <f t="shared" si="1"/>
        <v>12</v>
      </c>
      <c r="B36" s="243"/>
      <c r="C36" s="243" t="s">
        <v>233</v>
      </c>
      <c r="D36" s="244">
        <f t="shared" si="2"/>
        <v>44147</v>
      </c>
      <c r="E36" s="290">
        <f t="shared" si="3"/>
        <v>38532.045333333335</v>
      </c>
      <c r="F36" s="290">
        <f t="shared" si="4"/>
        <v>1761.1032142857141</v>
      </c>
      <c r="G36" s="298">
        <f t="shared" si="0"/>
        <v>40293.14854761905</v>
      </c>
      <c r="H36" s="291">
        <f t="shared" si="5"/>
        <v>8358445.26028571</v>
      </c>
    </row>
    <row r="37" spans="1:8" ht="14">
      <c r="A37" s="243"/>
      <c r="B37" s="248">
        <v>7.0000000000000007E-2</v>
      </c>
      <c r="C37" s="243" t="s">
        <v>324</v>
      </c>
      <c r="D37" s="244"/>
      <c r="E37" s="290"/>
      <c r="F37" s="290"/>
      <c r="G37" s="298"/>
      <c r="H37" s="291"/>
    </row>
    <row r="38" spans="1:8" ht="14">
      <c r="A38" s="243">
        <f>+A36+1</f>
        <v>13</v>
      </c>
      <c r="B38" s="243"/>
      <c r="C38" s="243" t="s">
        <v>234</v>
      </c>
      <c r="D38" s="244">
        <f>EDATE(D36,1)</f>
        <v>44177</v>
      </c>
      <c r="E38" s="290">
        <f>($D$18*$B$37)/12</f>
        <v>49815.164000000012</v>
      </c>
      <c r="F38" s="290">
        <f>($D$19*$B$37)/12</f>
        <v>2054.6204166666666</v>
      </c>
      <c r="G38" s="298">
        <f t="shared" si="0"/>
        <v>51869.784416666676</v>
      </c>
      <c r="H38" s="291">
        <f>H36-G38</f>
        <v>8306575.4758690437</v>
      </c>
    </row>
    <row r="39" spans="1:8" ht="14">
      <c r="A39" s="243">
        <f t="shared" si="1"/>
        <v>14</v>
      </c>
      <c r="B39" s="243"/>
      <c r="C39" s="243" t="s">
        <v>235</v>
      </c>
      <c r="D39" s="244">
        <f t="shared" si="2"/>
        <v>44208</v>
      </c>
      <c r="E39" s="290">
        <f t="shared" ref="E39:E49" si="6">($D$18*$B$37)/12</f>
        <v>49815.164000000012</v>
      </c>
      <c r="F39" s="290">
        <f t="shared" ref="F39:F49" si="7">($D$19*$B$37)/12</f>
        <v>2054.6204166666666</v>
      </c>
      <c r="G39" s="298">
        <f t="shared" si="0"/>
        <v>51869.784416666676</v>
      </c>
      <c r="H39" s="291">
        <f t="shared" si="5"/>
        <v>8254705.6914523775</v>
      </c>
    </row>
    <row r="40" spans="1:8" ht="14">
      <c r="A40" s="243">
        <f t="shared" si="1"/>
        <v>15</v>
      </c>
      <c r="B40" s="243"/>
      <c r="C40" s="243" t="s">
        <v>236</v>
      </c>
      <c r="D40" s="244">
        <f t="shared" si="2"/>
        <v>44239</v>
      </c>
      <c r="E40" s="290">
        <f t="shared" si="6"/>
        <v>49815.164000000012</v>
      </c>
      <c r="F40" s="290">
        <f t="shared" si="7"/>
        <v>2054.6204166666666</v>
      </c>
      <c r="G40" s="298">
        <f t="shared" si="0"/>
        <v>51869.784416666676</v>
      </c>
      <c r="H40" s="291">
        <f t="shared" si="5"/>
        <v>8202835.9070357112</v>
      </c>
    </row>
    <row r="41" spans="1:8" ht="14">
      <c r="A41" s="243">
        <f t="shared" si="1"/>
        <v>16</v>
      </c>
      <c r="B41" s="243"/>
      <c r="C41" s="243" t="s">
        <v>237</v>
      </c>
      <c r="D41" s="244">
        <f t="shared" si="2"/>
        <v>44267</v>
      </c>
      <c r="E41" s="290">
        <f t="shared" si="6"/>
        <v>49815.164000000012</v>
      </c>
      <c r="F41" s="290">
        <f t="shared" si="7"/>
        <v>2054.6204166666666</v>
      </c>
      <c r="G41" s="298">
        <f t="shared" si="0"/>
        <v>51869.784416666676</v>
      </c>
      <c r="H41" s="291">
        <f t="shared" si="5"/>
        <v>8150966.122619045</v>
      </c>
    </row>
    <row r="42" spans="1:8" ht="14">
      <c r="A42" s="243">
        <f t="shared" si="1"/>
        <v>17</v>
      </c>
      <c r="B42" s="243"/>
      <c r="C42" s="243" t="s">
        <v>238</v>
      </c>
      <c r="D42" s="244">
        <f t="shared" si="2"/>
        <v>44298</v>
      </c>
      <c r="E42" s="290">
        <f t="shared" si="6"/>
        <v>49815.164000000012</v>
      </c>
      <c r="F42" s="290">
        <f t="shared" si="7"/>
        <v>2054.6204166666666</v>
      </c>
      <c r="G42" s="298">
        <f t="shared" si="0"/>
        <v>51869.784416666676</v>
      </c>
      <c r="H42" s="291">
        <f t="shared" si="5"/>
        <v>8099096.3382023787</v>
      </c>
    </row>
    <row r="43" spans="1:8" ht="14">
      <c r="A43" s="243">
        <f t="shared" si="1"/>
        <v>18</v>
      </c>
      <c r="B43" s="243"/>
      <c r="C43" s="243" t="s">
        <v>239</v>
      </c>
      <c r="D43" s="244">
        <f t="shared" si="2"/>
        <v>44328</v>
      </c>
      <c r="E43" s="290">
        <f t="shared" si="6"/>
        <v>49815.164000000012</v>
      </c>
      <c r="F43" s="290">
        <f t="shared" si="7"/>
        <v>2054.6204166666666</v>
      </c>
      <c r="G43" s="298">
        <f t="shared" si="0"/>
        <v>51869.784416666676</v>
      </c>
      <c r="H43" s="291">
        <f t="shared" si="5"/>
        <v>8047226.5537857125</v>
      </c>
    </row>
    <row r="44" spans="1:8" ht="14">
      <c r="A44" s="243">
        <f t="shared" si="1"/>
        <v>19</v>
      </c>
      <c r="B44" s="243"/>
      <c r="C44" s="243" t="s">
        <v>240</v>
      </c>
      <c r="D44" s="244">
        <f t="shared" si="2"/>
        <v>44359</v>
      </c>
      <c r="E44" s="290">
        <f t="shared" si="6"/>
        <v>49815.164000000012</v>
      </c>
      <c r="F44" s="290">
        <f t="shared" si="7"/>
        <v>2054.6204166666666</v>
      </c>
      <c r="G44" s="298">
        <f t="shared" si="0"/>
        <v>51869.784416666676</v>
      </c>
      <c r="H44" s="291">
        <f t="shared" si="5"/>
        <v>7995356.7693690462</v>
      </c>
    </row>
    <row r="45" spans="1:8" ht="14">
      <c r="A45" s="243">
        <f t="shared" si="1"/>
        <v>20</v>
      </c>
      <c r="B45" s="243"/>
      <c r="C45" s="243" t="s">
        <v>241</v>
      </c>
      <c r="D45" s="244">
        <f t="shared" si="2"/>
        <v>44389</v>
      </c>
      <c r="E45" s="290">
        <f t="shared" si="6"/>
        <v>49815.164000000012</v>
      </c>
      <c r="F45" s="290">
        <f t="shared" si="7"/>
        <v>2054.6204166666666</v>
      </c>
      <c r="G45" s="298">
        <f t="shared" si="0"/>
        <v>51869.784416666676</v>
      </c>
      <c r="H45" s="291">
        <f t="shared" si="5"/>
        <v>7943486.9849523799</v>
      </c>
    </row>
    <row r="46" spans="1:8" ht="14">
      <c r="A46" s="243">
        <f t="shared" si="1"/>
        <v>21</v>
      </c>
      <c r="B46" s="243"/>
      <c r="C46" s="243" t="s">
        <v>242</v>
      </c>
      <c r="D46" s="244">
        <f t="shared" si="2"/>
        <v>44420</v>
      </c>
      <c r="E46" s="290">
        <f t="shared" si="6"/>
        <v>49815.164000000012</v>
      </c>
      <c r="F46" s="290">
        <f t="shared" si="7"/>
        <v>2054.6204166666666</v>
      </c>
      <c r="G46" s="298">
        <f t="shared" si="0"/>
        <v>51869.784416666676</v>
      </c>
      <c r="H46" s="291">
        <f t="shared" si="5"/>
        <v>7891617.2005357137</v>
      </c>
    </row>
    <row r="47" spans="1:8" ht="14">
      <c r="A47" s="243">
        <f t="shared" si="1"/>
        <v>22</v>
      </c>
      <c r="B47" s="243"/>
      <c r="C47" s="243" t="s">
        <v>243</v>
      </c>
      <c r="D47" s="244">
        <f t="shared" si="2"/>
        <v>44451</v>
      </c>
      <c r="E47" s="290">
        <f t="shared" si="6"/>
        <v>49815.164000000012</v>
      </c>
      <c r="F47" s="290">
        <f t="shared" si="7"/>
        <v>2054.6204166666666</v>
      </c>
      <c r="G47" s="298">
        <f t="shared" si="0"/>
        <v>51869.784416666676</v>
      </c>
      <c r="H47" s="291">
        <f t="shared" si="5"/>
        <v>7839747.4161190474</v>
      </c>
    </row>
    <row r="48" spans="1:8" ht="14">
      <c r="A48" s="243">
        <f t="shared" si="1"/>
        <v>23</v>
      </c>
      <c r="B48" s="243"/>
      <c r="C48" s="243" t="s">
        <v>244</v>
      </c>
      <c r="D48" s="244">
        <f t="shared" si="2"/>
        <v>44481</v>
      </c>
      <c r="E48" s="290">
        <f t="shared" si="6"/>
        <v>49815.164000000012</v>
      </c>
      <c r="F48" s="290">
        <f t="shared" si="7"/>
        <v>2054.6204166666666</v>
      </c>
      <c r="G48" s="298">
        <f t="shared" si="0"/>
        <v>51869.784416666676</v>
      </c>
      <c r="H48" s="291">
        <f t="shared" si="5"/>
        <v>7787877.6317023812</v>
      </c>
    </row>
    <row r="49" spans="1:8" ht="14">
      <c r="A49" s="243">
        <f t="shared" si="1"/>
        <v>24</v>
      </c>
      <c r="B49" s="243"/>
      <c r="C49" s="243" t="s">
        <v>245</v>
      </c>
      <c r="D49" s="244">
        <f t="shared" si="2"/>
        <v>44512</v>
      </c>
      <c r="E49" s="290">
        <f t="shared" si="6"/>
        <v>49815.164000000012</v>
      </c>
      <c r="F49" s="290">
        <f t="shared" si="7"/>
        <v>2054.6204166666666</v>
      </c>
      <c r="G49" s="298">
        <f t="shared" si="0"/>
        <v>51869.784416666676</v>
      </c>
      <c r="H49" s="291">
        <f t="shared" si="5"/>
        <v>7736007.8472857149</v>
      </c>
    </row>
    <row r="50" spans="1:8" ht="14">
      <c r="A50" s="243"/>
      <c r="B50" s="248">
        <v>0.08</v>
      </c>
      <c r="C50" s="243" t="s">
        <v>324</v>
      </c>
      <c r="D50" s="244"/>
      <c r="E50" s="290"/>
      <c r="F50" s="290"/>
      <c r="G50" s="298"/>
      <c r="H50" s="291"/>
    </row>
    <row r="51" spans="1:8" ht="14">
      <c r="A51" s="243">
        <f>+A49+1</f>
        <v>25</v>
      </c>
      <c r="B51" s="243"/>
      <c r="C51" s="243" t="s">
        <v>246</v>
      </c>
      <c r="D51" s="244">
        <f>EDATE(D49,1)</f>
        <v>44542</v>
      </c>
      <c r="E51" s="290">
        <f>($D$18*$B$50)/12</f>
        <v>56931.616000000002</v>
      </c>
      <c r="F51" s="290">
        <f>($D$19*$B$50)/12</f>
        <v>2348.137619047619</v>
      </c>
      <c r="G51" s="298">
        <f t="shared" si="0"/>
        <v>59279.753619047624</v>
      </c>
      <c r="H51" s="291">
        <f>H49-G51</f>
        <v>7676728.0936666671</v>
      </c>
    </row>
    <row r="52" spans="1:8" ht="14">
      <c r="A52" s="243">
        <f t="shared" si="1"/>
        <v>26</v>
      </c>
      <c r="B52" s="243"/>
      <c r="C52" s="243" t="s">
        <v>247</v>
      </c>
      <c r="D52" s="244">
        <f t="shared" si="2"/>
        <v>44573</v>
      </c>
      <c r="E52" s="290">
        <f t="shared" ref="E52:E62" si="8">($D$18*$B$50)/12</f>
        <v>56931.616000000002</v>
      </c>
      <c r="F52" s="290">
        <f t="shared" ref="F52:F62" si="9">($D$19*$B$50)/12</f>
        <v>2348.137619047619</v>
      </c>
      <c r="G52" s="298">
        <f t="shared" si="0"/>
        <v>59279.753619047624</v>
      </c>
      <c r="H52" s="291">
        <f t="shared" si="5"/>
        <v>7617448.3400476193</v>
      </c>
    </row>
    <row r="53" spans="1:8" ht="14">
      <c r="A53" s="243">
        <f t="shared" si="1"/>
        <v>27</v>
      </c>
      <c r="B53" s="243"/>
      <c r="C53" s="243" t="s">
        <v>248</v>
      </c>
      <c r="D53" s="244">
        <f t="shared" si="2"/>
        <v>44604</v>
      </c>
      <c r="E53" s="290">
        <f t="shared" si="8"/>
        <v>56931.616000000002</v>
      </c>
      <c r="F53" s="290">
        <f t="shared" si="9"/>
        <v>2348.137619047619</v>
      </c>
      <c r="G53" s="298">
        <f t="shared" si="0"/>
        <v>59279.753619047624</v>
      </c>
      <c r="H53" s="291">
        <f t="shared" si="5"/>
        <v>7558168.5864285715</v>
      </c>
    </row>
    <row r="54" spans="1:8" ht="14">
      <c r="A54" s="243">
        <f t="shared" si="1"/>
        <v>28</v>
      </c>
      <c r="B54" s="243"/>
      <c r="C54" s="243" t="s">
        <v>249</v>
      </c>
      <c r="D54" s="244">
        <f t="shared" si="2"/>
        <v>44632</v>
      </c>
      <c r="E54" s="290">
        <f t="shared" si="8"/>
        <v>56931.616000000002</v>
      </c>
      <c r="F54" s="290">
        <f t="shared" si="9"/>
        <v>2348.137619047619</v>
      </c>
      <c r="G54" s="298">
        <f t="shared" si="0"/>
        <v>59279.753619047624</v>
      </c>
      <c r="H54" s="291">
        <f t="shared" si="5"/>
        <v>7498888.8328095237</v>
      </c>
    </row>
    <row r="55" spans="1:8" ht="14">
      <c r="A55" s="243">
        <f t="shared" si="1"/>
        <v>29</v>
      </c>
      <c r="B55" s="243"/>
      <c r="C55" s="243" t="s">
        <v>250</v>
      </c>
      <c r="D55" s="244">
        <f t="shared" si="2"/>
        <v>44663</v>
      </c>
      <c r="E55" s="290">
        <f t="shared" si="8"/>
        <v>56931.616000000002</v>
      </c>
      <c r="F55" s="290">
        <f t="shared" si="9"/>
        <v>2348.137619047619</v>
      </c>
      <c r="G55" s="298">
        <f t="shared" si="0"/>
        <v>59279.753619047624</v>
      </c>
      <c r="H55" s="291">
        <f t="shared" si="5"/>
        <v>7439609.0791904759</v>
      </c>
    </row>
    <row r="56" spans="1:8" ht="14">
      <c r="A56" s="243">
        <f t="shared" si="1"/>
        <v>30</v>
      </c>
      <c r="B56" s="243"/>
      <c r="C56" s="243" t="s">
        <v>251</v>
      </c>
      <c r="D56" s="244">
        <f t="shared" si="2"/>
        <v>44693</v>
      </c>
      <c r="E56" s="290">
        <f t="shared" si="8"/>
        <v>56931.616000000002</v>
      </c>
      <c r="F56" s="290">
        <f t="shared" si="9"/>
        <v>2348.137619047619</v>
      </c>
      <c r="G56" s="298">
        <f t="shared" si="0"/>
        <v>59279.753619047624</v>
      </c>
      <c r="H56" s="291">
        <f t="shared" si="5"/>
        <v>7380329.3255714281</v>
      </c>
    </row>
    <row r="57" spans="1:8" ht="14">
      <c r="A57" s="243">
        <f t="shared" si="1"/>
        <v>31</v>
      </c>
      <c r="B57" s="243"/>
      <c r="C57" s="243" t="s">
        <v>252</v>
      </c>
      <c r="D57" s="244">
        <f t="shared" si="2"/>
        <v>44724</v>
      </c>
      <c r="E57" s="290">
        <f t="shared" si="8"/>
        <v>56931.616000000002</v>
      </c>
      <c r="F57" s="290">
        <f t="shared" si="9"/>
        <v>2348.137619047619</v>
      </c>
      <c r="G57" s="298">
        <f t="shared" si="0"/>
        <v>59279.753619047624</v>
      </c>
      <c r="H57" s="291">
        <f t="shared" si="5"/>
        <v>7321049.5719523802</v>
      </c>
    </row>
    <row r="58" spans="1:8" ht="14">
      <c r="A58" s="243">
        <f t="shared" si="1"/>
        <v>32</v>
      </c>
      <c r="B58" s="243"/>
      <c r="C58" s="243" t="s">
        <v>253</v>
      </c>
      <c r="D58" s="244">
        <f t="shared" si="2"/>
        <v>44754</v>
      </c>
      <c r="E58" s="290">
        <f t="shared" si="8"/>
        <v>56931.616000000002</v>
      </c>
      <c r="F58" s="290">
        <f t="shared" si="9"/>
        <v>2348.137619047619</v>
      </c>
      <c r="G58" s="298">
        <f t="shared" si="0"/>
        <v>59279.753619047624</v>
      </c>
      <c r="H58" s="291">
        <f t="shared" si="5"/>
        <v>7261769.8183333324</v>
      </c>
    </row>
    <row r="59" spans="1:8" ht="14">
      <c r="A59" s="243">
        <f t="shared" si="1"/>
        <v>33</v>
      </c>
      <c r="B59" s="243"/>
      <c r="C59" s="243" t="s">
        <v>254</v>
      </c>
      <c r="D59" s="244">
        <f t="shared" si="2"/>
        <v>44785</v>
      </c>
      <c r="E59" s="290">
        <f t="shared" si="8"/>
        <v>56931.616000000002</v>
      </c>
      <c r="F59" s="290">
        <f t="shared" si="9"/>
        <v>2348.137619047619</v>
      </c>
      <c r="G59" s="298">
        <f t="shared" si="0"/>
        <v>59279.753619047624</v>
      </c>
      <c r="H59" s="291">
        <f t="shared" si="5"/>
        <v>7202490.0647142846</v>
      </c>
    </row>
    <row r="60" spans="1:8" ht="14">
      <c r="A60" s="243">
        <f t="shared" si="1"/>
        <v>34</v>
      </c>
      <c r="B60" s="243"/>
      <c r="C60" s="243" t="s">
        <v>255</v>
      </c>
      <c r="D60" s="244">
        <f t="shared" si="2"/>
        <v>44816</v>
      </c>
      <c r="E60" s="290">
        <f t="shared" si="8"/>
        <v>56931.616000000002</v>
      </c>
      <c r="F60" s="290">
        <f t="shared" si="9"/>
        <v>2348.137619047619</v>
      </c>
      <c r="G60" s="298">
        <f t="shared" si="0"/>
        <v>59279.753619047624</v>
      </c>
      <c r="H60" s="291">
        <f t="shared" si="5"/>
        <v>7143210.3110952368</v>
      </c>
    </row>
    <row r="61" spans="1:8" ht="14">
      <c r="A61" s="243">
        <f t="shared" si="1"/>
        <v>35</v>
      </c>
      <c r="B61" s="243"/>
      <c r="C61" s="243" t="s">
        <v>256</v>
      </c>
      <c r="D61" s="244">
        <f t="shared" si="2"/>
        <v>44846</v>
      </c>
      <c r="E61" s="290">
        <f t="shared" si="8"/>
        <v>56931.616000000002</v>
      </c>
      <c r="F61" s="290">
        <f t="shared" si="9"/>
        <v>2348.137619047619</v>
      </c>
      <c r="G61" s="298">
        <f t="shared" si="0"/>
        <v>59279.753619047624</v>
      </c>
      <c r="H61" s="291">
        <f t="shared" si="5"/>
        <v>7083930.557476189</v>
      </c>
    </row>
    <row r="62" spans="1:8" ht="14">
      <c r="A62" s="243">
        <f t="shared" si="1"/>
        <v>36</v>
      </c>
      <c r="B62" s="243"/>
      <c r="C62" s="243" t="s">
        <v>257</v>
      </c>
      <c r="D62" s="244">
        <f t="shared" si="2"/>
        <v>44877</v>
      </c>
      <c r="E62" s="290">
        <f t="shared" si="8"/>
        <v>56931.616000000002</v>
      </c>
      <c r="F62" s="290">
        <f t="shared" si="9"/>
        <v>2348.137619047619</v>
      </c>
      <c r="G62" s="298">
        <f t="shared" si="0"/>
        <v>59279.753619047624</v>
      </c>
      <c r="H62" s="291">
        <f t="shared" si="5"/>
        <v>7024650.8038571412</v>
      </c>
    </row>
    <row r="63" spans="1:8" ht="14">
      <c r="A63" s="243">
        <f t="shared" si="1"/>
        <v>37</v>
      </c>
      <c r="B63" s="243"/>
      <c r="C63" s="243" t="s">
        <v>258</v>
      </c>
      <c r="D63" s="244">
        <f t="shared" si="2"/>
        <v>44907</v>
      </c>
      <c r="E63" s="290">
        <f>D18-SUM(E$23:E$62)</f>
        <v>6746396.4960000012</v>
      </c>
      <c r="F63" s="290">
        <f>D19-SUM(F$23:F$62)</f>
        <v>278254.30785714288</v>
      </c>
      <c r="G63" s="298">
        <f t="shared" si="0"/>
        <v>7024650.803857144</v>
      </c>
      <c r="H63" s="309">
        <f t="shared" si="5"/>
        <v>0</v>
      </c>
    </row>
    <row r="64" spans="1:8" ht="14">
      <c r="A64" s="384" t="s">
        <v>16</v>
      </c>
      <c r="B64" s="384"/>
      <c r="C64" s="384"/>
      <c r="D64" s="384"/>
      <c r="E64" s="249">
        <f>SUM(E23:E63)</f>
        <v>8539742.4000000004</v>
      </c>
      <c r="F64" s="249">
        <f>SUM(F23:F63)</f>
        <v>352220.64285714284</v>
      </c>
      <c r="G64" s="249">
        <f>SUM(G23:G63)</f>
        <v>8891963.042857144</v>
      </c>
      <c r="H64" s="279"/>
    </row>
    <row r="65" spans="1:8" s="197" customFormat="1" ht="14">
      <c r="C65" s="206"/>
      <c r="D65" s="207"/>
      <c r="E65" s="208"/>
      <c r="F65" s="208"/>
      <c r="G65" s="208"/>
    </row>
    <row r="66" spans="1:8" s="197" customFormat="1" ht="14">
      <c r="A66" s="374" t="s">
        <v>313</v>
      </c>
      <c r="B66" s="374"/>
      <c r="C66" s="374"/>
      <c r="D66" s="374"/>
      <c r="E66" s="374"/>
      <c r="F66" s="374"/>
      <c r="G66" s="374"/>
      <c r="H66" s="374"/>
    </row>
    <row r="67" spans="1:8" s="197" customFormat="1" ht="29.25" customHeight="1">
      <c r="A67" s="388" t="s">
        <v>314</v>
      </c>
      <c r="B67" s="388"/>
      <c r="C67" s="388"/>
      <c r="D67" s="388"/>
      <c r="E67" s="388"/>
      <c r="F67" s="388"/>
      <c r="G67" s="388"/>
      <c r="H67" s="388"/>
    </row>
    <row r="68" spans="1:8" s="197" customFormat="1" ht="16.5" customHeight="1">
      <c r="A68" s="374" t="s">
        <v>315</v>
      </c>
      <c r="B68" s="374"/>
      <c r="C68" s="374"/>
      <c r="D68" s="374"/>
      <c r="E68" s="374"/>
      <c r="F68" s="374"/>
      <c r="G68" s="374"/>
      <c r="H68" s="374"/>
    </row>
    <row r="69" spans="1:8" s="197" customFormat="1" ht="16.5" customHeight="1">
      <c r="A69" s="374" t="s">
        <v>316</v>
      </c>
      <c r="B69" s="374"/>
      <c r="C69" s="374"/>
      <c r="D69" s="374"/>
      <c r="E69" s="374"/>
      <c r="F69" s="374"/>
      <c r="G69" s="374"/>
      <c r="H69" s="374"/>
    </row>
    <row r="70" spans="1:8" s="197" customFormat="1" ht="16.5" customHeight="1">
      <c r="A70" s="374" t="s">
        <v>317</v>
      </c>
      <c r="B70" s="374"/>
      <c r="C70" s="374"/>
      <c r="D70" s="374"/>
      <c r="E70" s="374"/>
      <c r="F70" s="374"/>
      <c r="G70" s="374"/>
      <c r="H70" s="374"/>
    </row>
    <row r="71" spans="1:8" s="197" customFormat="1" ht="107.25" customHeight="1">
      <c r="A71" s="374" t="s">
        <v>318</v>
      </c>
      <c r="B71" s="374"/>
      <c r="C71" s="374"/>
      <c r="D71" s="374"/>
      <c r="E71" s="374"/>
      <c r="F71" s="374"/>
      <c r="G71" s="374"/>
      <c r="H71" s="374"/>
    </row>
    <row r="72" spans="1:8" s="197" customFormat="1" ht="42" customHeight="1">
      <c r="A72" s="374" t="s">
        <v>319</v>
      </c>
      <c r="B72" s="374"/>
      <c r="C72" s="374"/>
      <c r="D72" s="374"/>
      <c r="E72" s="374"/>
      <c r="F72" s="374"/>
      <c r="G72" s="374"/>
      <c r="H72" s="374"/>
    </row>
    <row r="73" spans="1:8" s="197" customFormat="1" ht="18.75" customHeight="1">
      <c r="A73" s="374" t="s">
        <v>320</v>
      </c>
      <c r="B73" s="374"/>
      <c r="C73" s="374"/>
      <c r="D73" s="374"/>
      <c r="E73" s="374"/>
      <c r="F73" s="374"/>
      <c r="G73" s="374"/>
      <c r="H73" s="374"/>
    </row>
    <row r="74" spans="1:8" s="197" customFormat="1" ht="14">
      <c r="A74" s="374"/>
      <c r="B74" s="374"/>
      <c r="C74" s="374"/>
      <c r="D74" s="374"/>
      <c r="E74" s="374"/>
      <c r="F74" s="374"/>
      <c r="G74" s="374"/>
      <c r="H74" s="374"/>
    </row>
    <row r="75" spans="1:8" s="197" customFormat="1" ht="14">
      <c r="A75" s="197" t="s">
        <v>17</v>
      </c>
      <c r="D75" s="209"/>
      <c r="G75" s="198"/>
    </row>
    <row r="76" spans="1:8" s="197" customFormat="1" ht="14">
      <c r="D76" s="209"/>
      <c r="G76" s="198"/>
    </row>
    <row r="77" spans="1:8" s="197" customFormat="1" ht="15" customHeight="1">
      <c r="A77" s="210"/>
      <c r="B77" s="210"/>
      <c r="C77" s="210"/>
      <c r="D77" s="209"/>
      <c r="E77" s="210"/>
      <c r="F77" s="210"/>
      <c r="G77" s="211"/>
    </row>
    <row r="78" spans="1:8" s="197" customFormat="1" ht="14">
      <c r="A78" s="375" t="s">
        <v>293</v>
      </c>
      <c r="B78" s="375"/>
      <c r="C78" s="375"/>
      <c r="D78" s="209"/>
      <c r="E78" s="375" t="s">
        <v>18</v>
      </c>
      <c r="F78" s="375"/>
      <c r="G78" s="375"/>
    </row>
    <row r="79" spans="1:8" ht="14"/>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sheetProtection password="CAF1" sheet="1" selectLockedCells="1"/>
  <mergeCells count="19">
    <mergeCell ref="C9:H9"/>
    <mergeCell ref="H1:H2"/>
    <mergeCell ref="C5:H5"/>
    <mergeCell ref="C6:H6"/>
    <mergeCell ref="C7:H7"/>
    <mergeCell ref="C8:H8"/>
    <mergeCell ref="A78:C78"/>
    <mergeCell ref="E78:G78"/>
    <mergeCell ref="C10:H10"/>
    <mergeCell ref="A64:D64"/>
    <mergeCell ref="A66:H66"/>
    <mergeCell ref="A67:H67"/>
    <mergeCell ref="A68:H68"/>
    <mergeCell ref="A69:H69"/>
    <mergeCell ref="A70:H70"/>
    <mergeCell ref="A71:H71"/>
    <mergeCell ref="A72:H72"/>
    <mergeCell ref="A73:H73"/>
    <mergeCell ref="A74:H74"/>
  </mergeCells>
  <hyperlinks>
    <hyperlink ref="C1" location="'DATA SHEET'!A1" display="HIGHLANDS PRIME, INC." xr:uid="{00000000-0004-0000-1A00-000000000000}"/>
    <hyperlink ref="J3" location="'DATA SHEET'!A1" display="Return to Data Sheet" xr:uid="{00000000-0004-0000-1A00-000001000000}"/>
  </hyperlinks>
  <printOptions horizontalCentered="1"/>
  <pageMargins left="0.7" right="0.7" top="0.75" bottom="0.5" header="0.3" footer="0.3"/>
  <pageSetup scale="70" orientation="portrait" r:id="rId1"/>
  <headerFooter>
    <oddFooter>&amp;L&amp;8A project of HIGHLANDS PRIME, INC. 
Woodridge Place at Tagaytay Highlands,  Tagaytay Highlands, Tagaytay City
HLURB License To Sell No. 22459&amp;RPage &amp;P of &amp;N</oddFooter>
  </headerFooter>
  <ignoredErrors>
    <ignoredError sqref="D15" unlockedFormula="1"/>
    <ignoredError sqref="D19" 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389E8F"/>
    <pageSetUpPr fitToPage="1"/>
  </sheetPr>
  <dimension ref="A1:L41"/>
  <sheetViews>
    <sheetView showGridLines="0" showWhiteSpace="0" zoomScale="115" zoomScaleNormal="115" workbookViewId="0">
      <selection activeCell="C15" sqref="C15"/>
    </sheetView>
  </sheetViews>
  <sheetFormatPr baseColWidth="10" defaultColWidth="0" defaultRowHeight="14" zeroHeight="1"/>
  <cols>
    <col min="1" max="1" width="12.1640625" style="39" customWidth="1"/>
    <col min="2" max="2" width="10.5" style="39" customWidth="1"/>
    <col min="3" max="3" width="13.5" style="39" customWidth="1"/>
    <col min="4" max="4" width="12.5" style="40" bestFit="1" customWidth="1"/>
    <col min="5" max="5" width="12.5" style="39" bestFit="1" customWidth="1"/>
    <col min="6" max="6" width="14.5" style="39" bestFit="1" customWidth="1"/>
    <col min="7" max="7" width="12.5" style="39" bestFit="1" customWidth="1"/>
    <col min="8" max="8" width="17.5" style="39" bestFit="1" customWidth="1"/>
    <col min="9" max="12" width="9.1640625" style="39" customWidth="1"/>
    <col min="13" max="16384" width="9.1640625" style="39" hidden="1"/>
  </cols>
  <sheetData>
    <row r="1" spans="1:10" ht="12.75" customHeight="1">
      <c r="C1" s="212" t="s">
        <v>35</v>
      </c>
      <c r="H1" s="376" t="s">
        <v>66</v>
      </c>
    </row>
    <row r="2" spans="1:10">
      <c r="C2" s="41" t="s">
        <v>207</v>
      </c>
      <c r="H2" s="376"/>
    </row>
    <row r="3" spans="1:10">
      <c r="C3" s="41" t="s">
        <v>36</v>
      </c>
      <c r="J3" s="251" t="s">
        <v>215</v>
      </c>
    </row>
    <row r="4" spans="1:10"/>
    <row r="5" spans="1:10">
      <c r="A5" s="213" t="s">
        <v>0</v>
      </c>
      <c r="B5" s="269"/>
      <c r="C5" s="377" t="str">
        <f>'DATA SHEET'!C9</f>
        <v xml:space="preserve"> </v>
      </c>
      <c r="D5" s="377"/>
      <c r="E5" s="377"/>
      <c r="F5" s="377"/>
      <c r="G5" s="377"/>
      <c r="H5" s="378"/>
    </row>
    <row r="6" spans="1:10">
      <c r="A6" s="215" t="s">
        <v>31</v>
      </c>
      <c r="B6" s="216"/>
      <c r="C6" s="379" t="str">
        <f>VLOOKUP('DATA SHEET'!$C$10,' Glenview PL'!C6:G41,1,FALSE)</f>
        <v>GB</v>
      </c>
      <c r="D6" s="379"/>
      <c r="E6" s="379"/>
      <c r="F6" s="379"/>
      <c r="G6" s="379"/>
      <c r="H6" s="390"/>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row>
    <row r="9" spans="1:10">
      <c r="A9" s="407" t="s">
        <v>294</v>
      </c>
      <c r="B9" s="408"/>
      <c r="C9" s="382">
        <f>VLOOKUP('DATA SHEET'!C10,' Glenview PL'!C6:G41,4,0)</f>
        <v>8851760</v>
      </c>
      <c r="D9" s="382"/>
      <c r="E9" s="382"/>
      <c r="F9" s="382"/>
      <c r="G9" s="382"/>
      <c r="H9" s="383"/>
    </row>
    <row r="10" spans="1:10" ht="12.75" customHeight="1">
      <c r="A10" s="224" t="s">
        <v>33</v>
      </c>
      <c r="B10" s="225"/>
      <c r="C10" s="386" t="str">
        <f>'DATA SHEET'!C18</f>
        <v>80% DP, 20% after 60 months or upon turnover whichever comes first</v>
      </c>
      <c r="D10" s="386"/>
      <c r="E10" s="386"/>
      <c r="F10" s="386"/>
      <c r="G10" s="386"/>
      <c r="H10" s="387"/>
    </row>
    <row r="11" spans="1:10"/>
    <row r="12" spans="1:10">
      <c r="A12" s="41" t="s">
        <v>55</v>
      </c>
      <c r="B12" s="41"/>
    </row>
    <row r="13" spans="1:10">
      <c r="A13" s="197" t="s">
        <v>307</v>
      </c>
      <c r="D13" s="42">
        <f>(C9-650000)</f>
        <v>8201760</v>
      </c>
      <c r="E13" s="226" t="str">
        <f>LEFT(C8,9)</f>
        <v>1-Bedroom</v>
      </c>
    </row>
    <row r="14" spans="1:10">
      <c r="A14" s="227" t="s">
        <v>72</v>
      </c>
      <c r="B14" s="228"/>
      <c r="C14" s="306">
        <v>0.15</v>
      </c>
      <c r="D14" s="229">
        <f>IF(C14&lt;=15%,D13*C14,"BEYOND MAX")</f>
        <v>1230264</v>
      </c>
      <c r="E14" s="40"/>
    </row>
    <row r="15" spans="1:10">
      <c r="A15" s="227" t="s">
        <v>325</v>
      </c>
      <c r="B15" s="228"/>
      <c r="C15" s="306">
        <v>0.02</v>
      </c>
      <c r="D15" s="229">
        <f>IF(C15&lt;=2%,((D13-D14)*C15),"BEYOND MAX DISC.")</f>
        <v>139429.92000000001</v>
      </c>
      <c r="E15" s="40"/>
    </row>
    <row r="16" spans="1:10">
      <c r="A16" s="227" t="s">
        <v>326</v>
      </c>
      <c r="B16" s="228"/>
      <c r="D16" s="87">
        <f>VLOOKUP('DATA SHEET'!C10,' Glenview PL'!$C$6:$G$40,5,0)</f>
        <v>230000</v>
      </c>
    </row>
    <row r="17" spans="1:8">
      <c r="A17" s="234" t="s">
        <v>311</v>
      </c>
      <c r="B17" s="198"/>
      <c r="C17" s="198"/>
      <c r="D17" s="235">
        <f>+D13-SUM(D14:D16)</f>
        <v>6602066.0800000001</v>
      </c>
      <c r="E17" s="231"/>
    </row>
    <row r="18" spans="1:8">
      <c r="A18" s="236" t="s">
        <v>285</v>
      </c>
      <c r="B18" s="236"/>
      <c r="C18" s="199">
        <v>0.05</v>
      </c>
      <c r="D18" s="237">
        <f>(D17/1.12)*C18</f>
        <v>294735.09285714285</v>
      </c>
      <c r="E18" s="231"/>
    </row>
    <row r="19" spans="1:8" ht="15" thickBot="1">
      <c r="A19" s="198" t="s">
        <v>58</v>
      </c>
      <c r="B19" s="198"/>
      <c r="C19" s="198"/>
      <c r="D19" s="238">
        <f>+SUM(D17:D18)</f>
        <v>6896801.172857143</v>
      </c>
      <c r="E19" s="40"/>
    </row>
    <row r="20" spans="1:8" ht="15" thickTop="1">
      <c r="D20" s="42"/>
      <c r="E20" s="40"/>
    </row>
    <row r="21" spans="1:8">
      <c r="A21" s="239" t="s">
        <v>34</v>
      </c>
      <c r="B21" s="239" t="s">
        <v>286</v>
      </c>
      <c r="C21" s="239" t="s">
        <v>2</v>
      </c>
      <c r="D21" s="239" t="s">
        <v>287</v>
      </c>
      <c r="E21" s="239" t="s">
        <v>310</v>
      </c>
      <c r="F21" s="239" t="s">
        <v>289</v>
      </c>
      <c r="G21" s="241" t="s">
        <v>290</v>
      </c>
      <c r="H21" s="239" t="s">
        <v>291</v>
      </c>
    </row>
    <row r="22" spans="1:8">
      <c r="A22" s="401" t="s">
        <v>292</v>
      </c>
      <c r="B22" s="402"/>
      <c r="C22" s="402"/>
      <c r="D22" s="402"/>
      <c r="E22" s="402"/>
      <c r="F22" s="402"/>
      <c r="G22" s="403"/>
      <c r="H22" s="242">
        <f>+D19</f>
        <v>6896801.172857143</v>
      </c>
    </row>
    <row r="23" spans="1:8">
      <c r="A23" s="243">
        <v>0</v>
      </c>
      <c r="B23" s="243"/>
      <c r="C23" s="243" t="s">
        <v>38</v>
      </c>
      <c r="D23" s="244">
        <f ca="1">'DATA SHEET'!C8</f>
        <v>43973</v>
      </c>
      <c r="E23" s="245">
        <f>IF(E13="1-Bedroom",50000,100000)</f>
        <v>50000</v>
      </c>
      <c r="F23" s="296"/>
      <c r="G23" s="300">
        <f>+SUM(E23:F23)</f>
        <v>50000</v>
      </c>
      <c r="H23" s="247">
        <f>D19-G23</f>
        <v>6846801.172857143</v>
      </c>
    </row>
    <row r="24" spans="1:8">
      <c r="A24" s="243">
        <v>1</v>
      </c>
      <c r="B24" s="248">
        <v>0.8</v>
      </c>
      <c r="C24" s="243" t="s">
        <v>217</v>
      </c>
      <c r="D24" s="244">
        <f ca="1">EDATE(D23,1)</f>
        <v>44004</v>
      </c>
      <c r="E24" s="245">
        <f>(D17*0.8)-E23</f>
        <v>5231652.8640000001</v>
      </c>
      <c r="F24" s="296">
        <f>(D18*0.8)</f>
        <v>235788.07428571431</v>
      </c>
      <c r="G24" s="300">
        <f t="shared" ref="G24:G25" si="0">+SUM(E24:F24)</f>
        <v>5467440.938285714</v>
      </c>
      <c r="H24" s="247">
        <f>H23-G24</f>
        <v>1379360.234571429</v>
      </c>
    </row>
    <row r="25" spans="1:8">
      <c r="A25" s="243">
        <v>60</v>
      </c>
      <c r="B25" s="248">
        <v>0.2</v>
      </c>
      <c r="C25" s="243" t="s">
        <v>39</v>
      </c>
      <c r="D25" s="244">
        <f ca="1">D24+(60*30)</f>
        <v>45804</v>
      </c>
      <c r="E25" s="245">
        <f>D17*20%</f>
        <v>1320413.216</v>
      </c>
      <c r="F25" s="296">
        <f>D18*20%</f>
        <v>58947.018571428576</v>
      </c>
      <c r="G25" s="300">
        <f t="shared" si="0"/>
        <v>1379360.2345714285</v>
      </c>
      <c r="H25" s="247">
        <f>H24-G25</f>
        <v>0</v>
      </c>
    </row>
    <row r="26" spans="1:8">
      <c r="A26" s="404" t="s">
        <v>16</v>
      </c>
      <c r="B26" s="405"/>
      <c r="C26" s="405"/>
      <c r="D26" s="406"/>
      <c r="E26" s="249">
        <f>SUM(E23:E25)</f>
        <v>6602066.0800000001</v>
      </c>
      <c r="F26" s="249">
        <f>SUM(F23:F25)</f>
        <v>294735.09285714291</v>
      </c>
      <c r="G26" s="249">
        <f>SUM(G23:G25)</f>
        <v>6896801.172857143</v>
      </c>
      <c r="H26" s="279"/>
    </row>
    <row r="27" spans="1:8" s="197" customFormat="1">
      <c r="C27" s="206"/>
      <c r="D27" s="207"/>
      <c r="E27" s="208"/>
      <c r="F27" s="208"/>
      <c r="G27" s="208"/>
    </row>
    <row r="28" spans="1:8" s="197" customFormat="1">
      <c r="A28" s="374" t="s">
        <v>313</v>
      </c>
      <c r="B28" s="374"/>
      <c r="C28" s="374"/>
      <c r="D28" s="374"/>
      <c r="E28" s="374"/>
      <c r="F28" s="374"/>
      <c r="G28" s="374"/>
      <c r="H28" s="374"/>
    </row>
    <row r="29" spans="1:8" s="197" customFormat="1" ht="29.25" customHeight="1">
      <c r="A29" s="388" t="s">
        <v>314</v>
      </c>
      <c r="B29" s="388"/>
      <c r="C29" s="388"/>
      <c r="D29" s="388"/>
      <c r="E29" s="388"/>
      <c r="F29" s="388"/>
      <c r="G29" s="388"/>
      <c r="H29" s="388"/>
    </row>
    <row r="30" spans="1:8" s="197" customFormat="1" ht="16.5" customHeight="1">
      <c r="A30" s="374" t="s">
        <v>315</v>
      </c>
      <c r="B30" s="374"/>
      <c r="C30" s="374"/>
      <c r="D30" s="374"/>
      <c r="E30" s="374"/>
      <c r="F30" s="374"/>
      <c r="G30" s="374"/>
      <c r="H30" s="374"/>
    </row>
    <row r="31" spans="1:8" s="197" customFormat="1" ht="16.5" customHeight="1">
      <c r="A31" s="374" t="s">
        <v>316</v>
      </c>
      <c r="B31" s="374"/>
      <c r="C31" s="374"/>
      <c r="D31" s="374"/>
      <c r="E31" s="374"/>
      <c r="F31" s="374"/>
      <c r="G31" s="374"/>
      <c r="H31" s="374"/>
    </row>
    <row r="32" spans="1:8" s="197" customFormat="1" ht="16.5" customHeight="1">
      <c r="A32" s="374" t="s">
        <v>317</v>
      </c>
      <c r="B32" s="374"/>
      <c r="C32" s="374"/>
      <c r="D32" s="374"/>
      <c r="E32" s="374"/>
      <c r="F32" s="374"/>
      <c r="G32" s="374"/>
      <c r="H32" s="374"/>
    </row>
    <row r="33" spans="1:8" s="197" customFormat="1" ht="122.25" customHeight="1">
      <c r="A33" s="374" t="s">
        <v>318</v>
      </c>
      <c r="B33" s="374"/>
      <c r="C33" s="374"/>
      <c r="D33" s="374"/>
      <c r="E33" s="374"/>
      <c r="F33" s="374"/>
      <c r="G33" s="374"/>
      <c r="H33" s="374"/>
    </row>
    <row r="34" spans="1:8" s="197" customFormat="1" ht="43.5" customHeight="1">
      <c r="A34" s="374" t="s">
        <v>319</v>
      </c>
      <c r="B34" s="374"/>
      <c r="C34" s="374"/>
      <c r="D34" s="374"/>
      <c r="E34" s="374"/>
      <c r="F34" s="374"/>
      <c r="G34" s="374"/>
      <c r="H34" s="374"/>
    </row>
    <row r="35" spans="1:8" s="197" customFormat="1" ht="30.75" customHeight="1">
      <c r="A35" s="374" t="s">
        <v>320</v>
      </c>
      <c r="B35" s="374"/>
      <c r="C35" s="374"/>
      <c r="D35" s="374"/>
      <c r="E35" s="374"/>
      <c r="F35" s="374"/>
      <c r="G35" s="374"/>
      <c r="H35" s="374"/>
    </row>
    <row r="36" spans="1:8" s="197" customFormat="1">
      <c r="A36" s="374"/>
      <c r="B36" s="374"/>
      <c r="C36" s="374"/>
      <c r="D36" s="374"/>
      <c r="E36" s="374"/>
      <c r="F36" s="374"/>
      <c r="G36" s="374"/>
      <c r="H36" s="374"/>
    </row>
    <row r="37" spans="1:8" s="197" customFormat="1">
      <c r="A37" s="197" t="s">
        <v>17</v>
      </c>
      <c r="D37" s="209"/>
      <c r="G37" s="198"/>
    </row>
    <row r="38" spans="1:8" s="197" customFormat="1">
      <c r="D38" s="209"/>
      <c r="G38" s="198"/>
    </row>
    <row r="39" spans="1:8" s="197" customFormat="1" ht="15" customHeight="1">
      <c r="A39" s="210"/>
      <c r="B39" s="210"/>
      <c r="C39" s="210"/>
      <c r="D39" s="209"/>
      <c r="E39" s="210"/>
      <c r="F39" s="210"/>
      <c r="G39" s="211"/>
    </row>
    <row r="40" spans="1:8" s="197" customFormat="1">
      <c r="A40" s="375" t="s">
        <v>293</v>
      </c>
      <c r="B40" s="375"/>
      <c r="C40" s="375"/>
      <c r="D40" s="209"/>
      <c r="E40" s="375" t="s">
        <v>18</v>
      </c>
      <c r="F40" s="375"/>
      <c r="G40" s="375"/>
    </row>
    <row r="41" spans="1:8"/>
  </sheetData>
  <sheetProtection password="CAF1" sheet="1" selectLockedCells="1"/>
  <mergeCells count="21">
    <mergeCell ref="A34:H34"/>
    <mergeCell ref="A35:H35"/>
    <mergeCell ref="A36:H36"/>
    <mergeCell ref="A40:C40"/>
    <mergeCell ref="E40:G40"/>
    <mergeCell ref="A33:H33"/>
    <mergeCell ref="H1:H2"/>
    <mergeCell ref="C5:H5"/>
    <mergeCell ref="C6:H6"/>
    <mergeCell ref="C7:H7"/>
    <mergeCell ref="C8:H8"/>
    <mergeCell ref="A28:H28"/>
    <mergeCell ref="A29:H29"/>
    <mergeCell ref="A30:H30"/>
    <mergeCell ref="A31:H31"/>
    <mergeCell ref="A32:H32"/>
    <mergeCell ref="A22:G22"/>
    <mergeCell ref="A26:D26"/>
    <mergeCell ref="A9:B9"/>
    <mergeCell ref="C9:H9"/>
    <mergeCell ref="C10:H10"/>
  </mergeCells>
  <hyperlinks>
    <hyperlink ref="C1" location="'DATA SHEET'!A1" display="HIGHLANDS PRIME, INC." xr:uid="{00000000-0004-0000-1B00-000000000000}"/>
    <hyperlink ref="J3" location="'DATA SHEET'!A1" display="Return to Data Sheet" xr:uid="{00000000-0004-0000-1B00-000001000000}"/>
  </hyperlinks>
  <printOptions horizontalCentered="1"/>
  <pageMargins left="0.7" right="0.7" top="0.75" bottom="0.5" header="0.3" footer="0.3"/>
  <pageSetup orientation="portrait" r:id="rId1"/>
  <headerFooter>
    <oddFooter>&amp;L&amp;8A project of HIGHLANDS PRIME, INC. Horizon Terraces HLURB License To Sell No. 032272&amp;R&amp;8Page &amp;P of &amp;N</oddFooter>
  </headerFooter>
  <ignoredErrors>
    <ignoredError sqref="D16" unlocked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tabColor rgb="FF389E8F"/>
    <pageSetUpPr fitToPage="1"/>
  </sheetPr>
  <dimension ref="A1:L100"/>
  <sheetViews>
    <sheetView showGridLines="0" showWhiteSpace="0" zoomScaleNormal="100" workbookViewId="0">
      <selection activeCell="C15" sqref="C15"/>
    </sheetView>
  </sheetViews>
  <sheetFormatPr baseColWidth="10" defaultColWidth="0" defaultRowHeight="14"/>
  <cols>
    <col min="1" max="1" width="11.6640625" style="39" customWidth="1"/>
    <col min="2" max="2" width="10.83203125" style="39" customWidth="1"/>
    <col min="3" max="3" width="23.5" style="39" customWidth="1"/>
    <col min="4" max="4" width="13.5" style="40" bestFit="1" customWidth="1"/>
    <col min="5" max="5" width="13.5" style="39" bestFit="1" customWidth="1"/>
    <col min="6" max="6" width="14.83203125" style="281" bestFit="1" customWidth="1"/>
    <col min="7" max="7" width="13.5" style="41" bestFit="1" customWidth="1"/>
    <col min="8" max="8" width="16.5" style="39" bestFit="1" customWidth="1"/>
    <col min="9" max="12" width="9.1640625" style="39" customWidth="1"/>
    <col min="13" max="16384" width="9.1640625" style="39" hidden="1"/>
  </cols>
  <sheetData>
    <row r="1" spans="1:10" ht="12.75" customHeight="1">
      <c r="C1" s="212" t="s">
        <v>35</v>
      </c>
      <c r="H1" s="409" t="s">
        <v>66</v>
      </c>
      <c r="I1" s="41"/>
    </row>
    <row r="2" spans="1:10">
      <c r="C2" s="41" t="s">
        <v>207</v>
      </c>
      <c r="H2" s="409"/>
      <c r="I2" s="41"/>
    </row>
    <row r="3" spans="1:10">
      <c r="C3" s="41" t="s">
        <v>36</v>
      </c>
      <c r="H3" s="281"/>
      <c r="I3" s="41"/>
      <c r="J3" s="251" t="s">
        <v>215</v>
      </c>
    </row>
    <row r="4" spans="1:10">
      <c r="H4" s="281"/>
      <c r="I4" s="41"/>
    </row>
    <row r="5" spans="1:10">
      <c r="A5" s="213" t="s">
        <v>0</v>
      </c>
      <c r="B5" s="269"/>
      <c r="C5" s="377" t="str">
        <f>'DATA SHEET'!C9</f>
        <v xml:space="preserve"> </v>
      </c>
      <c r="D5" s="377"/>
      <c r="E5" s="377"/>
      <c r="F5" s="377"/>
      <c r="G5" s="377"/>
      <c r="H5" s="378"/>
    </row>
    <row r="6" spans="1:10">
      <c r="A6" s="215" t="s">
        <v>31</v>
      </c>
      <c r="B6" s="216"/>
      <c r="C6" s="270" t="str">
        <f>VLOOKUP('DATA SHEET'!$C$10,' Glenview PL'!C6:G41,1,FALSE)</f>
        <v>GB</v>
      </c>
      <c r="D6" s="270"/>
      <c r="E6" s="270"/>
      <c r="F6" s="270"/>
      <c r="G6" s="270"/>
      <c r="H6" s="301"/>
    </row>
    <row r="7" spans="1:10">
      <c r="A7" s="215" t="s">
        <v>37</v>
      </c>
      <c r="B7" s="216"/>
      <c r="C7" s="271">
        <f>VLOOKUP('DATA SHEET'!C10,' Glenview PL'!C6:G41,3,0)</f>
        <v>67.900000000000006</v>
      </c>
      <c r="D7" s="271"/>
      <c r="E7" s="271"/>
      <c r="F7" s="271"/>
      <c r="G7" s="271"/>
      <c r="H7" s="272"/>
    </row>
    <row r="8" spans="1:10">
      <c r="A8" s="215" t="s">
        <v>194</v>
      </c>
      <c r="B8" s="216"/>
      <c r="C8" s="275" t="str">
        <f>VLOOKUP('DATA SHEET'!C10,' Glenview PL'!C6:G41,2,0)</f>
        <v>1-Bedroom Terrace Suite</v>
      </c>
      <c r="D8" s="271"/>
      <c r="E8" s="271"/>
      <c r="F8" s="271"/>
      <c r="G8" s="271"/>
      <c r="H8" s="301"/>
    </row>
    <row r="9" spans="1:10">
      <c r="A9" s="407" t="s">
        <v>294</v>
      </c>
      <c r="B9" s="408"/>
      <c r="C9" s="273">
        <f>VLOOKUP('DATA SHEET'!C10,' Glenview PL'!C6:G41,4,0)</f>
        <v>8851760</v>
      </c>
      <c r="D9" s="273"/>
      <c r="E9" s="273"/>
      <c r="F9" s="273"/>
      <c r="G9" s="273"/>
      <c r="H9" s="274"/>
    </row>
    <row r="10" spans="1:10">
      <c r="A10" s="224" t="s">
        <v>33</v>
      </c>
      <c r="B10" s="225"/>
      <c r="C10" s="287" t="str">
        <f>'DATA SHEET'!C19</f>
        <v>50% DP, 50% over 60 months</v>
      </c>
      <c r="D10" s="287"/>
      <c r="E10" s="287"/>
      <c r="F10" s="287"/>
      <c r="G10" s="287"/>
      <c r="H10" s="288"/>
    </row>
    <row r="12" spans="1:10">
      <c r="A12" s="41" t="s">
        <v>55</v>
      </c>
      <c r="B12" s="41"/>
    </row>
    <row r="13" spans="1:10">
      <c r="A13" s="197" t="s">
        <v>307</v>
      </c>
      <c r="D13" s="42">
        <f>(C9-650000)</f>
        <v>8201760</v>
      </c>
      <c r="E13" s="226" t="str">
        <f>LEFT(C8,9)</f>
        <v>1-Bedroom</v>
      </c>
    </row>
    <row r="14" spans="1:10">
      <c r="A14" s="227" t="s">
        <v>72</v>
      </c>
      <c r="B14" s="228"/>
      <c r="C14" s="306">
        <v>7.4999999999999997E-2</v>
      </c>
      <c r="D14" s="229">
        <f>IF(C14&lt;=7.5%,D13*C14,"BEYOND MAX")</f>
        <v>615132</v>
      </c>
      <c r="E14" s="226"/>
    </row>
    <row r="15" spans="1:10">
      <c r="A15" s="227" t="s">
        <v>325</v>
      </c>
      <c r="B15" s="228"/>
      <c r="C15" s="306">
        <v>0.02</v>
      </c>
      <c r="D15" s="229">
        <f>IF(C15&lt;=2%,((D13-D14)*C15),"BEYOND MAX")</f>
        <v>151732.56</v>
      </c>
      <c r="E15" s="231">
        <f>VLOOKUP(C6,' Glenview PL'!C:G,5,0)</f>
        <v>230000</v>
      </c>
    </row>
    <row r="16" spans="1:10">
      <c r="A16" s="227" t="s">
        <v>326</v>
      </c>
      <c r="B16" s="228"/>
      <c r="C16" s="196"/>
      <c r="D16" s="87">
        <f>VLOOKUP('DATA SHEET'!C10,' Glenview PL'!$C$6:$G$40,5,0)</f>
        <v>230000</v>
      </c>
      <c r="E16" s="231"/>
    </row>
    <row r="17" spans="1:8">
      <c r="A17" s="234" t="s">
        <v>311</v>
      </c>
      <c r="B17" s="198"/>
      <c r="C17" s="197"/>
      <c r="D17" s="235">
        <f>+D13-SUM(D14:D16)</f>
        <v>7204895.4399999995</v>
      </c>
      <c r="E17" s="231"/>
    </row>
    <row r="18" spans="1:8">
      <c r="A18" s="236" t="s">
        <v>285</v>
      </c>
      <c r="B18" s="236"/>
      <c r="C18" s="199">
        <v>0.05</v>
      </c>
      <c r="D18" s="237">
        <f>(D17/1.12)*C18</f>
        <v>321647.11785714282</v>
      </c>
      <c r="E18" s="231"/>
    </row>
    <row r="19" spans="1:8" ht="15" thickBot="1">
      <c r="A19" s="198" t="s">
        <v>58</v>
      </c>
      <c r="B19" s="198"/>
      <c r="C19" s="198"/>
      <c r="D19" s="238">
        <f>+SUM(D17:D18)</f>
        <v>7526542.5578571428</v>
      </c>
      <c r="E19" s="231"/>
    </row>
    <row r="20" spans="1:8" ht="15" thickTop="1">
      <c r="D20" s="42"/>
      <c r="E20" s="40"/>
    </row>
    <row r="21" spans="1:8">
      <c r="A21" s="239" t="s">
        <v>34</v>
      </c>
      <c r="B21" s="239" t="s">
        <v>286</v>
      </c>
      <c r="C21" s="239" t="s">
        <v>2</v>
      </c>
      <c r="D21" s="239" t="s">
        <v>287</v>
      </c>
      <c r="E21" s="239" t="s">
        <v>288</v>
      </c>
      <c r="F21" s="240" t="s">
        <v>289</v>
      </c>
      <c r="G21" s="241" t="s">
        <v>290</v>
      </c>
      <c r="H21" s="239" t="s">
        <v>291</v>
      </c>
    </row>
    <row r="22" spans="1:8">
      <c r="A22" s="401" t="s">
        <v>292</v>
      </c>
      <c r="B22" s="402"/>
      <c r="C22" s="402"/>
      <c r="D22" s="402"/>
      <c r="E22" s="402"/>
      <c r="F22" s="402"/>
      <c r="G22" s="403"/>
      <c r="H22" s="242">
        <f>+D19</f>
        <v>7526542.5578571428</v>
      </c>
    </row>
    <row r="23" spans="1:8">
      <c r="A23" s="243">
        <v>0</v>
      </c>
      <c r="B23" s="243"/>
      <c r="C23" s="243" t="s">
        <v>38</v>
      </c>
      <c r="D23" s="244">
        <f ca="1">'DATA SHEET'!C8</f>
        <v>43973</v>
      </c>
      <c r="E23" s="245">
        <f>IF(E13="1-Bedroom",50000,100000)</f>
        <v>50000</v>
      </c>
      <c r="F23" s="245"/>
      <c r="G23" s="300">
        <f>+SUM(E23:F23)</f>
        <v>50000</v>
      </c>
      <c r="H23" s="247">
        <f>D19-E23</f>
        <v>7476542.5578571428</v>
      </c>
    </row>
    <row r="24" spans="1:8">
      <c r="A24" s="243">
        <v>1</v>
      </c>
      <c r="B24" s="248">
        <v>0.5</v>
      </c>
      <c r="C24" s="243" t="s">
        <v>217</v>
      </c>
      <c r="D24" s="244">
        <f ca="1">EDATE(D23,1)</f>
        <v>44004</v>
      </c>
      <c r="E24" s="245">
        <f>(D17*50%)-E23</f>
        <v>3552447.7199999997</v>
      </c>
      <c r="F24" s="245">
        <f>(D18*50%)</f>
        <v>160823.55892857141</v>
      </c>
      <c r="G24" s="300">
        <f>+SUM(E24:F24)</f>
        <v>3713271.2789285714</v>
      </c>
      <c r="H24" s="247">
        <f>H23-G24</f>
        <v>3763271.2789285714</v>
      </c>
    </row>
    <row r="25" spans="1:8">
      <c r="A25" s="243"/>
      <c r="B25" s="248">
        <v>0.5</v>
      </c>
      <c r="C25" s="243" t="s">
        <v>296</v>
      </c>
      <c r="D25" s="244"/>
      <c r="E25" s="245"/>
      <c r="F25" s="245"/>
      <c r="G25" s="302"/>
      <c r="H25" s="247"/>
    </row>
    <row r="26" spans="1:8">
      <c r="A26" s="243">
        <v>2</v>
      </c>
      <c r="B26" s="243"/>
      <c r="C26" s="243" t="s">
        <v>4</v>
      </c>
      <c r="D26" s="244">
        <f ca="1">EDATE(D24,1)</f>
        <v>44034</v>
      </c>
      <c r="E26" s="245">
        <f t="shared" ref="E26:E57" si="0">($D$17*50%)/60</f>
        <v>60040.795333333328</v>
      </c>
      <c r="F26" s="245">
        <f>($D$18*50%)/60</f>
        <v>2680.3926488095235</v>
      </c>
      <c r="G26" s="300">
        <f>+SUM(E26:F26)</f>
        <v>62721.187982142852</v>
      </c>
      <c r="H26" s="247">
        <f>H24-G26</f>
        <v>3700550.0909464285</v>
      </c>
    </row>
    <row r="27" spans="1:8">
      <c r="A27" s="243">
        <v>3</v>
      </c>
      <c r="B27" s="243"/>
      <c r="C27" s="243" t="s">
        <v>5</v>
      </c>
      <c r="D27" s="244">
        <f t="shared" ref="D27:D85" ca="1" si="1">EDATE(D26,1)</f>
        <v>44065</v>
      </c>
      <c r="E27" s="245">
        <f t="shared" si="0"/>
        <v>60040.795333333328</v>
      </c>
      <c r="F27" s="245">
        <f t="shared" ref="F27:F85" si="2">($D$18*50%)/60</f>
        <v>2680.3926488095235</v>
      </c>
      <c r="G27" s="300">
        <f t="shared" ref="G27:G85" si="3">+SUM(E27:F27)</f>
        <v>62721.187982142852</v>
      </c>
      <c r="H27" s="247">
        <f>H26-G27</f>
        <v>3637828.9029642856</v>
      </c>
    </row>
    <row r="28" spans="1:8">
      <c r="A28" s="243">
        <v>4</v>
      </c>
      <c r="B28" s="243"/>
      <c r="C28" s="243" t="s">
        <v>6</v>
      </c>
      <c r="D28" s="244">
        <f t="shared" ca="1" si="1"/>
        <v>44096</v>
      </c>
      <c r="E28" s="245">
        <f t="shared" si="0"/>
        <v>60040.795333333328</v>
      </c>
      <c r="F28" s="245">
        <f t="shared" si="2"/>
        <v>2680.3926488095235</v>
      </c>
      <c r="G28" s="300">
        <f t="shared" si="3"/>
        <v>62721.187982142852</v>
      </c>
      <c r="H28" s="247">
        <f t="shared" ref="H28:H85" si="4">H27-G28</f>
        <v>3575107.7149821427</v>
      </c>
    </row>
    <row r="29" spans="1:8">
      <c r="A29" s="243">
        <v>5</v>
      </c>
      <c r="B29" s="243"/>
      <c r="C29" s="243" t="s">
        <v>7</v>
      </c>
      <c r="D29" s="244">
        <f t="shared" ca="1" si="1"/>
        <v>44126</v>
      </c>
      <c r="E29" s="245">
        <f t="shared" si="0"/>
        <v>60040.795333333328</v>
      </c>
      <c r="F29" s="245">
        <f t="shared" si="2"/>
        <v>2680.3926488095235</v>
      </c>
      <c r="G29" s="300">
        <f t="shared" si="3"/>
        <v>62721.187982142852</v>
      </c>
      <c r="H29" s="247">
        <f t="shared" si="4"/>
        <v>3512386.5269999998</v>
      </c>
    </row>
    <row r="30" spans="1:8">
      <c r="A30" s="243">
        <v>6</v>
      </c>
      <c r="B30" s="243"/>
      <c r="C30" s="243" t="s">
        <v>8</v>
      </c>
      <c r="D30" s="244">
        <f t="shared" ca="1" si="1"/>
        <v>44157</v>
      </c>
      <c r="E30" s="245">
        <f t="shared" si="0"/>
        <v>60040.795333333328</v>
      </c>
      <c r="F30" s="245">
        <f t="shared" si="2"/>
        <v>2680.3926488095235</v>
      </c>
      <c r="G30" s="300">
        <f t="shared" si="3"/>
        <v>62721.187982142852</v>
      </c>
      <c r="H30" s="247">
        <f t="shared" si="4"/>
        <v>3449665.3390178569</v>
      </c>
    </row>
    <row r="31" spans="1:8">
      <c r="A31" s="243">
        <v>7</v>
      </c>
      <c r="B31" s="243"/>
      <c r="C31" s="243" t="s">
        <v>9</v>
      </c>
      <c r="D31" s="244">
        <f ca="1">EDATE(D30,1)</f>
        <v>44187</v>
      </c>
      <c r="E31" s="245">
        <f t="shared" si="0"/>
        <v>60040.795333333328</v>
      </c>
      <c r="F31" s="245">
        <f t="shared" si="2"/>
        <v>2680.3926488095235</v>
      </c>
      <c r="G31" s="300">
        <f t="shared" si="3"/>
        <v>62721.187982142852</v>
      </c>
      <c r="H31" s="247">
        <f t="shared" si="4"/>
        <v>3386944.151035714</v>
      </c>
    </row>
    <row r="32" spans="1:8">
      <c r="A32" s="243">
        <v>8</v>
      </c>
      <c r="B32" s="243"/>
      <c r="C32" s="243" t="s">
        <v>10</v>
      </c>
      <c r="D32" s="244">
        <f t="shared" ca="1" si="1"/>
        <v>44218</v>
      </c>
      <c r="E32" s="245">
        <f t="shared" si="0"/>
        <v>60040.795333333328</v>
      </c>
      <c r="F32" s="245">
        <f t="shared" si="2"/>
        <v>2680.3926488095235</v>
      </c>
      <c r="G32" s="300">
        <f t="shared" si="3"/>
        <v>62721.187982142852</v>
      </c>
      <c r="H32" s="247">
        <f t="shared" si="4"/>
        <v>3324222.9630535711</v>
      </c>
    </row>
    <row r="33" spans="1:8">
      <c r="A33" s="243">
        <v>9</v>
      </c>
      <c r="B33" s="243"/>
      <c r="C33" s="243" t="s">
        <v>11</v>
      </c>
      <c r="D33" s="244">
        <f t="shared" ca="1" si="1"/>
        <v>44249</v>
      </c>
      <c r="E33" s="245">
        <f t="shared" si="0"/>
        <v>60040.795333333328</v>
      </c>
      <c r="F33" s="245">
        <f t="shared" si="2"/>
        <v>2680.3926488095235</v>
      </c>
      <c r="G33" s="300">
        <f t="shared" si="3"/>
        <v>62721.187982142852</v>
      </c>
      <c r="H33" s="247">
        <f t="shared" si="4"/>
        <v>3261501.7750714282</v>
      </c>
    </row>
    <row r="34" spans="1:8">
      <c r="A34" s="243">
        <v>10</v>
      </c>
      <c r="B34" s="243"/>
      <c r="C34" s="243" t="s">
        <v>12</v>
      </c>
      <c r="D34" s="244">
        <f t="shared" ca="1" si="1"/>
        <v>44277</v>
      </c>
      <c r="E34" s="245">
        <f t="shared" si="0"/>
        <v>60040.795333333328</v>
      </c>
      <c r="F34" s="245">
        <f t="shared" si="2"/>
        <v>2680.3926488095235</v>
      </c>
      <c r="G34" s="300">
        <f t="shared" si="3"/>
        <v>62721.187982142852</v>
      </c>
      <c r="H34" s="247">
        <f t="shared" si="4"/>
        <v>3198780.5870892853</v>
      </c>
    </row>
    <row r="35" spans="1:8">
      <c r="A35" s="243">
        <v>11</v>
      </c>
      <c r="B35" s="243"/>
      <c r="C35" s="243" t="s">
        <v>13</v>
      </c>
      <c r="D35" s="244">
        <f t="shared" ca="1" si="1"/>
        <v>44308</v>
      </c>
      <c r="E35" s="245">
        <f t="shared" si="0"/>
        <v>60040.795333333328</v>
      </c>
      <c r="F35" s="245">
        <f t="shared" si="2"/>
        <v>2680.3926488095235</v>
      </c>
      <c r="G35" s="300">
        <f t="shared" si="3"/>
        <v>62721.187982142852</v>
      </c>
      <c r="H35" s="247">
        <f t="shared" si="4"/>
        <v>3136059.3991071424</v>
      </c>
    </row>
    <row r="36" spans="1:8">
      <c r="A36" s="243">
        <v>12</v>
      </c>
      <c r="B36" s="243"/>
      <c r="C36" s="243" t="s">
        <v>14</v>
      </c>
      <c r="D36" s="244">
        <f t="shared" ca="1" si="1"/>
        <v>44338</v>
      </c>
      <c r="E36" s="245">
        <f t="shared" si="0"/>
        <v>60040.795333333328</v>
      </c>
      <c r="F36" s="245">
        <f t="shared" si="2"/>
        <v>2680.3926488095235</v>
      </c>
      <c r="G36" s="300">
        <f t="shared" si="3"/>
        <v>62721.187982142852</v>
      </c>
      <c r="H36" s="247">
        <f t="shared" si="4"/>
        <v>3073338.2111249994</v>
      </c>
    </row>
    <row r="37" spans="1:8">
      <c r="A37" s="243">
        <v>13</v>
      </c>
      <c r="B37" s="243"/>
      <c r="C37" s="243" t="s">
        <v>15</v>
      </c>
      <c r="D37" s="244">
        <f t="shared" ca="1" si="1"/>
        <v>44369</v>
      </c>
      <c r="E37" s="245">
        <f t="shared" si="0"/>
        <v>60040.795333333328</v>
      </c>
      <c r="F37" s="245">
        <f t="shared" si="2"/>
        <v>2680.3926488095235</v>
      </c>
      <c r="G37" s="300">
        <f t="shared" si="3"/>
        <v>62721.187982142852</v>
      </c>
      <c r="H37" s="247">
        <f t="shared" si="4"/>
        <v>3010617.0231428565</v>
      </c>
    </row>
    <row r="38" spans="1:8">
      <c r="A38" s="243">
        <v>14</v>
      </c>
      <c r="B38" s="243"/>
      <c r="C38" s="243" t="s">
        <v>19</v>
      </c>
      <c r="D38" s="244">
        <f t="shared" ca="1" si="1"/>
        <v>44399</v>
      </c>
      <c r="E38" s="245">
        <f t="shared" si="0"/>
        <v>60040.795333333328</v>
      </c>
      <c r="F38" s="245">
        <f t="shared" si="2"/>
        <v>2680.3926488095235</v>
      </c>
      <c r="G38" s="300">
        <f t="shared" si="3"/>
        <v>62721.187982142852</v>
      </c>
      <c r="H38" s="247">
        <f t="shared" si="4"/>
        <v>2947895.8351607136</v>
      </c>
    </row>
    <row r="39" spans="1:8">
      <c r="A39" s="243">
        <v>15</v>
      </c>
      <c r="B39" s="243"/>
      <c r="C39" s="243" t="s">
        <v>20</v>
      </c>
      <c r="D39" s="244">
        <f t="shared" ca="1" si="1"/>
        <v>44430</v>
      </c>
      <c r="E39" s="245">
        <f t="shared" si="0"/>
        <v>60040.795333333328</v>
      </c>
      <c r="F39" s="245">
        <f t="shared" si="2"/>
        <v>2680.3926488095235</v>
      </c>
      <c r="G39" s="300">
        <f t="shared" si="3"/>
        <v>62721.187982142852</v>
      </c>
      <c r="H39" s="247">
        <f t="shared" si="4"/>
        <v>2885174.6471785707</v>
      </c>
    </row>
    <row r="40" spans="1:8">
      <c r="A40" s="243">
        <v>16</v>
      </c>
      <c r="B40" s="243"/>
      <c r="C40" s="243" t="s">
        <v>21</v>
      </c>
      <c r="D40" s="244">
        <f t="shared" ca="1" si="1"/>
        <v>44461</v>
      </c>
      <c r="E40" s="245">
        <f t="shared" si="0"/>
        <v>60040.795333333328</v>
      </c>
      <c r="F40" s="245">
        <f t="shared" si="2"/>
        <v>2680.3926488095235</v>
      </c>
      <c r="G40" s="300">
        <f t="shared" si="3"/>
        <v>62721.187982142852</v>
      </c>
      <c r="H40" s="247">
        <f t="shared" si="4"/>
        <v>2822453.4591964278</v>
      </c>
    </row>
    <row r="41" spans="1:8">
      <c r="A41" s="243">
        <v>17</v>
      </c>
      <c r="B41" s="243"/>
      <c r="C41" s="243" t="s">
        <v>22</v>
      </c>
      <c r="D41" s="244">
        <f t="shared" ca="1" si="1"/>
        <v>44491</v>
      </c>
      <c r="E41" s="245">
        <f t="shared" si="0"/>
        <v>60040.795333333328</v>
      </c>
      <c r="F41" s="245">
        <f t="shared" si="2"/>
        <v>2680.3926488095235</v>
      </c>
      <c r="G41" s="300">
        <f t="shared" si="3"/>
        <v>62721.187982142852</v>
      </c>
      <c r="H41" s="247">
        <f t="shared" si="4"/>
        <v>2759732.2712142849</v>
      </c>
    </row>
    <row r="42" spans="1:8">
      <c r="A42" s="243">
        <v>18</v>
      </c>
      <c r="B42" s="243"/>
      <c r="C42" s="243" t="s">
        <v>23</v>
      </c>
      <c r="D42" s="244">
        <f t="shared" ca="1" si="1"/>
        <v>44522</v>
      </c>
      <c r="E42" s="245">
        <f t="shared" si="0"/>
        <v>60040.795333333328</v>
      </c>
      <c r="F42" s="245">
        <f t="shared" si="2"/>
        <v>2680.3926488095235</v>
      </c>
      <c r="G42" s="300">
        <f t="shared" si="3"/>
        <v>62721.187982142852</v>
      </c>
      <c r="H42" s="247">
        <f t="shared" si="4"/>
        <v>2697011.083232142</v>
      </c>
    </row>
    <row r="43" spans="1:8">
      <c r="A43" s="243">
        <v>19</v>
      </c>
      <c r="B43" s="243"/>
      <c r="C43" s="243" t="s">
        <v>24</v>
      </c>
      <c r="D43" s="244">
        <f t="shared" ca="1" si="1"/>
        <v>44552</v>
      </c>
      <c r="E43" s="245">
        <f t="shared" si="0"/>
        <v>60040.795333333328</v>
      </c>
      <c r="F43" s="245">
        <f t="shared" si="2"/>
        <v>2680.3926488095235</v>
      </c>
      <c r="G43" s="300">
        <f t="shared" si="3"/>
        <v>62721.187982142852</v>
      </c>
      <c r="H43" s="247">
        <f t="shared" si="4"/>
        <v>2634289.8952499991</v>
      </c>
    </row>
    <row r="44" spans="1:8">
      <c r="A44" s="243">
        <v>20</v>
      </c>
      <c r="B44" s="243"/>
      <c r="C44" s="243" t="s">
        <v>25</v>
      </c>
      <c r="D44" s="244">
        <f t="shared" ca="1" si="1"/>
        <v>44583</v>
      </c>
      <c r="E44" s="245">
        <f t="shared" si="0"/>
        <v>60040.795333333328</v>
      </c>
      <c r="F44" s="245">
        <f t="shared" si="2"/>
        <v>2680.3926488095235</v>
      </c>
      <c r="G44" s="300">
        <f t="shared" si="3"/>
        <v>62721.187982142852</v>
      </c>
      <c r="H44" s="247">
        <f t="shared" si="4"/>
        <v>2571568.7072678562</v>
      </c>
    </row>
    <row r="45" spans="1:8">
      <c r="A45" s="243">
        <v>21</v>
      </c>
      <c r="B45" s="243"/>
      <c r="C45" s="243" t="s">
        <v>26</v>
      </c>
      <c r="D45" s="244">
        <f t="shared" ca="1" si="1"/>
        <v>44614</v>
      </c>
      <c r="E45" s="245">
        <f t="shared" si="0"/>
        <v>60040.795333333328</v>
      </c>
      <c r="F45" s="245">
        <f t="shared" si="2"/>
        <v>2680.3926488095235</v>
      </c>
      <c r="G45" s="300">
        <f t="shared" si="3"/>
        <v>62721.187982142852</v>
      </c>
      <c r="H45" s="247">
        <f t="shared" si="4"/>
        <v>2508847.5192857133</v>
      </c>
    </row>
    <row r="46" spans="1:8">
      <c r="A46" s="243">
        <v>22</v>
      </c>
      <c r="B46" s="243"/>
      <c r="C46" s="243" t="s">
        <v>27</v>
      </c>
      <c r="D46" s="244">
        <f t="shared" ca="1" si="1"/>
        <v>44642</v>
      </c>
      <c r="E46" s="245">
        <f t="shared" si="0"/>
        <v>60040.795333333328</v>
      </c>
      <c r="F46" s="245">
        <f t="shared" si="2"/>
        <v>2680.3926488095235</v>
      </c>
      <c r="G46" s="300">
        <f t="shared" si="3"/>
        <v>62721.187982142852</v>
      </c>
      <c r="H46" s="247">
        <f t="shared" si="4"/>
        <v>2446126.3313035704</v>
      </c>
    </row>
    <row r="47" spans="1:8">
      <c r="A47" s="243">
        <v>23</v>
      </c>
      <c r="B47" s="243"/>
      <c r="C47" s="243" t="s">
        <v>28</v>
      </c>
      <c r="D47" s="244">
        <f t="shared" ca="1" si="1"/>
        <v>44673</v>
      </c>
      <c r="E47" s="245">
        <f t="shared" si="0"/>
        <v>60040.795333333328</v>
      </c>
      <c r="F47" s="245">
        <f t="shared" si="2"/>
        <v>2680.3926488095235</v>
      </c>
      <c r="G47" s="300">
        <f t="shared" si="3"/>
        <v>62721.187982142852</v>
      </c>
      <c r="H47" s="247">
        <f t="shared" si="4"/>
        <v>2383405.1433214275</v>
      </c>
    </row>
    <row r="48" spans="1:8">
      <c r="A48" s="243">
        <v>24</v>
      </c>
      <c r="B48" s="243"/>
      <c r="C48" s="243" t="s">
        <v>29</v>
      </c>
      <c r="D48" s="244">
        <f t="shared" ca="1" si="1"/>
        <v>44703</v>
      </c>
      <c r="E48" s="245">
        <f t="shared" si="0"/>
        <v>60040.795333333328</v>
      </c>
      <c r="F48" s="245">
        <f t="shared" si="2"/>
        <v>2680.3926488095235</v>
      </c>
      <c r="G48" s="300">
        <f t="shared" si="3"/>
        <v>62721.187982142852</v>
      </c>
      <c r="H48" s="247">
        <f t="shared" si="4"/>
        <v>2320683.9553392846</v>
      </c>
    </row>
    <row r="49" spans="1:8">
      <c r="A49" s="243">
        <v>25</v>
      </c>
      <c r="B49" s="243"/>
      <c r="C49" s="243" t="s">
        <v>30</v>
      </c>
      <c r="D49" s="244">
        <f t="shared" ca="1" si="1"/>
        <v>44734</v>
      </c>
      <c r="E49" s="245">
        <f t="shared" si="0"/>
        <v>60040.795333333328</v>
      </c>
      <c r="F49" s="245">
        <f t="shared" si="2"/>
        <v>2680.3926488095235</v>
      </c>
      <c r="G49" s="300">
        <f t="shared" si="3"/>
        <v>62721.187982142852</v>
      </c>
      <c r="H49" s="247">
        <f t="shared" si="4"/>
        <v>2257962.7673571417</v>
      </c>
    </row>
    <row r="50" spans="1:8">
      <c r="A50" s="243">
        <v>26</v>
      </c>
      <c r="B50" s="243"/>
      <c r="C50" s="243" t="s">
        <v>48</v>
      </c>
      <c r="D50" s="244">
        <f t="shared" ca="1" si="1"/>
        <v>44764</v>
      </c>
      <c r="E50" s="245">
        <f t="shared" si="0"/>
        <v>60040.795333333328</v>
      </c>
      <c r="F50" s="245">
        <f t="shared" si="2"/>
        <v>2680.3926488095235</v>
      </c>
      <c r="G50" s="300">
        <f t="shared" si="3"/>
        <v>62721.187982142852</v>
      </c>
      <c r="H50" s="247">
        <f t="shared" si="4"/>
        <v>2195241.5793749988</v>
      </c>
    </row>
    <row r="51" spans="1:8">
      <c r="A51" s="243">
        <v>27</v>
      </c>
      <c r="B51" s="243"/>
      <c r="C51" s="243" t="s">
        <v>49</v>
      </c>
      <c r="D51" s="244">
        <f t="shared" ca="1" si="1"/>
        <v>44795</v>
      </c>
      <c r="E51" s="245">
        <f t="shared" si="0"/>
        <v>60040.795333333328</v>
      </c>
      <c r="F51" s="245">
        <f t="shared" si="2"/>
        <v>2680.3926488095235</v>
      </c>
      <c r="G51" s="300">
        <f t="shared" si="3"/>
        <v>62721.187982142852</v>
      </c>
      <c r="H51" s="247">
        <f t="shared" si="4"/>
        <v>2132520.3913928559</v>
      </c>
    </row>
    <row r="52" spans="1:8">
      <c r="A52" s="243">
        <v>28</v>
      </c>
      <c r="B52" s="243"/>
      <c r="C52" s="243" t="s">
        <v>50</v>
      </c>
      <c r="D52" s="244">
        <f t="shared" ca="1" si="1"/>
        <v>44826</v>
      </c>
      <c r="E52" s="245">
        <f t="shared" si="0"/>
        <v>60040.795333333328</v>
      </c>
      <c r="F52" s="245">
        <f t="shared" si="2"/>
        <v>2680.3926488095235</v>
      </c>
      <c r="G52" s="300">
        <f t="shared" si="3"/>
        <v>62721.187982142852</v>
      </c>
      <c r="H52" s="247">
        <f t="shared" si="4"/>
        <v>2069799.203410713</v>
      </c>
    </row>
    <row r="53" spans="1:8">
      <c r="A53" s="243">
        <v>29</v>
      </c>
      <c r="B53" s="243"/>
      <c r="C53" s="243" t="s">
        <v>51</v>
      </c>
      <c r="D53" s="244">
        <f t="shared" ca="1" si="1"/>
        <v>44856</v>
      </c>
      <c r="E53" s="245">
        <f t="shared" si="0"/>
        <v>60040.795333333328</v>
      </c>
      <c r="F53" s="245">
        <f t="shared" si="2"/>
        <v>2680.3926488095235</v>
      </c>
      <c r="G53" s="300">
        <f t="shared" si="3"/>
        <v>62721.187982142852</v>
      </c>
      <c r="H53" s="247">
        <f t="shared" si="4"/>
        <v>2007078.0154285701</v>
      </c>
    </row>
    <row r="54" spans="1:8">
      <c r="A54" s="243">
        <v>30</v>
      </c>
      <c r="B54" s="243"/>
      <c r="C54" s="243" t="s">
        <v>52</v>
      </c>
      <c r="D54" s="244">
        <f t="shared" ca="1" si="1"/>
        <v>44887</v>
      </c>
      <c r="E54" s="245">
        <f t="shared" si="0"/>
        <v>60040.795333333328</v>
      </c>
      <c r="F54" s="245">
        <f t="shared" si="2"/>
        <v>2680.3926488095235</v>
      </c>
      <c r="G54" s="300">
        <f t="shared" si="3"/>
        <v>62721.187982142852</v>
      </c>
      <c r="H54" s="247">
        <f t="shared" si="4"/>
        <v>1944356.8274464272</v>
      </c>
    </row>
    <row r="55" spans="1:8">
      <c r="A55" s="243">
        <v>31</v>
      </c>
      <c r="B55" s="243"/>
      <c r="C55" s="243" t="s">
        <v>53</v>
      </c>
      <c r="D55" s="244">
        <f t="shared" ca="1" si="1"/>
        <v>44917</v>
      </c>
      <c r="E55" s="245">
        <f t="shared" si="0"/>
        <v>60040.795333333328</v>
      </c>
      <c r="F55" s="245">
        <f t="shared" si="2"/>
        <v>2680.3926488095235</v>
      </c>
      <c r="G55" s="300">
        <f t="shared" si="3"/>
        <v>62721.187982142852</v>
      </c>
      <c r="H55" s="247">
        <f t="shared" si="4"/>
        <v>1881635.6394642843</v>
      </c>
    </row>
    <row r="56" spans="1:8">
      <c r="A56" s="243">
        <v>32</v>
      </c>
      <c r="B56" s="243"/>
      <c r="C56" s="243" t="s">
        <v>93</v>
      </c>
      <c r="D56" s="244">
        <f t="shared" ca="1" si="1"/>
        <v>44948</v>
      </c>
      <c r="E56" s="245">
        <f t="shared" si="0"/>
        <v>60040.795333333328</v>
      </c>
      <c r="F56" s="245">
        <f t="shared" si="2"/>
        <v>2680.3926488095235</v>
      </c>
      <c r="G56" s="300">
        <f t="shared" si="3"/>
        <v>62721.187982142852</v>
      </c>
      <c r="H56" s="247">
        <f t="shared" si="4"/>
        <v>1818914.4514821414</v>
      </c>
    </row>
    <row r="57" spans="1:8">
      <c r="A57" s="243">
        <v>33</v>
      </c>
      <c r="B57" s="243"/>
      <c r="C57" s="243" t="s">
        <v>94</v>
      </c>
      <c r="D57" s="244">
        <f t="shared" ca="1" si="1"/>
        <v>44979</v>
      </c>
      <c r="E57" s="245">
        <f t="shared" si="0"/>
        <v>60040.795333333328</v>
      </c>
      <c r="F57" s="245">
        <f t="shared" si="2"/>
        <v>2680.3926488095235</v>
      </c>
      <c r="G57" s="300">
        <f t="shared" si="3"/>
        <v>62721.187982142852</v>
      </c>
      <c r="H57" s="247">
        <f t="shared" si="4"/>
        <v>1756193.2634999985</v>
      </c>
    </row>
    <row r="58" spans="1:8">
      <c r="A58" s="243">
        <v>34</v>
      </c>
      <c r="B58" s="243"/>
      <c r="C58" s="243" t="s">
        <v>95</v>
      </c>
      <c r="D58" s="244">
        <f t="shared" ca="1" si="1"/>
        <v>45007</v>
      </c>
      <c r="E58" s="245">
        <f t="shared" ref="E58:E85" si="5">($D$17*50%)/60</f>
        <v>60040.795333333328</v>
      </c>
      <c r="F58" s="245">
        <f t="shared" si="2"/>
        <v>2680.3926488095235</v>
      </c>
      <c r="G58" s="300">
        <f t="shared" si="3"/>
        <v>62721.187982142852</v>
      </c>
      <c r="H58" s="247">
        <f t="shared" si="4"/>
        <v>1693472.0755178556</v>
      </c>
    </row>
    <row r="59" spans="1:8">
      <c r="A59" s="243">
        <v>35</v>
      </c>
      <c r="B59" s="243"/>
      <c r="C59" s="243" t="s">
        <v>96</v>
      </c>
      <c r="D59" s="244">
        <f t="shared" ca="1" si="1"/>
        <v>45038</v>
      </c>
      <c r="E59" s="245">
        <f t="shared" si="5"/>
        <v>60040.795333333328</v>
      </c>
      <c r="F59" s="245">
        <f t="shared" si="2"/>
        <v>2680.3926488095235</v>
      </c>
      <c r="G59" s="300">
        <f t="shared" si="3"/>
        <v>62721.187982142852</v>
      </c>
      <c r="H59" s="247">
        <f t="shared" si="4"/>
        <v>1630750.8875357127</v>
      </c>
    </row>
    <row r="60" spans="1:8">
      <c r="A60" s="243">
        <v>36</v>
      </c>
      <c r="B60" s="243"/>
      <c r="C60" s="243" t="s">
        <v>97</v>
      </c>
      <c r="D60" s="244">
        <f t="shared" ca="1" si="1"/>
        <v>45068</v>
      </c>
      <c r="E60" s="245">
        <f t="shared" si="5"/>
        <v>60040.795333333328</v>
      </c>
      <c r="F60" s="245">
        <f t="shared" si="2"/>
        <v>2680.3926488095235</v>
      </c>
      <c r="G60" s="300">
        <f t="shared" si="3"/>
        <v>62721.187982142852</v>
      </c>
      <c r="H60" s="247">
        <f t="shared" si="4"/>
        <v>1568029.6995535698</v>
      </c>
    </row>
    <row r="61" spans="1:8">
      <c r="A61" s="243">
        <v>37</v>
      </c>
      <c r="B61" s="243"/>
      <c r="C61" s="243" t="s">
        <v>98</v>
      </c>
      <c r="D61" s="244">
        <f t="shared" ca="1" si="1"/>
        <v>45099</v>
      </c>
      <c r="E61" s="245">
        <f t="shared" si="5"/>
        <v>60040.795333333328</v>
      </c>
      <c r="F61" s="245">
        <f t="shared" si="2"/>
        <v>2680.3926488095235</v>
      </c>
      <c r="G61" s="300">
        <f t="shared" si="3"/>
        <v>62721.187982142852</v>
      </c>
      <c r="H61" s="247">
        <f t="shared" si="4"/>
        <v>1505308.5115714269</v>
      </c>
    </row>
    <row r="62" spans="1:8">
      <c r="A62" s="243">
        <v>38</v>
      </c>
      <c r="B62" s="243"/>
      <c r="C62" s="243" t="s">
        <v>99</v>
      </c>
      <c r="D62" s="244">
        <f t="shared" ca="1" si="1"/>
        <v>45129</v>
      </c>
      <c r="E62" s="245">
        <f t="shared" si="5"/>
        <v>60040.795333333328</v>
      </c>
      <c r="F62" s="245">
        <f t="shared" si="2"/>
        <v>2680.3926488095235</v>
      </c>
      <c r="G62" s="300">
        <f t="shared" si="3"/>
        <v>62721.187982142852</v>
      </c>
      <c r="H62" s="247">
        <f t="shared" si="4"/>
        <v>1442587.323589284</v>
      </c>
    </row>
    <row r="63" spans="1:8">
      <c r="A63" s="243">
        <v>39</v>
      </c>
      <c r="B63" s="243"/>
      <c r="C63" s="243" t="s">
        <v>100</v>
      </c>
      <c r="D63" s="244">
        <f t="shared" ca="1" si="1"/>
        <v>45160</v>
      </c>
      <c r="E63" s="245">
        <f t="shared" si="5"/>
        <v>60040.795333333328</v>
      </c>
      <c r="F63" s="245">
        <f t="shared" si="2"/>
        <v>2680.3926488095235</v>
      </c>
      <c r="G63" s="300">
        <f t="shared" si="3"/>
        <v>62721.187982142852</v>
      </c>
      <c r="H63" s="247">
        <f t="shared" si="4"/>
        <v>1379866.1356071411</v>
      </c>
    </row>
    <row r="64" spans="1:8">
      <c r="A64" s="243">
        <v>40</v>
      </c>
      <c r="B64" s="243"/>
      <c r="C64" s="243" t="s">
        <v>101</v>
      </c>
      <c r="D64" s="244">
        <f t="shared" ca="1" si="1"/>
        <v>45191</v>
      </c>
      <c r="E64" s="245">
        <f t="shared" si="5"/>
        <v>60040.795333333328</v>
      </c>
      <c r="F64" s="245">
        <f t="shared" si="2"/>
        <v>2680.3926488095235</v>
      </c>
      <c r="G64" s="300">
        <f t="shared" si="3"/>
        <v>62721.187982142852</v>
      </c>
      <c r="H64" s="247">
        <f t="shared" si="4"/>
        <v>1317144.9476249982</v>
      </c>
    </row>
    <row r="65" spans="1:8">
      <c r="A65" s="243">
        <v>41</v>
      </c>
      <c r="B65" s="243"/>
      <c r="C65" s="243" t="s">
        <v>102</v>
      </c>
      <c r="D65" s="244">
        <f t="shared" ca="1" si="1"/>
        <v>45221</v>
      </c>
      <c r="E65" s="245">
        <f t="shared" si="5"/>
        <v>60040.795333333328</v>
      </c>
      <c r="F65" s="245">
        <f t="shared" si="2"/>
        <v>2680.3926488095235</v>
      </c>
      <c r="G65" s="300">
        <f t="shared" si="3"/>
        <v>62721.187982142852</v>
      </c>
      <c r="H65" s="247">
        <f t="shared" si="4"/>
        <v>1254423.7596428553</v>
      </c>
    </row>
    <row r="66" spans="1:8">
      <c r="A66" s="243">
        <v>42</v>
      </c>
      <c r="B66" s="243"/>
      <c r="C66" s="243" t="s">
        <v>103</v>
      </c>
      <c r="D66" s="244">
        <f t="shared" ca="1" si="1"/>
        <v>45252</v>
      </c>
      <c r="E66" s="245">
        <f t="shared" si="5"/>
        <v>60040.795333333328</v>
      </c>
      <c r="F66" s="245">
        <f t="shared" si="2"/>
        <v>2680.3926488095235</v>
      </c>
      <c r="G66" s="300">
        <f t="shared" si="3"/>
        <v>62721.187982142852</v>
      </c>
      <c r="H66" s="247">
        <f t="shared" si="4"/>
        <v>1191702.5716607124</v>
      </c>
    </row>
    <row r="67" spans="1:8">
      <c r="A67" s="243">
        <v>43</v>
      </c>
      <c r="B67" s="243"/>
      <c r="C67" s="243" t="s">
        <v>104</v>
      </c>
      <c r="D67" s="244">
        <f t="shared" ca="1" si="1"/>
        <v>45282</v>
      </c>
      <c r="E67" s="245">
        <f t="shared" si="5"/>
        <v>60040.795333333328</v>
      </c>
      <c r="F67" s="245">
        <f t="shared" si="2"/>
        <v>2680.3926488095235</v>
      </c>
      <c r="G67" s="300">
        <f t="shared" si="3"/>
        <v>62721.187982142852</v>
      </c>
      <c r="H67" s="247">
        <f t="shared" si="4"/>
        <v>1128981.3836785695</v>
      </c>
    </row>
    <row r="68" spans="1:8">
      <c r="A68" s="243">
        <v>44</v>
      </c>
      <c r="B68" s="243"/>
      <c r="C68" s="243" t="s">
        <v>105</v>
      </c>
      <c r="D68" s="244">
        <f t="shared" ca="1" si="1"/>
        <v>45313</v>
      </c>
      <c r="E68" s="245">
        <f t="shared" si="5"/>
        <v>60040.795333333328</v>
      </c>
      <c r="F68" s="245">
        <f t="shared" si="2"/>
        <v>2680.3926488095235</v>
      </c>
      <c r="G68" s="300">
        <f t="shared" si="3"/>
        <v>62721.187982142852</v>
      </c>
      <c r="H68" s="247">
        <f t="shared" si="4"/>
        <v>1066260.1956964266</v>
      </c>
    </row>
    <row r="69" spans="1:8">
      <c r="A69" s="243">
        <v>45</v>
      </c>
      <c r="B69" s="243"/>
      <c r="C69" s="243" t="s">
        <v>106</v>
      </c>
      <c r="D69" s="244">
        <f t="shared" ca="1" si="1"/>
        <v>45344</v>
      </c>
      <c r="E69" s="245">
        <f t="shared" si="5"/>
        <v>60040.795333333328</v>
      </c>
      <c r="F69" s="245">
        <f t="shared" si="2"/>
        <v>2680.3926488095235</v>
      </c>
      <c r="G69" s="300">
        <f t="shared" si="3"/>
        <v>62721.187982142852</v>
      </c>
      <c r="H69" s="247">
        <f t="shared" si="4"/>
        <v>1003539.0077142837</v>
      </c>
    </row>
    <row r="70" spans="1:8">
      <c r="A70" s="243">
        <v>46</v>
      </c>
      <c r="B70" s="243"/>
      <c r="C70" s="243" t="s">
        <v>107</v>
      </c>
      <c r="D70" s="244">
        <f t="shared" ca="1" si="1"/>
        <v>45373</v>
      </c>
      <c r="E70" s="245">
        <f t="shared" si="5"/>
        <v>60040.795333333328</v>
      </c>
      <c r="F70" s="245">
        <f t="shared" si="2"/>
        <v>2680.3926488095235</v>
      </c>
      <c r="G70" s="300">
        <f t="shared" si="3"/>
        <v>62721.187982142852</v>
      </c>
      <c r="H70" s="247">
        <f t="shared" si="4"/>
        <v>940817.81973214075</v>
      </c>
    </row>
    <row r="71" spans="1:8">
      <c r="A71" s="243">
        <v>47</v>
      </c>
      <c r="B71" s="243"/>
      <c r="C71" s="243" t="s">
        <v>108</v>
      </c>
      <c r="D71" s="244">
        <f t="shared" ca="1" si="1"/>
        <v>45404</v>
      </c>
      <c r="E71" s="245">
        <f t="shared" si="5"/>
        <v>60040.795333333328</v>
      </c>
      <c r="F71" s="245">
        <f t="shared" si="2"/>
        <v>2680.3926488095235</v>
      </c>
      <c r="G71" s="300">
        <f t="shared" si="3"/>
        <v>62721.187982142852</v>
      </c>
      <c r="H71" s="247">
        <f t="shared" si="4"/>
        <v>878096.63174999785</v>
      </c>
    </row>
    <row r="72" spans="1:8">
      <c r="A72" s="243">
        <v>48</v>
      </c>
      <c r="B72" s="243"/>
      <c r="C72" s="243" t="s">
        <v>109</v>
      </c>
      <c r="D72" s="244">
        <f t="shared" ca="1" si="1"/>
        <v>45434</v>
      </c>
      <c r="E72" s="245">
        <f t="shared" si="5"/>
        <v>60040.795333333328</v>
      </c>
      <c r="F72" s="245">
        <f t="shared" si="2"/>
        <v>2680.3926488095235</v>
      </c>
      <c r="G72" s="300">
        <f t="shared" si="3"/>
        <v>62721.187982142852</v>
      </c>
      <c r="H72" s="247">
        <f t="shared" si="4"/>
        <v>815375.44376785494</v>
      </c>
    </row>
    <row r="73" spans="1:8">
      <c r="A73" s="243">
        <v>49</v>
      </c>
      <c r="B73" s="243"/>
      <c r="C73" s="243" t="s">
        <v>110</v>
      </c>
      <c r="D73" s="244">
        <f t="shared" ca="1" si="1"/>
        <v>45465</v>
      </c>
      <c r="E73" s="245">
        <f t="shared" si="5"/>
        <v>60040.795333333328</v>
      </c>
      <c r="F73" s="245">
        <f t="shared" si="2"/>
        <v>2680.3926488095235</v>
      </c>
      <c r="G73" s="300">
        <f t="shared" si="3"/>
        <v>62721.187982142852</v>
      </c>
      <c r="H73" s="247">
        <f t="shared" si="4"/>
        <v>752654.25578571204</v>
      </c>
    </row>
    <row r="74" spans="1:8">
      <c r="A74" s="243">
        <v>50</v>
      </c>
      <c r="B74" s="243"/>
      <c r="C74" s="243" t="s">
        <v>111</v>
      </c>
      <c r="D74" s="244">
        <f t="shared" ca="1" si="1"/>
        <v>45495</v>
      </c>
      <c r="E74" s="245">
        <f t="shared" si="5"/>
        <v>60040.795333333328</v>
      </c>
      <c r="F74" s="245">
        <f t="shared" si="2"/>
        <v>2680.3926488095235</v>
      </c>
      <c r="G74" s="300">
        <f t="shared" si="3"/>
        <v>62721.187982142852</v>
      </c>
      <c r="H74" s="247">
        <f t="shared" si="4"/>
        <v>689933.06780356914</v>
      </c>
    </row>
    <row r="75" spans="1:8">
      <c r="A75" s="243">
        <v>51</v>
      </c>
      <c r="B75" s="243"/>
      <c r="C75" s="243" t="s">
        <v>112</v>
      </c>
      <c r="D75" s="244">
        <f t="shared" ca="1" si="1"/>
        <v>45526</v>
      </c>
      <c r="E75" s="245">
        <f t="shared" si="5"/>
        <v>60040.795333333328</v>
      </c>
      <c r="F75" s="245">
        <f t="shared" si="2"/>
        <v>2680.3926488095235</v>
      </c>
      <c r="G75" s="300">
        <f t="shared" si="3"/>
        <v>62721.187982142852</v>
      </c>
      <c r="H75" s="247">
        <f t="shared" si="4"/>
        <v>627211.87982142624</v>
      </c>
    </row>
    <row r="76" spans="1:8">
      <c r="A76" s="243">
        <v>52</v>
      </c>
      <c r="B76" s="243"/>
      <c r="C76" s="243" t="s">
        <v>113</v>
      </c>
      <c r="D76" s="244">
        <f t="shared" ca="1" si="1"/>
        <v>45557</v>
      </c>
      <c r="E76" s="245">
        <f t="shared" si="5"/>
        <v>60040.795333333328</v>
      </c>
      <c r="F76" s="245">
        <f t="shared" si="2"/>
        <v>2680.3926488095235</v>
      </c>
      <c r="G76" s="300">
        <f t="shared" si="3"/>
        <v>62721.187982142852</v>
      </c>
      <c r="H76" s="247">
        <f t="shared" si="4"/>
        <v>564490.69183928333</v>
      </c>
    </row>
    <row r="77" spans="1:8">
      <c r="A77" s="243">
        <v>53</v>
      </c>
      <c r="B77" s="243"/>
      <c r="C77" s="243" t="s">
        <v>114</v>
      </c>
      <c r="D77" s="244">
        <f t="shared" ca="1" si="1"/>
        <v>45587</v>
      </c>
      <c r="E77" s="245">
        <f t="shared" si="5"/>
        <v>60040.795333333328</v>
      </c>
      <c r="F77" s="245">
        <f t="shared" si="2"/>
        <v>2680.3926488095235</v>
      </c>
      <c r="G77" s="300">
        <f t="shared" si="3"/>
        <v>62721.187982142852</v>
      </c>
      <c r="H77" s="247">
        <f t="shared" si="4"/>
        <v>501769.50385714049</v>
      </c>
    </row>
    <row r="78" spans="1:8">
      <c r="A78" s="243">
        <v>54</v>
      </c>
      <c r="B78" s="243"/>
      <c r="C78" s="243" t="s">
        <v>115</v>
      </c>
      <c r="D78" s="244">
        <f t="shared" ca="1" si="1"/>
        <v>45618</v>
      </c>
      <c r="E78" s="245">
        <f t="shared" si="5"/>
        <v>60040.795333333328</v>
      </c>
      <c r="F78" s="245">
        <f t="shared" si="2"/>
        <v>2680.3926488095235</v>
      </c>
      <c r="G78" s="300">
        <f t="shared" si="3"/>
        <v>62721.187982142852</v>
      </c>
      <c r="H78" s="247">
        <f t="shared" si="4"/>
        <v>439048.31587499764</v>
      </c>
    </row>
    <row r="79" spans="1:8">
      <c r="A79" s="243">
        <v>55</v>
      </c>
      <c r="B79" s="243"/>
      <c r="C79" s="243" t="s">
        <v>116</v>
      </c>
      <c r="D79" s="244">
        <f t="shared" ca="1" si="1"/>
        <v>45648</v>
      </c>
      <c r="E79" s="245">
        <f t="shared" si="5"/>
        <v>60040.795333333328</v>
      </c>
      <c r="F79" s="245">
        <f t="shared" si="2"/>
        <v>2680.3926488095235</v>
      </c>
      <c r="G79" s="300">
        <f t="shared" si="3"/>
        <v>62721.187982142852</v>
      </c>
      <c r="H79" s="247">
        <f t="shared" si="4"/>
        <v>376327.1278928548</v>
      </c>
    </row>
    <row r="80" spans="1:8">
      <c r="A80" s="243">
        <v>56</v>
      </c>
      <c r="B80" s="243"/>
      <c r="C80" s="243" t="s">
        <v>117</v>
      </c>
      <c r="D80" s="244">
        <f t="shared" ca="1" si="1"/>
        <v>45679</v>
      </c>
      <c r="E80" s="245">
        <f t="shared" si="5"/>
        <v>60040.795333333328</v>
      </c>
      <c r="F80" s="245">
        <f t="shared" si="2"/>
        <v>2680.3926488095235</v>
      </c>
      <c r="G80" s="300">
        <f t="shared" si="3"/>
        <v>62721.187982142852</v>
      </c>
      <c r="H80" s="247">
        <f t="shared" si="4"/>
        <v>313605.93991071195</v>
      </c>
    </row>
    <row r="81" spans="1:8">
      <c r="A81" s="243">
        <v>57</v>
      </c>
      <c r="B81" s="243"/>
      <c r="C81" s="243" t="s">
        <v>118</v>
      </c>
      <c r="D81" s="244">
        <f t="shared" ca="1" si="1"/>
        <v>45710</v>
      </c>
      <c r="E81" s="245">
        <f t="shared" si="5"/>
        <v>60040.795333333328</v>
      </c>
      <c r="F81" s="245">
        <f t="shared" si="2"/>
        <v>2680.3926488095235</v>
      </c>
      <c r="G81" s="300">
        <f t="shared" si="3"/>
        <v>62721.187982142852</v>
      </c>
      <c r="H81" s="247">
        <f t="shared" si="4"/>
        <v>250884.75192856911</v>
      </c>
    </row>
    <row r="82" spans="1:8">
      <c r="A82" s="243">
        <v>58</v>
      </c>
      <c r="B82" s="243"/>
      <c r="C82" s="243" t="s">
        <v>119</v>
      </c>
      <c r="D82" s="244">
        <f t="shared" ca="1" si="1"/>
        <v>45738</v>
      </c>
      <c r="E82" s="245">
        <f t="shared" si="5"/>
        <v>60040.795333333328</v>
      </c>
      <c r="F82" s="245">
        <f t="shared" si="2"/>
        <v>2680.3926488095235</v>
      </c>
      <c r="G82" s="300">
        <f t="shared" si="3"/>
        <v>62721.187982142852</v>
      </c>
      <c r="H82" s="247">
        <f t="shared" si="4"/>
        <v>188163.56394642626</v>
      </c>
    </row>
    <row r="83" spans="1:8">
      <c r="A83" s="243">
        <v>59</v>
      </c>
      <c r="B83" s="243"/>
      <c r="C83" s="243" t="s">
        <v>120</v>
      </c>
      <c r="D83" s="244">
        <f t="shared" ca="1" si="1"/>
        <v>45769</v>
      </c>
      <c r="E83" s="245">
        <f t="shared" si="5"/>
        <v>60040.795333333328</v>
      </c>
      <c r="F83" s="245">
        <f t="shared" si="2"/>
        <v>2680.3926488095235</v>
      </c>
      <c r="G83" s="300">
        <f t="shared" si="3"/>
        <v>62721.187982142852</v>
      </c>
      <c r="H83" s="247">
        <f t="shared" si="4"/>
        <v>125442.37596428342</v>
      </c>
    </row>
    <row r="84" spans="1:8">
      <c r="A84" s="243">
        <v>60</v>
      </c>
      <c r="B84" s="243"/>
      <c r="C84" s="243" t="s">
        <v>121</v>
      </c>
      <c r="D84" s="244">
        <f t="shared" ca="1" si="1"/>
        <v>45799</v>
      </c>
      <c r="E84" s="245">
        <f t="shared" si="5"/>
        <v>60040.795333333328</v>
      </c>
      <c r="F84" s="245">
        <f t="shared" si="2"/>
        <v>2680.3926488095235</v>
      </c>
      <c r="G84" s="300">
        <f t="shared" si="3"/>
        <v>62721.187982142852</v>
      </c>
      <c r="H84" s="247">
        <f t="shared" si="4"/>
        <v>62721.187982140567</v>
      </c>
    </row>
    <row r="85" spans="1:8">
      <c r="A85" s="243">
        <v>61</v>
      </c>
      <c r="B85" s="243"/>
      <c r="C85" s="243" t="s">
        <v>122</v>
      </c>
      <c r="D85" s="244">
        <f t="shared" ca="1" si="1"/>
        <v>45830</v>
      </c>
      <c r="E85" s="245">
        <f t="shared" si="5"/>
        <v>60040.795333333328</v>
      </c>
      <c r="F85" s="245">
        <f t="shared" si="2"/>
        <v>2680.3926488095235</v>
      </c>
      <c r="G85" s="300">
        <f t="shared" si="3"/>
        <v>62721.187982142852</v>
      </c>
      <c r="H85" s="247">
        <f t="shared" si="4"/>
        <v>-2.2846506908535957E-9</v>
      </c>
    </row>
    <row r="86" spans="1:8">
      <c r="A86" s="404" t="s">
        <v>16</v>
      </c>
      <c r="B86" s="405"/>
      <c r="C86" s="405"/>
      <c r="D86" s="406"/>
      <c r="E86" s="249">
        <f>SUM(E23:E85)</f>
        <v>7204895.4399999985</v>
      </c>
      <c r="F86" s="249">
        <f t="shared" ref="F86:G86" si="6">SUM(F23:F85)</f>
        <v>321647.11785714328</v>
      </c>
      <c r="G86" s="249">
        <f t="shared" si="6"/>
        <v>7526542.5578571456</v>
      </c>
      <c r="H86" s="303"/>
    </row>
    <row r="87" spans="1:8" s="197" customFormat="1">
      <c r="C87" s="206"/>
      <c r="D87" s="207"/>
      <c r="E87" s="208"/>
      <c r="F87" s="208"/>
      <c r="G87" s="208"/>
    </row>
    <row r="88" spans="1:8" s="197" customFormat="1">
      <c r="A88" s="374" t="s">
        <v>313</v>
      </c>
      <c r="B88" s="374"/>
      <c r="C88" s="374"/>
      <c r="D88" s="374"/>
      <c r="E88" s="374"/>
      <c r="F88" s="374"/>
      <c r="G88" s="374"/>
      <c r="H88" s="374"/>
    </row>
    <row r="89" spans="1:8" s="197" customFormat="1" ht="29.25" customHeight="1">
      <c r="A89" s="388" t="s">
        <v>314</v>
      </c>
      <c r="B89" s="388"/>
      <c r="C89" s="388"/>
      <c r="D89" s="388"/>
      <c r="E89" s="388"/>
      <c r="F89" s="388"/>
      <c r="G89" s="388"/>
      <c r="H89" s="388"/>
    </row>
    <row r="90" spans="1:8" s="197" customFormat="1" ht="16.5" customHeight="1">
      <c r="A90" s="374" t="s">
        <v>315</v>
      </c>
      <c r="B90" s="374"/>
      <c r="C90" s="374"/>
      <c r="D90" s="374"/>
      <c r="E90" s="374"/>
      <c r="F90" s="374"/>
      <c r="G90" s="374"/>
      <c r="H90" s="374"/>
    </row>
    <row r="91" spans="1:8" s="197" customFormat="1" ht="16.5" customHeight="1">
      <c r="A91" s="374" t="s">
        <v>316</v>
      </c>
      <c r="B91" s="374"/>
      <c r="C91" s="374"/>
      <c r="D91" s="374"/>
      <c r="E91" s="374"/>
      <c r="F91" s="374"/>
      <c r="G91" s="374"/>
      <c r="H91" s="374"/>
    </row>
    <row r="92" spans="1:8" s="197" customFormat="1" ht="16.5" customHeight="1">
      <c r="A92" s="374" t="s">
        <v>317</v>
      </c>
      <c r="B92" s="374"/>
      <c r="C92" s="374"/>
      <c r="D92" s="374"/>
      <c r="E92" s="374"/>
      <c r="F92" s="374"/>
      <c r="G92" s="374"/>
      <c r="H92" s="374"/>
    </row>
    <row r="93" spans="1:8" s="197" customFormat="1" ht="106.5" customHeight="1">
      <c r="A93" s="374" t="s">
        <v>318</v>
      </c>
      <c r="B93" s="374"/>
      <c r="C93" s="374"/>
      <c r="D93" s="374"/>
      <c r="E93" s="374"/>
      <c r="F93" s="374"/>
      <c r="G93" s="374"/>
      <c r="H93" s="374"/>
    </row>
    <row r="94" spans="1:8" s="197" customFormat="1" ht="43.5" customHeight="1">
      <c r="A94" s="374" t="s">
        <v>319</v>
      </c>
      <c r="B94" s="374"/>
      <c r="C94" s="374"/>
      <c r="D94" s="374"/>
      <c r="E94" s="374"/>
      <c r="F94" s="374"/>
      <c r="G94" s="374"/>
      <c r="H94" s="374"/>
    </row>
    <row r="95" spans="1:8" s="197" customFormat="1" ht="21" customHeight="1">
      <c r="A95" s="374" t="s">
        <v>320</v>
      </c>
      <c r="B95" s="374"/>
      <c r="C95" s="374"/>
      <c r="D95" s="374"/>
      <c r="E95" s="374"/>
      <c r="F95" s="374"/>
      <c r="G95" s="374"/>
      <c r="H95" s="374"/>
    </row>
    <row r="96" spans="1:8" s="197" customFormat="1">
      <c r="A96" s="374"/>
      <c r="B96" s="374"/>
      <c r="C96" s="374"/>
      <c r="D96" s="374"/>
      <c r="E96" s="374"/>
      <c r="F96" s="374"/>
      <c r="G96" s="374"/>
      <c r="H96" s="374"/>
    </row>
    <row r="97" spans="1:7" s="197" customFormat="1">
      <c r="A97" s="197" t="s">
        <v>17</v>
      </c>
      <c r="D97" s="209"/>
      <c r="G97" s="198"/>
    </row>
    <row r="98" spans="1:7" s="197" customFormat="1">
      <c r="D98" s="209"/>
      <c r="G98" s="198"/>
    </row>
    <row r="99" spans="1:7" s="197" customFormat="1" ht="15" customHeight="1">
      <c r="A99" s="210"/>
      <c r="B99" s="210"/>
      <c r="C99" s="210"/>
      <c r="D99" s="209"/>
      <c r="E99" s="210"/>
      <c r="F99" s="210"/>
      <c r="G99" s="211"/>
    </row>
    <row r="100" spans="1:7" s="197" customFormat="1">
      <c r="A100" s="375" t="s">
        <v>293</v>
      </c>
      <c r="B100" s="375"/>
      <c r="C100" s="375"/>
      <c r="D100" s="209"/>
      <c r="E100" s="375" t="s">
        <v>18</v>
      </c>
      <c r="F100" s="375"/>
      <c r="G100" s="375"/>
    </row>
  </sheetData>
  <sheetProtection password="CAF1" sheet="1" selectLockedCells="1"/>
  <mergeCells count="16">
    <mergeCell ref="A94:H94"/>
    <mergeCell ref="A95:H95"/>
    <mergeCell ref="A96:H96"/>
    <mergeCell ref="A100:C100"/>
    <mergeCell ref="E100:G100"/>
    <mergeCell ref="H1:H2"/>
    <mergeCell ref="A9:B9"/>
    <mergeCell ref="A86:D86"/>
    <mergeCell ref="A22:G22"/>
    <mergeCell ref="C5:H5"/>
    <mergeCell ref="A93:H93"/>
    <mergeCell ref="A88:H88"/>
    <mergeCell ref="A89:H89"/>
    <mergeCell ref="A90:H90"/>
    <mergeCell ref="A91:H91"/>
    <mergeCell ref="A92:H92"/>
  </mergeCells>
  <hyperlinks>
    <hyperlink ref="C1" location="'DATA SHEET'!A1" display="HIGHLANDS PRIME, INC." xr:uid="{00000000-0004-0000-1C00-000000000000}"/>
    <hyperlink ref="J3" location="'DATA SHEET'!A1" display="Return to Data Sheet" xr:uid="{00000000-0004-0000-1C00-000001000000}"/>
  </hyperlinks>
  <printOptions horizontalCentered="1"/>
  <pageMargins left="0.7" right="0.7" top="0.75" bottom="0.5" header="0.3" footer="0.3"/>
  <pageSetup scale="74" orientation="portrait" r:id="rId1"/>
  <headerFooter>
    <oddFooter>&amp;L&amp;8A project of HIGHLANDS PRIME, INC. Horizon Terraces HLURB License To Sell No. 032272&amp;R&amp;8Page &amp;P of &amp;N</oddFooter>
  </headerFooter>
  <ignoredErrors>
    <ignoredError sqref="D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B2:M45"/>
  <sheetViews>
    <sheetView workbookViewId="0">
      <selection sqref="A1:XFD1048576"/>
    </sheetView>
  </sheetViews>
  <sheetFormatPr baseColWidth="10" defaultColWidth="9.1640625" defaultRowHeight="15"/>
  <cols>
    <col min="1" max="1" width="9.1640625" style="174"/>
    <col min="2" max="3" width="23.33203125" style="174" customWidth="1"/>
    <col min="4" max="4" width="26.83203125" style="174" bestFit="1" customWidth="1"/>
    <col min="5" max="5" width="28.5" style="174" customWidth="1"/>
    <col min="6" max="6" width="19.33203125" style="174" customWidth="1"/>
    <col min="7" max="7" width="19.33203125" style="187" customWidth="1"/>
    <col min="8" max="8" width="9.1640625" style="174"/>
    <col min="9" max="9" width="9.1640625" style="174" customWidth="1"/>
    <col min="10" max="10" width="9.1640625" style="311" customWidth="1"/>
    <col min="11" max="11" width="9.1640625" style="174" customWidth="1"/>
    <col min="12" max="12" width="15.5" style="174" customWidth="1"/>
    <col min="13" max="13" width="8.83203125" style="174" customWidth="1"/>
    <col min="14" max="16384" width="9.1640625" style="174"/>
  </cols>
  <sheetData>
    <row r="2" spans="2:13" ht="16">
      <c r="B2" s="170" t="s">
        <v>139</v>
      </c>
      <c r="C2" s="171"/>
      <c r="D2" s="171"/>
      <c r="E2" s="171"/>
      <c r="F2" s="171"/>
      <c r="G2" s="172"/>
      <c r="H2" s="173"/>
    </row>
    <row r="3" spans="2:13" ht="16">
      <c r="B3" s="170" t="s">
        <v>208</v>
      </c>
      <c r="C3" s="171"/>
      <c r="D3" s="171"/>
      <c r="E3" s="171"/>
      <c r="F3" s="171"/>
      <c r="G3" s="172"/>
      <c r="H3" s="173"/>
    </row>
    <row r="4" spans="2:13">
      <c r="B4" s="175"/>
      <c r="C4" s="171"/>
      <c r="D4" s="171"/>
      <c r="E4" s="171"/>
      <c r="F4" s="176" t="s">
        <v>140</v>
      </c>
      <c r="G4" s="177"/>
      <c r="H4" s="173"/>
    </row>
    <row r="5" spans="2:13" ht="28">
      <c r="B5" s="178" t="s">
        <v>40</v>
      </c>
      <c r="C5" s="178" t="s">
        <v>144</v>
      </c>
      <c r="D5" s="178" t="s">
        <v>41</v>
      </c>
      <c r="E5" s="179" t="s">
        <v>141</v>
      </c>
      <c r="F5" s="179" t="s">
        <v>211</v>
      </c>
      <c r="G5" s="180" t="s">
        <v>195</v>
      </c>
      <c r="H5" s="181"/>
      <c r="I5" s="178"/>
      <c r="J5" s="312"/>
      <c r="K5" s="179"/>
      <c r="L5" s="179"/>
      <c r="M5" s="180"/>
    </row>
    <row r="6" spans="2:13">
      <c r="B6" s="345" t="s">
        <v>209</v>
      </c>
      <c r="C6" s="313" t="s">
        <v>145</v>
      </c>
      <c r="D6" s="313" t="s">
        <v>146</v>
      </c>
      <c r="E6" s="314">
        <f>[8]PRICELIST!$F$11</f>
        <v>67.900000000000006</v>
      </c>
      <c r="F6" s="315">
        <f>'[9]GLENVIEW Suites 2'!$G10</f>
        <v>9291920</v>
      </c>
      <c r="G6" s="316">
        <f>IF(H6="1BR",230000,360000)</f>
        <v>230000</v>
      </c>
      <c r="H6" s="173" t="s">
        <v>321</v>
      </c>
    </row>
    <row r="7" spans="2:13">
      <c r="B7" s="346"/>
      <c r="C7" s="171" t="s">
        <v>147</v>
      </c>
      <c r="D7" s="171" t="s">
        <v>146</v>
      </c>
      <c r="E7" s="182">
        <f>[8]PRICELIST!$F$12</f>
        <v>67.900000000000006</v>
      </c>
      <c r="F7" s="183">
        <f>'[9]GLENVIEW Suites 2'!$G11</f>
        <v>8851760</v>
      </c>
      <c r="G7" s="317">
        <f t="shared" ref="G7:G10" si="0">IF(H7="1BR",230000,360000)</f>
        <v>230000</v>
      </c>
      <c r="H7" s="173" t="s">
        <v>321</v>
      </c>
    </row>
    <row r="8" spans="2:13">
      <c r="B8" s="346"/>
      <c r="C8" s="171" t="s">
        <v>148</v>
      </c>
      <c r="D8" s="171" t="s">
        <v>146</v>
      </c>
      <c r="E8" s="182">
        <f>[8]PRICELIST!$F$13</f>
        <v>67.900000000000006</v>
      </c>
      <c r="F8" s="183">
        <f>'[9]GLENVIEW Suites 2'!$G12</f>
        <v>8851760</v>
      </c>
      <c r="G8" s="317">
        <f t="shared" si="0"/>
        <v>230000</v>
      </c>
      <c r="H8" s="173" t="s">
        <v>321</v>
      </c>
    </row>
    <row r="9" spans="2:13">
      <c r="B9" s="346"/>
      <c r="C9" s="171" t="s">
        <v>149</v>
      </c>
      <c r="D9" s="171" t="s">
        <v>146</v>
      </c>
      <c r="E9" s="182">
        <f>[8]PRICELIST!$F$13</f>
        <v>67.900000000000006</v>
      </c>
      <c r="F9" s="183">
        <f>'[9]GLENVIEW Suites 2'!$G13</f>
        <v>8851760</v>
      </c>
      <c r="G9" s="317">
        <f t="shared" si="0"/>
        <v>230000</v>
      </c>
      <c r="H9" s="173" t="s">
        <v>321</v>
      </c>
    </row>
    <row r="10" spans="2:13">
      <c r="B10" s="346"/>
      <c r="C10" s="171" t="s">
        <v>150</v>
      </c>
      <c r="D10" s="171" t="s">
        <v>210</v>
      </c>
      <c r="E10" s="182">
        <f>[8]PRICELIST!$F$15</f>
        <v>101.86</v>
      </c>
      <c r="F10" s="183">
        <f>'[9]GLENVIEW Suites 2'!$G14</f>
        <v>14110160</v>
      </c>
      <c r="G10" s="317">
        <f t="shared" si="0"/>
        <v>360000</v>
      </c>
      <c r="H10" s="173" t="s">
        <v>322</v>
      </c>
    </row>
    <row r="11" spans="2:13">
      <c r="B11" s="346"/>
      <c r="C11" s="171"/>
      <c r="D11" s="171"/>
      <c r="E11" s="182"/>
      <c r="F11" s="183"/>
      <c r="G11" s="318"/>
      <c r="H11" s="173"/>
    </row>
    <row r="12" spans="2:13">
      <c r="B12" s="346"/>
      <c r="C12" s="171"/>
      <c r="D12" s="171"/>
      <c r="E12" s="182"/>
      <c r="F12" s="183"/>
      <c r="G12" s="318"/>
      <c r="H12" s="173"/>
    </row>
    <row r="13" spans="2:13">
      <c r="B13" s="347"/>
      <c r="C13" s="319" t="s">
        <v>154</v>
      </c>
      <c r="D13" s="319" t="s">
        <v>155</v>
      </c>
      <c r="E13" s="320">
        <f>[10]SUITES2!$F$18</f>
        <v>44.59</v>
      </c>
      <c r="F13" s="321">
        <f>'[9]GLENVIEW Suites 2'!$M$17</f>
        <v>6802200</v>
      </c>
      <c r="G13" s="322"/>
      <c r="H13" s="173" t="s">
        <v>321</v>
      </c>
    </row>
    <row r="14" spans="2:13" ht="16.5" customHeight="1">
      <c r="B14" s="345" t="s">
        <v>159</v>
      </c>
      <c r="C14" s="313"/>
      <c r="D14" s="313"/>
      <c r="E14" s="314"/>
      <c r="F14" s="315"/>
      <c r="G14" s="323"/>
      <c r="H14" s="173"/>
    </row>
    <row r="15" spans="2:13" ht="16.5" customHeight="1">
      <c r="B15" s="346"/>
      <c r="C15" s="171" t="s">
        <v>42</v>
      </c>
      <c r="D15" s="171" t="s">
        <v>155</v>
      </c>
      <c r="E15" s="182">
        <f>[8]PRICELIST!$F$20</f>
        <v>48.15</v>
      </c>
      <c r="F15" s="183">
        <f>'[9]GLENVIEW Suites 2'!$G19</f>
        <v>8267120</v>
      </c>
      <c r="G15" s="317">
        <f t="shared" ref="G15:G17" si="1">IF(H15="1BR",230000,360000)</f>
        <v>230000</v>
      </c>
      <c r="H15" s="173" t="s">
        <v>321</v>
      </c>
    </row>
    <row r="16" spans="2:13">
      <c r="B16" s="346"/>
      <c r="C16" s="171" t="s">
        <v>43</v>
      </c>
      <c r="D16" s="171" t="s">
        <v>155</v>
      </c>
      <c r="E16" s="182">
        <f>[8]PRICELIST!$F$20</f>
        <v>48.15</v>
      </c>
      <c r="F16" s="183">
        <f>'[9]GLENVIEW Suites 2'!$G20</f>
        <v>8267120</v>
      </c>
      <c r="G16" s="317">
        <f t="shared" si="1"/>
        <v>230000</v>
      </c>
      <c r="H16" s="173" t="s">
        <v>321</v>
      </c>
    </row>
    <row r="17" spans="2:8">
      <c r="B17" s="346"/>
      <c r="C17" s="171" t="s">
        <v>138</v>
      </c>
      <c r="D17" s="171" t="s">
        <v>155</v>
      </c>
      <c r="E17" s="182">
        <f>[8]PRICELIST!$F$21</f>
        <v>48.15</v>
      </c>
      <c r="F17" s="183">
        <f>'[9]GLENVIEW Suites 2'!$G21</f>
        <v>8267120</v>
      </c>
      <c r="G17" s="317">
        <f t="shared" si="1"/>
        <v>230000</v>
      </c>
      <c r="H17" s="173" t="s">
        <v>321</v>
      </c>
    </row>
    <row r="18" spans="2:8">
      <c r="B18" s="346"/>
      <c r="C18" s="171"/>
      <c r="D18" s="171"/>
      <c r="E18" s="182"/>
      <c r="F18" s="183"/>
      <c r="G18" s="318"/>
      <c r="H18" s="173"/>
    </row>
    <row r="19" spans="2:8">
      <c r="B19" s="346"/>
      <c r="C19" s="171"/>
      <c r="D19" s="171"/>
      <c r="E19" s="182"/>
      <c r="F19" s="183"/>
      <c r="G19" s="318"/>
      <c r="H19" s="173"/>
    </row>
    <row r="20" spans="2:8">
      <c r="B20" s="346"/>
      <c r="C20" s="171"/>
      <c r="D20" s="171"/>
      <c r="E20" s="182"/>
      <c r="F20" s="183"/>
      <c r="G20" s="318"/>
      <c r="H20" s="173"/>
    </row>
    <row r="21" spans="2:8">
      <c r="B21" s="347"/>
      <c r="C21" s="319"/>
      <c r="D21" s="171"/>
      <c r="E21" s="320"/>
      <c r="F21" s="321"/>
      <c r="G21" s="322"/>
      <c r="H21" s="173"/>
    </row>
    <row r="22" spans="2:8" ht="16.5" customHeight="1">
      <c r="B22" s="345" t="s">
        <v>165</v>
      </c>
      <c r="C22" s="313"/>
      <c r="D22" s="313"/>
      <c r="E22" s="314"/>
      <c r="F22" s="315"/>
      <c r="G22" s="323"/>
      <c r="H22" s="173"/>
    </row>
    <row r="23" spans="2:8" ht="16.5" customHeight="1">
      <c r="B23" s="346"/>
      <c r="C23" s="171" t="s">
        <v>167</v>
      </c>
      <c r="D23" s="171" t="s">
        <v>155</v>
      </c>
      <c r="E23" s="182">
        <f>[8]PRICELIST!$F$28</f>
        <v>48.15</v>
      </c>
      <c r="F23" s="183">
        <f>'[9]GLENVIEW Suites 2'!$G$27</f>
        <v>8767760</v>
      </c>
      <c r="G23" s="317">
        <f t="shared" ref="G23" si="2">IF(H23="1BR",230000,360000)</f>
        <v>230000</v>
      </c>
      <c r="H23" s="173" t="s">
        <v>321</v>
      </c>
    </row>
    <row r="24" spans="2:8" ht="16.5" customHeight="1">
      <c r="B24" s="346"/>
      <c r="C24" s="171"/>
      <c r="D24" s="171"/>
      <c r="E24" s="182"/>
      <c r="F24" s="183"/>
      <c r="G24" s="318"/>
      <c r="H24" s="173"/>
    </row>
    <row r="25" spans="2:8">
      <c r="B25" s="346"/>
      <c r="C25" s="171"/>
      <c r="D25" s="171"/>
      <c r="E25" s="182"/>
      <c r="F25" s="183"/>
      <c r="G25" s="318"/>
      <c r="H25" s="173"/>
    </row>
    <row r="26" spans="2:8">
      <c r="B26" s="346"/>
      <c r="C26" s="171"/>
      <c r="D26" s="171"/>
      <c r="E26" s="182"/>
      <c r="F26" s="183"/>
      <c r="G26" s="318"/>
      <c r="H26" s="173"/>
    </row>
    <row r="27" spans="2:8">
      <c r="B27" s="346"/>
      <c r="C27" s="171"/>
      <c r="D27" s="171"/>
      <c r="E27" s="182"/>
      <c r="F27" s="183"/>
      <c r="G27" s="318"/>
      <c r="H27" s="173"/>
    </row>
    <row r="28" spans="2:8">
      <c r="B28" s="347"/>
      <c r="C28" s="319"/>
      <c r="D28" s="319"/>
      <c r="E28" s="320"/>
      <c r="F28" s="321"/>
      <c r="G28" s="322"/>
      <c r="H28" s="173"/>
    </row>
    <row r="29" spans="2:8">
      <c r="B29" s="345" t="s">
        <v>202</v>
      </c>
      <c r="C29" s="313"/>
      <c r="D29" s="313"/>
      <c r="E29" s="314"/>
      <c r="F29" s="315"/>
      <c r="G29" s="323"/>
      <c r="H29" s="173"/>
    </row>
    <row r="30" spans="2:8">
      <c r="B30" s="346"/>
      <c r="C30" s="171"/>
      <c r="D30" s="171"/>
      <c r="E30" s="182"/>
      <c r="F30" s="183"/>
      <c r="G30" s="318"/>
      <c r="H30" s="173"/>
    </row>
    <row r="31" spans="2:8" ht="16.5" customHeight="1">
      <c r="B31" s="346"/>
      <c r="C31" s="171"/>
      <c r="D31" s="171"/>
      <c r="E31" s="182"/>
      <c r="F31" s="183"/>
      <c r="G31" s="318"/>
      <c r="H31" s="173"/>
    </row>
    <row r="32" spans="2:8" ht="16.5" customHeight="1">
      <c r="B32" s="346"/>
      <c r="C32" s="171"/>
      <c r="D32" s="171"/>
      <c r="E32" s="182"/>
      <c r="F32" s="183"/>
      <c r="G32" s="318"/>
      <c r="H32" s="173"/>
    </row>
    <row r="33" spans="2:8" ht="16.5" customHeight="1">
      <c r="B33" s="346"/>
      <c r="C33" s="171"/>
      <c r="D33" s="171"/>
      <c r="E33" s="182"/>
      <c r="F33" s="183"/>
      <c r="G33" s="318"/>
      <c r="H33" s="173"/>
    </row>
    <row r="34" spans="2:8" ht="16.5" customHeight="1">
      <c r="B34" s="346"/>
      <c r="C34" s="171" t="s">
        <v>306</v>
      </c>
      <c r="D34" s="171" t="s">
        <v>155</v>
      </c>
      <c r="E34" s="182">
        <v>43.93</v>
      </c>
      <c r="F34" s="183">
        <f>'[9]GLENVIEW Suites 2'!$M$39</f>
        <v>7677800</v>
      </c>
      <c r="G34" s="317">
        <f t="shared" ref="G34" si="3">IF(H34="1BR",230000,360000)</f>
        <v>230000</v>
      </c>
      <c r="H34" s="173" t="s">
        <v>321</v>
      </c>
    </row>
    <row r="35" spans="2:8" ht="16.5" customHeight="1">
      <c r="B35" s="347"/>
      <c r="C35" s="319"/>
      <c r="D35" s="319"/>
      <c r="E35" s="320"/>
      <c r="F35" s="321"/>
      <c r="G35" s="322"/>
      <c r="H35" s="173"/>
    </row>
    <row r="36" spans="2:8" ht="16.5" customHeight="1">
      <c r="B36" s="345" t="s">
        <v>180</v>
      </c>
      <c r="C36" s="313"/>
      <c r="D36" s="313"/>
      <c r="E36" s="314"/>
      <c r="F36" s="315"/>
      <c r="G36" s="323"/>
      <c r="H36" s="173"/>
    </row>
    <row r="37" spans="2:8" ht="16.5" customHeight="1">
      <c r="B37" s="346"/>
      <c r="C37" s="171" t="s">
        <v>213</v>
      </c>
      <c r="D37" s="171" t="s">
        <v>155</v>
      </c>
      <c r="E37" s="182">
        <f>[8]PRICELIST!F44</f>
        <v>48.15</v>
      </c>
      <c r="F37" s="183">
        <f>'[9]GLENVIEW Suites 2'!$G$43</f>
        <v>10157680</v>
      </c>
      <c r="G37" s="317">
        <f t="shared" ref="G37" si="4">IF(H37="1BR",230000,360000)</f>
        <v>230000</v>
      </c>
      <c r="H37" s="173" t="s">
        <v>321</v>
      </c>
    </row>
    <row r="38" spans="2:8" ht="16.5" customHeight="1">
      <c r="B38" s="346"/>
      <c r="C38" s="171"/>
      <c r="D38" s="171"/>
      <c r="E38" s="182"/>
      <c r="F38" s="183"/>
      <c r="G38" s="318"/>
      <c r="H38" s="173"/>
    </row>
    <row r="39" spans="2:8" ht="16.5" customHeight="1">
      <c r="B39" s="346"/>
      <c r="C39" s="171"/>
      <c r="D39" s="171"/>
      <c r="E39" s="182"/>
      <c r="F39" s="183"/>
      <c r="G39" s="318"/>
      <c r="H39" s="173"/>
    </row>
    <row r="40" spans="2:8" ht="16.5" customHeight="1">
      <c r="B40" s="346"/>
      <c r="C40" s="171" t="s">
        <v>221</v>
      </c>
      <c r="D40" s="171" t="str">
        <f>[10]SUITES2!$E$49</f>
        <v>1-Bedroom</v>
      </c>
      <c r="E40" s="182">
        <f>[10]SUITES2!$F$49</f>
        <v>44.59</v>
      </c>
      <c r="F40" s="183">
        <f>'[9]GLENVIEW Suites 2'!$G$48</f>
        <v>7112400</v>
      </c>
      <c r="G40" s="318">
        <f t="shared" ref="G40" si="5">IF(H40="1BR",230000,360000)</f>
        <v>230000</v>
      </c>
      <c r="H40" s="173" t="s">
        <v>321</v>
      </c>
    </row>
    <row r="41" spans="2:8" ht="16.5" customHeight="1">
      <c r="B41" s="347"/>
      <c r="C41" s="319"/>
      <c r="D41" s="319"/>
      <c r="E41" s="320"/>
      <c r="F41" s="321"/>
      <c r="G41" s="322"/>
      <c r="H41" s="173"/>
    </row>
    <row r="42" spans="2:8">
      <c r="B42" s="171"/>
      <c r="C42" s="171"/>
      <c r="D42" s="171"/>
      <c r="E42" s="171"/>
      <c r="F42" s="171"/>
      <c r="G42" s="172"/>
      <c r="H42" s="173"/>
    </row>
    <row r="43" spans="2:8">
      <c r="B43" s="324" t="s">
        <v>212</v>
      </c>
      <c r="C43" s="185"/>
      <c r="D43" s="185"/>
      <c r="E43" s="185"/>
      <c r="F43" s="185"/>
      <c r="G43" s="185"/>
      <c r="H43" s="185"/>
    </row>
    <row r="44" spans="2:8">
      <c r="B44" s="171"/>
      <c r="C44" s="171"/>
      <c r="D44" s="171"/>
      <c r="E44" s="171"/>
      <c r="F44" s="171"/>
      <c r="G44" s="172"/>
      <c r="H44" s="173"/>
    </row>
    <row r="45" spans="2:8">
      <c r="B45" s="186" t="s">
        <v>185</v>
      </c>
      <c r="C45" s="186"/>
      <c r="D45" s="186"/>
      <c r="E45" s="186"/>
      <c r="F45" s="183">
        <v>1000000</v>
      </c>
      <c r="G45" s="172"/>
      <c r="H45" s="173"/>
    </row>
  </sheetData>
  <sheetProtection password="CAF1" sheet="1" objects="1" scenarios="1"/>
  <mergeCells count="5">
    <mergeCell ref="B36:B41"/>
    <mergeCell ref="B6:B13"/>
    <mergeCell ref="B14:B21"/>
    <mergeCell ref="B22:B28"/>
    <mergeCell ref="B29:B3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4">
    <tabColor rgb="FF389E8F"/>
  </sheetPr>
  <dimension ref="A1:L101"/>
  <sheetViews>
    <sheetView showGridLines="0" topLeftCell="A10" workbookViewId="0">
      <selection activeCell="C15" sqref="C15"/>
    </sheetView>
  </sheetViews>
  <sheetFormatPr baseColWidth="10" defaultColWidth="0" defaultRowHeight="15" zeroHeight="1"/>
  <cols>
    <col min="1" max="1" width="11.6640625" style="39" customWidth="1"/>
    <col min="2" max="2" width="10.6640625" style="39" customWidth="1"/>
    <col min="3" max="3" width="23.83203125" style="39" customWidth="1"/>
    <col min="4" max="4" width="13.5" style="40" bestFit="1" customWidth="1"/>
    <col min="5" max="5" width="13.5" style="39" bestFit="1" customWidth="1"/>
    <col min="6" max="6" width="16.5" style="281" bestFit="1" customWidth="1"/>
    <col min="7" max="7" width="13.5" style="280" bestFit="1" customWidth="1"/>
    <col min="8" max="8" width="17.5" style="280" bestFit="1" customWidth="1"/>
    <col min="9" max="12" width="9.1640625" style="280" customWidth="1"/>
    <col min="13" max="16384" width="9.1640625" style="280" hidden="1"/>
  </cols>
  <sheetData>
    <row r="1" spans="1:10" ht="15" customHeight="1">
      <c r="C1" s="212" t="s">
        <v>35</v>
      </c>
      <c r="H1" s="409" t="s">
        <v>66</v>
      </c>
    </row>
    <row r="2" spans="1:10" ht="15" customHeight="1">
      <c r="C2" s="41" t="s">
        <v>207</v>
      </c>
      <c r="H2" s="409"/>
    </row>
    <row r="3" spans="1:10">
      <c r="C3" s="41" t="s">
        <v>36</v>
      </c>
      <c r="H3" s="281"/>
      <c r="J3" s="251" t="s">
        <v>215</v>
      </c>
    </row>
    <row r="4" spans="1:10"/>
    <row r="5" spans="1:10">
      <c r="A5" s="213" t="s">
        <v>0</v>
      </c>
      <c r="B5" s="269"/>
      <c r="C5" s="377" t="str">
        <f>'DATA SHEET'!C9</f>
        <v xml:space="preserve"> </v>
      </c>
      <c r="D5" s="377"/>
      <c r="E5" s="377"/>
      <c r="F5" s="377"/>
      <c r="G5" s="377"/>
      <c r="H5" s="378"/>
    </row>
    <row r="6" spans="1:10">
      <c r="A6" s="215" t="s">
        <v>31</v>
      </c>
      <c r="B6" s="216"/>
      <c r="C6" s="379" t="str">
        <f>VLOOKUP('DATA SHEET'!$C$10,' Glenview PL'!C6:G41,1,FALSE)</f>
        <v>GB</v>
      </c>
      <c r="D6" s="379"/>
      <c r="E6" s="379"/>
      <c r="F6" s="379"/>
      <c r="G6" s="379"/>
      <c r="H6" s="390"/>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row>
    <row r="9" spans="1:10">
      <c r="A9" s="222" t="s">
        <v>294</v>
      </c>
      <c r="B9" s="223"/>
      <c r="C9" s="382">
        <f>VLOOKUP('DATA SHEET'!C10,' Glenview PL'!C6:G41,4,0)</f>
        <v>8851760</v>
      </c>
      <c r="D9" s="382"/>
      <c r="E9" s="382"/>
      <c r="F9" s="382"/>
      <c r="G9" s="382"/>
      <c r="H9" s="383"/>
    </row>
    <row r="10" spans="1:10">
      <c r="A10" s="224" t="s">
        <v>33</v>
      </c>
      <c r="B10" s="225"/>
      <c r="C10" s="393" t="str">
        <f>'DATA SHEET'!C20</f>
        <v>20% DP, 80% over 60 months</v>
      </c>
      <c r="D10" s="393"/>
      <c r="E10" s="393"/>
      <c r="F10" s="393"/>
      <c r="G10" s="393"/>
      <c r="H10" s="394"/>
    </row>
    <row r="11" spans="1:10"/>
    <row r="12" spans="1:10">
      <c r="A12" s="41" t="s">
        <v>55</v>
      </c>
      <c r="B12" s="41"/>
    </row>
    <row r="13" spans="1:10">
      <c r="A13" s="197" t="s">
        <v>307</v>
      </c>
      <c r="D13" s="42">
        <f>(C9-650000)</f>
        <v>8201760</v>
      </c>
      <c r="E13" s="226" t="str">
        <f>LEFT(C8,9)</f>
        <v>1-Bedroom</v>
      </c>
    </row>
    <row r="14" spans="1:10">
      <c r="A14" s="227" t="s">
        <v>72</v>
      </c>
      <c r="B14" s="228"/>
      <c r="C14" s="306">
        <v>0.02</v>
      </c>
      <c r="D14" s="229">
        <f>IF(C14&lt;=2%,$D$13*C14,"BEYOND MAX")</f>
        <v>164035.20000000001</v>
      </c>
      <c r="E14" s="40"/>
    </row>
    <row r="15" spans="1:10">
      <c r="A15" s="227" t="s">
        <v>325</v>
      </c>
      <c r="B15" s="228"/>
      <c r="C15" s="306">
        <v>0.02</v>
      </c>
      <c r="D15" s="229">
        <f>IF(C15&lt;=2%,((D13-D14)*C15),"BEYOND MAX")</f>
        <v>160754.49600000001</v>
      </c>
      <c r="E15" s="40"/>
    </row>
    <row r="16" spans="1:10">
      <c r="A16" s="227" t="s">
        <v>326</v>
      </c>
      <c r="B16" s="228"/>
      <c r="C16" s="196"/>
      <c r="D16" s="87">
        <f>VLOOKUP('DATA SHEET'!C10,' Glenview PL'!$C$6:$G$40,5,0)</f>
        <v>230000</v>
      </c>
      <c r="E16" s="231">
        <f>VLOOKUP(C6,' Glenview PL'!C:G,5,0)</f>
        <v>230000</v>
      </c>
    </row>
    <row r="17" spans="1:8">
      <c r="A17" s="234" t="s">
        <v>311</v>
      </c>
      <c r="B17" s="228"/>
      <c r="C17" s="196"/>
      <c r="D17" s="235">
        <f>+D13-SUM(D14:D16)</f>
        <v>7646970.3039999995</v>
      </c>
      <c r="E17" s="231"/>
    </row>
    <row r="18" spans="1:8">
      <c r="A18" s="236" t="s">
        <v>285</v>
      </c>
      <c r="C18" s="200">
        <v>0.05</v>
      </c>
      <c r="D18" s="237">
        <f>(D17/1.12)*C18</f>
        <v>341382.60285714286</v>
      </c>
      <c r="E18" s="231"/>
    </row>
    <row r="19" spans="1:8" ht="16" thickBot="1">
      <c r="A19" s="198" t="s">
        <v>58</v>
      </c>
      <c r="D19" s="238">
        <f>+SUM(D17:D18)</f>
        <v>7988352.9068571422</v>
      </c>
      <c r="E19" s="231"/>
    </row>
    <row r="20" spans="1:8" ht="7.5" customHeight="1" thickTop="1"/>
    <row r="21" spans="1:8">
      <c r="A21" s="239" t="s">
        <v>34</v>
      </c>
      <c r="B21" s="239" t="s">
        <v>286</v>
      </c>
      <c r="C21" s="239" t="s">
        <v>2</v>
      </c>
      <c r="D21" s="239" t="s">
        <v>287</v>
      </c>
      <c r="E21" s="239" t="s">
        <v>288</v>
      </c>
      <c r="F21" s="240" t="s">
        <v>289</v>
      </c>
      <c r="G21" s="241" t="s">
        <v>290</v>
      </c>
      <c r="H21" s="239" t="s">
        <v>291</v>
      </c>
    </row>
    <row r="22" spans="1:8">
      <c r="A22" s="401" t="s">
        <v>292</v>
      </c>
      <c r="B22" s="402"/>
      <c r="C22" s="402"/>
      <c r="D22" s="402"/>
      <c r="E22" s="402"/>
      <c r="F22" s="402"/>
      <c r="G22" s="403"/>
      <c r="H22" s="242">
        <f>+D19</f>
        <v>7988352.9068571422</v>
      </c>
    </row>
    <row r="23" spans="1:8">
      <c r="A23" s="243">
        <v>0</v>
      </c>
      <c r="B23" s="243"/>
      <c r="C23" s="243" t="s">
        <v>38</v>
      </c>
      <c r="D23" s="244">
        <f ca="1">'DATA SHEET'!C8</f>
        <v>43973</v>
      </c>
      <c r="E23" s="245">
        <f>IF(E13="1-Bedroom",50000,100000)</f>
        <v>50000</v>
      </c>
      <c r="F23" s="245"/>
      <c r="G23" s="297">
        <f>+SUM(E23:F23)</f>
        <v>50000</v>
      </c>
      <c r="H23" s="247">
        <f>D19-E23</f>
        <v>7938352.9068571422</v>
      </c>
    </row>
    <row r="24" spans="1:8">
      <c r="A24" s="243">
        <v>1</v>
      </c>
      <c r="B24" s="248">
        <v>0.2</v>
      </c>
      <c r="C24" s="243" t="s">
        <v>217</v>
      </c>
      <c r="D24" s="244">
        <f ca="1">EDATE(D23,1)</f>
        <v>44004</v>
      </c>
      <c r="E24" s="245">
        <f>(D17*20%)-E23</f>
        <v>1479394.0608000001</v>
      </c>
      <c r="F24" s="245">
        <f>(D18*20%)</f>
        <v>68276.520571428569</v>
      </c>
      <c r="G24" s="297">
        <f t="shared" ref="G24:G85" si="0">+SUM(E24:F24)</f>
        <v>1547670.5813714287</v>
      </c>
      <c r="H24" s="247">
        <f>H23-G24</f>
        <v>6390682.3254857138</v>
      </c>
    </row>
    <row r="25" spans="1:8">
      <c r="A25" s="243"/>
      <c r="B25" s="248">
        <v>0.8</v>
      </c>
      <c r="C25" s="243" t="s">
        <v>296</v>
      </c>
      <c r="D25" s="244"/>
      <c r="E25" s="245"/>
      <c r="F25" s="245"/>
      <c r="G25" s="297"/>
      <c r="H25" s="247"/>
    </row>
    <row r="26" spans="1:8">
      <c r="A26" s="243">
        <v>2</v>
      </c>
      <c r="B26" s="243"/>
      <c r="C26" s="243" t="s">
        <v>4</v>
      </c>
      <c r="D26" s="244">
        <f ca="1">EDATE(D24,1)</f>
        <v>44034</v>
      </c>
      <c r="E26" s="245">
        <f>($D$17*80%)/60</f>
        <v>101959.60405333334</v>
      </c>
      <c r="F26" s="245">
        <f>($D$18*80%)/60</f>
        <v>4551.7680380952379</v>
      </c>
      <c r="G26" s="297">
        <f t="shared" si="0"/>
        <v>106511.37209142858</v>
      </c>
      <c r="H26" s="247">
        <f>H24-G26</f>
        <v>6284170.9533942854</v>
      </c>
    </row>
    <row r="27" spans="1:8">
      <c r="A27" s="243">
        <v>3</v>
      </c>
      <c r="B27" s="243"/>
      <c r="C27" s="243" t="s">
        <v>5</v>
      </c>
      <c r="D27" s="244">
        <f t="shared" ref="D27:D85" ca="1" si="1">EDATE(D26,1)</f>
        <v>44065</v>
      </c>
      <c r="E27" s="245">
        <f t="shared" ref="E27:E85" si="2">($D$17*80%)/60</f>
        <v>101959.60405333334</v>
      </c>
      <c r="F27" s="245">
        <f t="shared" ref="F27:F85" si="3">($D$18*80%)/60</f>
        <v>4551.7680380952379</v>
      </c>
      <c r="G27" s="297">
        <f t="shared" si="0"/>
        <v>106511.37209142858</v>
      </c>
      <c r="H27" s="247">
        <f t="shared" ref="H27:H85" si="4">H26-G27</f>
        <v>6177659.581302857</v>
      </c>
    </row>
    <row r="28" spans="1:8">
      <c r="A28" s="243">
        <v>4</v>
      </c>
      <c r="B28" s="243"/>
      <c r="C28" s="243" t="s">
        <v>6</v>
      </c>
      <c r="D28" s="244">
        <f t="shared" ca="1" si="1"/>
        <v>44096</v>
      </c>
      <c r="E28" s="245">
        <f t="shared" si="2"/>
        <v>101959.60405333334</v>
      </c>
      <c r="F28" s="245">
        <f t="shared" si="3"/>
        <v>4551.7680380952379</v>
      </c>
      <c r="G28" s="297">
        <f t="shared" si="0"/>
        <v>106511.37209142858</v>
      </c>
      <c r="H28" s="247">
        <f t="shared" si="4"/>
        <v>6071148.2092114286</v>
      </c>
    </row>
    <row r="29" spans="1:8">
      <c r="A29" s="243">
        <v>5</v>
      </c>
      <c r="B29" s="243"/>
      <c r="C29" s="243" t="s">
        <v>7</v>
      </c>
      <c r="D29" s="244">
        <f t="shared" ca="1" si="1"/>
        <v>44126</v>
      </c>
      <c r="E29" s="245">
        <f t="shared" si="2"/>
        <v>101959.60405333334</v>
      </c>
      <c r="F29" s="245">
        <f t="shared" si="3"/>
        <v>4551.7680380952379</v>
      </c>
      <c r="G29" s="297">
        <f t="shared" si="0"/>
        <v>106511.37209142858</v>
      </c>
      <c r="H29" s="247">
        <f t="shared" si="4"/>
        <v>5964636.8371200003</v>
      </c>
    </row>
    <row r="30" spans="1:8">
      <c r="A30" s="243">
        <v>6</v>
      </c>
      <c r="B30" s="243"/>
      <c r="C30" s="243" t="s">
        <v>8</v>
      </c>
      <c r="D30" s="244">
        <f t="shared" ca="1" si="1"/>
        <v>44157</v>
      </c>
      <c r="E30" s="245">
        <f t="shared" si="2"/>
        <v>101959.60405333334</v>
      </c>
      <c r="F30" s="245">
        <f t="shared" si="3"/>
        <v>4551.7680380952379</v>
      </c>
      <c r="G30" s="297">
        <f t="shared" si="0"/>
        <v>106511.37209142858</v>
      </c>
      <c r="H30" s="247">
        <f t="shared" si="4"/>
        <v>5858125.4650285719</v>
      </c>
    </row>
    <row r="31" spans="1:8">
      <c r="A31" s="243">
        <v>7</v>
      </c>
      <c r="B31" s="243"/>
      <c r="C31" s="243" t="s">
        <v>9</v>
      </c>
      <c r="D31" s="244">
        <f t="shared" ca="1" si="1"/>
        <v>44187</v>
      </c>
      <c r="E31" s="245">
        <f t="shared" si="2"/>
        <v>101959.60405333334</v>
      </c>
      <c r="F31" s="245">
        <f t="shared" si="3"/>
        <v>4551.7680380952379</v>
      </c>
      <c r="G31" s="297">
        <f t="shared" si="0"/>
        <v>106511.37209142858</v>
      </c>
      <c r="H31" s="247">
        <f t="shared" si="4"/>
        <v>5751614.0929371435</v>
      </c>
    </row>
    <row r="32" spans="1:8">
      <c r="A32" s="243">
        <v>8</v>
      </c>
      <c r="B32" s="243"/>
      <c r="C32" s="243" t="s">
        <v>10</v>
      </c>
      <c r="D32" s="244">
        <f t="shared" ca="1" si="1"/>
        <v>44218</v>
      </c>
      <c r="E32" s="245">
        <f t="shared" si="2"/>
        <v>101959.60405333334</v>
      </c>
      <c r="F32" s="245">
        <f t="shared" si="3"/>
        <v>4551.7680380952379</v>
      </c>
      <c r="G32" s="297">
        <f t="shared" si="0"/>
        <v>106511.37209142858</v>
      </c>
      <c r="H32" s="247">
        <f t="shared" si="4"/>
        <v>5645102.7208457151</v>
      </c>
    </row>
    <row r="33" spans="1:8">
      <c r="A33" s="243">
        <v>9</v>
      </c>
      <c r="B33" s="243"/>
      <c r="C33" s="243" t="s">
        <v>11</v>
      </c>
      <c r="D33" s="244">
        <f t="shared" ca="1" si="1"/>
        <v>44249</v>
      </c>
      <c r="E33" s="245">
        <f t="shared" si="2"/>
        <v>101959.60405333334</v>
      </c>
      <c r="F33" s="245">
        <f t="shared" si="3"/>
        <v>4551.7680380952379</v>
      </c>
      <c r="G33" s="297">
        <f t="shared" si="0"/>
        <v>106511.37209142858</v>
      </c>
      <c r="H33" s="247">
        <f t="shared" si="4"/>
        <v>5538591.3487542868</v>
      </c>
    </row>
    <row r="34" spans="1:8">
      <c r="A34" s="243">
        <v>10</v>
      </c>
      <c r="B34" s="243"/>
      <c r="C34" s="243" t="s">
        <v>12</v>
      </c>
      <c r="D34" s="244">
        <f t="shared" ca="1" si="1"/>
        <v>44277</v>
      </c>
      <c r="E34" s="245">
        <f t="shared" si="2"/>
        <v>101959.60405333334</v>
      </c>
      <c r="F34" s="245">
        <f t="shared" si="3"/>
        <v>4551.7680380952379</v>
      </c>
      <c r="G34" s="297">
        <f t="shared" si="0"/>
        <v>106511.37209142858</v>
      </c>
      <c r="H34" s="247">
        <f t="shared" si="4"/>
        <v>5432079.9766628584</v>
      </c>
    </row>
    <row r="35" spans="1:8">
      <c r="A35" s="243">
        <v>11</v>
      </c>
      <c r="B35" s="243"/>
      <c r="C35" s="243" t="s">
        <v>13</v>
      </c>
      <c r="D35" s="244">
        <f t="shared" ca="1" si="1"/>
        <v>44308</v>
      </c>
      <c r="E35" s="245">
        <f t="shared" si="2"/>
        <v>101959.60405333334</v>
      </c>
      <c r="F35" s="245">
        <f t="shared" si="3"/>
        <v>4551.7680380952379</v>
      </c>
      <c r="G35" s="297">
        <f t="shared" si="0"/>
        <v>106511.37209142858</v>
      </c>
      <c r="H35" s="247">
        <f t="shared" si="4"/>
        <v>5325568.60457143</v>
      </c>
    </row>
    <row r="36" spans="1:8">
      <c r="A36" s="243">
        <v>12</v>
      </c>
      <c r="B36" s="243"/>
      <c r="C36" s="243" t="s">
        <v>14</v>
      </c>
      <c r="D36" s="244">
        <f t="shared" ca="1" si="1"/>
        <v>44338</v>
      </c>
      <c r="E36" s="245">
        <f t="shared" si="2"/>
        <v>101959.60405333334</v>
      </c>
      <c r="F36" s="245">
        <f t="shared" si="3"/>
        <v>4551.7680380952379</v>
      </c>
      <c r="G36" s="297">
        <f t="shared" si="0"/>
        <v>106511.37209142858</v>
      </c>
      <c r="H36" s="247">
        <f t="shared" si="4"/>
        <v>5219057.2324800016</v>
      </c>
    </row>
    <row r="37" spans="1:8">
      <c r="A37" s="243">
        <v>13</v>
      </c>
      <c r="B37" s="243"/>
      <c r="C37" s="243" t="s">
        <v>15</v>
      </c>
      <c r="D37" s="244">
        <f t="shared" ca="1" si="1"/>
        <v>44369</v>
      </c>
      <c r="E37" s="245">
        <f t="shared" si="2"/>
        <v>101959.60405333334</v>
      </c>
      <c r="F37" s="245">
        <f t="shared" si="3"/>
        <v>4551.7680380952379</v>
      </c>
      <c r="G37" s="297">
        <f t="shared" si="0"/>
        <v>106511.37209142858</v>
      </c>
      <c r="H37" s="247">
        <f t="shared" si="4"/>
        <v>5112545.8603885733</v>
      </c>
    </row>
    <row r="38" spans="1:8">
      <c r="A38" s="243">
        <v>14</v>
      </c>
      <c r="B38" s="243"/>
      <c r="C38" s="243" t="s">
        <v>19</v>
      </c>
      <c r="D38" s="244">
        <f t="shared" ca="1" si="1"/>
        <v>44399</v>
      </c>
      <c r="E38" s="245">
        <f t="shared" si="2"/>
        <v>101959.60405333334</v>
      </c>
      <c r="F38" s="245">
        <f t="shared" si="3"/>
        <v>4551.7680380952379</v>
      </c>
      <c r="G38" s="297">
        <f t="shared" si="0"/>
        <v>106511.37209142858</v>
      </c>
      <c r="H38" s="247">
        <f t="shared" si="4"/>
        <v>5006034.4882971449</v>
      </c>
    </row>
    <row r="39" spans="1:8">
      <c r="A39" s="243">
        <v>15</v>
      </c>
      <c r="B39" s="243"/>
      <c r="C39" s="243" t="s">
        <v>20</v>
      </c>
      <c r="D39" s="244">
        <f t="shared" ca="1" si="1"/>
        <v>44430</v>
      </c>
      <c r="E39" s="245">
        <f t="shared" si="2"/>
        <v>101959.60405333334</v>
      </c>
      <c r="F39" s="245">
        <f t="shared" si="3"/>
        <v>4551.7680380952379</v>
      </c>
      <c r="G39" s="297">
        <f t="shared" si="0"/>
        <v>106511.37209142858</v>
      </c>
      <c r="H39" s="247">
        <f t="shared" si="4"/>
        <v>4899523.1162057165</v>
      </c>
    </row>
    <row r="40" spans="1:8">
      <c r="A40" s="243">
        <v>16</v>
      </c>
      <c r="B40" s="243"/>
      <c r="C40" s="243" t="s">
        <v>21</v>
      </c>
      <c r="D40" s="244">
        <f t="shared" ca="1" si="1"/>
        <v>44461</v>
      </c>
      <c r="E40" s="245">
        <f t="shared" si="2"/>
        <v>101959.60405333334</v>
      </c>
      <c r="F40" s="245">
        <f t="shared" si="3"/>
        <v>4551.7680380952379</v>
      </c>
      <c r="G40" s="297">
        <f t="shared" si="0"/>
        <v>106511.37209142858</v>
      </c>
      <c r="H40" s="247">
        <f t="shared" si="4"/>
        <v>4793011.7441142881</v>
      </c>
    </row>
    <row r="41" spans="1:8">
      <c r="A41" s="243">
        <v>17</v>
      </c>
      <c r="B41" s="243"/>
      <c r="C41" s="243" t="s">
        <v>22</v>
      </c>
      <c r="D41" s="244">
        <f t="shared" ca="1" si="1"/>
        <v>44491</v>
      </c>
      <c r="E41" s="245">
        <f t="shared" si="2"/>
        <v>101959.60405333334</v>
      </c>
      <c r="F41" s="245">
        <f t="shared" si="3"/>
        <v>4551.7680380952379</v>
      </c>
      <c r="G41" s="297">
        <f t="shared" si="0"/>
        <v>106511.37209142858</v>
      </c>
      <c r="H41" s="247">
        <f t="shared" si="4"/>
        <v>4686500.3720228598</v>
      </c>
    </row>
    <row r="42" spans="1:8">
      <c r="A42" s="243">
        <v>18</v>
      </c>
      <c r="B42" s="243"/>
      <c r="C42" s="243" t="s">
        <v>23</v>
      </c>
      <c r="D42" s="244">
        <f t="shared" ca="1" si="1"/>
        <v>44522</v>
      </c>
      <c r="E42" s="245">
        <f t="shared" si="2"/>
        <v>101959.60405333334</v>
      </c>
      <c r="F42" s="245">
        <f t="shared" si="3"/>
        <v>4551.7680380952379</v>
      </c>
      <c r="G42" s="297">
        <f t="shared" si="0"/>
        <v>106511.37209142858</v>
      </c>
      <c r="H42" s="247">
        <f t="shared" si="4"/>
        <v>4579988.9999314314</v>
      </c>
    </row>
    <row r="43" spans="1:8">
      <c r="A43" s="243">
        <v>19</v>
      </c>
      <c r="B43" s="243"/>
      <c r="C43" s="243" t="s">
        <v>24</v>
      </c>
      <c r="D43" s="244">
        <f t="shared" ca="1" si="1"/>
        <v>44552</v>
      </c>
      <c r="E43" s="245">
        <f t="shared" si="2"/>
        <v>101959.60405333334</v>
      </c>
      <c r="F43" s="245">
        <f t="shared" si="3"/>
        <v>4551.7680380952379</v>
      </c>
      <c r="G43" s="297">
        <f t="shared" si="0"/>
        <v>106511.37209142858</v>
      </c>
      <c r="H43" s="247">
        <f t="shared" si="4"/>
        <v>4473477.627840003</v>
      </c>
    </row>
    <row r="44" spans="1:8">
      <c r="A44" s="243">
        <v>20</v>
      </c>
      <c r="B44" s="243"/>
      <c r="C44" s="243" t="s">
        <v>25</v>
      </c>
      <c r="D44" s="244">
        <f t="shared" ca="1" si="1"/>
        <v>44583</v>
      </c>
      <c r="E44" s="245">
        <f t="shared" si="2"/>
        <v>101959.60405333334</v>
      </c>
      <c r="F44" s="245">
        <f t="shared" si="3"/>
        <v>4551.7680380952379</v>
      </c>
      <c r="G44" s="297">
        <f t="shared" si="0"/>
        <v>106511.37209142858</v>
      </c>
      <c r="H44" s="247">
        <f t="shared" si="4"/>
        <v>4366966.2557485746</v>
      </c>
    </row>
    <row r="45" spans="1:8">
      <c r="A45" s="243">
        <v>21</v>
      </c>
      <c r="B45" s="243"/>
      <c r="C45" s="243" t="s">
        <v>26</v>
      </c>
      <c r="D45" s="244">
        <f t="shared" ca="1" si="1"/>
        <v>44614</v>
      </c>
      <c r="E45" s="245">
        <f t="shared" si="2"/>
        <v>101959.60405333334</v>
      </c>
      <c r="F45" s="245">
        <f t="shared" si="3"/>
        <v>4551.7680380952379</v>
      </c>
      <c r="G45" s="297">
        <f t="shared" si="0"/>
        <v>106511.37209142858</v>
      </c>
      <c r="H45" s="247">
        <f t="shared" si="4"/>
        <v>4260454.8836571462</v>
      </c>
    </row>
    <row r="46" spans="1:8">
      <c r="A46" s="243">
        <v>22</v>
      </c>
      <c r="B46" s="243"/>
      <c r="C46" s="243" t="s">
        <v>27</v>
      </c>
      <c r="D46" s="244">
        <f t="shared" ca="1" si="1"/>
        <v>44642</v>
      </c>
      <c r="E46" s="245">
        <f t="shared" si="2"/>
        <v>101959.60405333334</v>
      </c>
      <c r="F46" s="245">
        <f t="shared" si="3"/>
        <v>4551.7680380952379</v>
      </c>
      <c r="G46" s="297">
        <f t="shared" si="0"/>
        <v>106511.37209142858</v>
      </c>
      <c r="H46" s="247">
        <f t="shared" si="4"/>
        <v>4153943.5115657179</v>
      </c>
    </row>
    <row r="47" spans="1:8">
      <c r="A47" s="243">
        <v>23</v>
      </c>
      <c r="B47" s="243"/>
      <c r="C47" s="243" t="s">
        <v>28</v>
      </c>
      <c r="D47" s="244">
        <f t="shared" ca="1" si="1"/>
        <v>44673</v>
      </c>
      <c r="E47" s="245">
        <f t="shared" si="2"/>
        <v>101959.60405333334</v>
      </c>
      <c r="F47" s="245">
        <f t="shared" si="3"/>
        <v>4551.7680380952379</v>
      </c>
      <c r="G47" s="297">
        <f t="shared" si="0"/>
        <v>106511.37209142858</v>
      </c>
      <c r="H47" s="247">
        <f t="shared" si="4"/>
        <v>4047432.1394742895</v>
      </c>
    </row>
    <row r="48" spans="1:8">
      <c r="A48" s="243">
        <v>24</v>
      </c>
      <c r="B48" s="243"/>
      <c r="C48" s="243" t="s">
        <v>29</v>
      </c>
      <c r="D48" s="244">
        <f t="shared" ca="1" si="1"/>
        <v>44703</v>
      </c>
      <c r="E48" s="245">
        <f t="shared" si="2"/>
        <v>101959.60405333334</v>
      </c>
      <c r="F48" s="245">
        <f t="shared" si="3"/>
        <v>4551.7680380952379</v>
      </c>
      <c r="G48" s="297">
        <f t="shared" si="0"/>
        <v>106511.37209142858</v>
      </c>
      <c r="H48" s="247">
        <f t="shared" si="4"/>
        <v>3940920.7673828611</v>
      </c>
    </row>
    <row r="49" spans="1:8">
      <c r="A49" s="243">
        <v>25</v>
      </c>
      <c r="B49" s="243"/>
      <c r="C49" s="243" t="s">
        <v>30</v>
      </c>
      <c r="D49" s="244">
        <f t="shared" ca="1" si="1"/>
        <v>44734</v>
      </c>
      <c r="E49" s="245">
        <f t="shared" si="2"/>
        <v>101959.60405333334</v>
      </c>
      <c r="F49" s="245">
        <f t="shared" si="3"/>
        <v>4551.7680380952379</v>
      </c>
      <c r="G49" s="297">
        <f t="shared" si="0"/>
        <v>106511.37209142858</v>
      </c>
      <c r="H49" s="247">
        <f t="shared" si="4"/>
        <v>3834409.3952914327</v>
      </c>
    </row>
    <row r="50" spans="1:8">
      <c r="A50" s="243">
        <v>26</v>
      </c>
      <c r="B50" s="243"/>
      <c r="C50" s="243" t="s">
        <v>48</v>
      </c>
      <c r="D50" s="244">
        <f t="shared" ca="1" si="1"/>
        <v>44764</v>
      </c>
      <c r="E50" s="245">
        <f t="shared" si="2"/>
        <v>101959.60405333334</v>
      </c>
      <c r="F50" s="245">
        <f t="shared" si="3"/>
        <v>4551.7680380952379</v>
      </c>
      <c r="G50" s="297">
        <f t="shared" si="0"/>
        <v>106511.37209142858</v>
      </c>
      <c r="H50" s="247">
        <f t="shared" si="4"/>
        <v>3727898.0232000044</v>
      </c>
    </row>
    <row r="51" spans="1:8">
      <c r="A51" s="243">
        <v>27</v>
      </c>
      <c r="B51" s="243"/>
      <c r="C51" s="243" t="s">
        <v>49</v>
      </c>
      <c r="D51" s="244">
        <f t="shared" ca="1" si="1"/>
        <v>44795</v>
      </c>
      <c r="E51" s="245">
        <f t="shared" si="2"/>
        <v>101959.60405333334</v>
      </c>
      <c r="F51" s="245">
        <f t="shared" si="3"/>
        <v>4551.7680380952379</v>
      </c>
      <c r="G51" s="297">
        <f t="shared" si="0"/>
        <v>106511.37209142858</v>
      </c>
      <c r="H51" s="247">
        <f t="shared" si="4"/>
        <v>3621386.651108576</v>
      </c>
    </row>
    <row r="52" spans="1:8">
      <c r="A52" s="243">
        <v>28</v>
      </c>
      <c r="B52" s="243"/>
      <c r="C52" s="243" t="s">
        <v>50</v>
      </c>
      <c r="D52" s="244">
        <f t="shared" ca="1" si="1"/>
        <v>44826</v>
      </c>
      <c r="E52" s="245">
        <f t="shared" si="2"/>
        <v>101959.60405333334</v>
      </c>
      <c r="F52" s="245">
        <f t="shared" si="3"/>
        <v>4551.7680380952379</v>
      </c>
      <c r="G52" s="297">
        <f t="shared" si="0"/>
        <v>106511.37209142858</v>
      </c>
      <c r="H52" s="247">
        <f t="shared" si="4"/>
        <v>3514875.2790171476</v>
      </c>
    </row>
    <row r="53" spans="1:8">
      <c r="A53" s="243">
        <v>29</v>
      </c>
      <c r="B53" s="243"/>
      <c r="C53" s="243" t="s">
        <v>51</v>
      </c>
      <c r="D53" s="244">
        <f t="shared" ca="1" si="1"/>
        <v>44856</v>
      </c>
      <c r="E53" s="245">
        <f t="shared" si="2"/>
        <v>101959.60405333334</v>
      </c>
      <c r="F53" s="245">
        <f t="shared" si="3"/>
        <v>4551.7680380952379</v>
      </c>
      <c r="G53" s="297">
        <f t="shared" si="0"/>
        <v>106511.37209142858</v>
      </c>
      <c r="H53" s="247">
        <f t="shared" si="4"/>
        <v>3408363.9069257192</v>
      </c>
    </row>
    <row r="54" spans="1:8">
      <c r="A54" s="243">
        <v>30</v>
      </c>
      <c r="B54" s="243"/>
      <c r="C54" s="243" t="s">
        <v>52</v>
      </c>
      <c r="D54" s="244">
        <f t="shared" ca="1" si="1"/>
        <v>44887</v>
      </c>
      <c r="E54" s="245">
        <f t="shared" si="2"/>
        <v>101959.60405333334</v>
      </c>
      <c r="F54" s="245">
        <f t="shared" si="3"/>
        <v>4551.7680380952379</v>
      </c>
      <c r="G54" s="297">
        <f t="shared" si="0"/>
        <v>106511.37209142858</v>
      </c>
      <c r="H54" s="247">
        <f t="shared" si="4"/>
        <v>3301852.5348342909</v>
      </c>
    </row>
    <row r="55" spans="1:8">
      <c r="A55" s="243">
        <v>31</v>
      </c>
      <c r="B55" s="243"/>
      <c r="C55" s="243" t="s">
        <v>53</v>
      </c>
      <c r="D55" s="244">
        <f t="shared" ca="1" si="1"/>
        <v>44917</v>
      </c>
      <c r="E55" s="245">
        <f t="shared" si="2"/>
        <v>101959.60405333334</v>
      </c>
      <c r="F55" s="245">
        <f t="shared" si="3"/>
        <v>4551.7680380952379</v>
      </c>
      <c r="G55" s="297">
        <f t="shared" si="0"/>
        <v>106511.37209142858</v>
      </c>
      <c r="H55" s="247">
        <f t="shared" si="4"/>
        <v>3195341.1627428625</v>
      </c>
    </row>
    <row r="56" spans="1:8">
      <c r="A56" s="243">
        <v>32</v>
      </c>
      <c r="B56" s="243"/>
      <c r="C56" s="243" t="s">
        <v>93</v>
      </c>
      <c r="D56" s="244">
        <f t="shared" ca="1" si="1"/>
        <v>44948</v>
      </c>
      <c r="E56" s="245">
        <f t="shared" si="2"/>
        <v>101959.60405333334</v>
      </c>
      <c r="F56" s="245">
        <f t="shared" si="3"/>
        <v>4551.7680380952379</v>
      </c>
      <c r="G56" s="297">
        <f t="shared" si="0"/>
        <v>106511.37209142858</v>
      </c>
      <c r="H56" s="247">
        <f t="shared" si="4"/>
        <v>3088829.7906514341</v>
      </c>
    </row>
    <row r="57" spans="1:8">
      <c r="A57" s="243">
        <v>33</v>
      </c>
      <c r="B57" s="243"/>
      <c r="C57" s="243" t="s">
        <v>94</v>
      </c>
      <c r="D57" s="244">
        <f t="shared" ca="1" si="1"/>
        <v>44979</v>
      </c>
      <c r="E57" s="245">
        <f t="shared" si="2"/>
        <v>101959.60405333334</v>
      </c>
      <c r="F57" s="245">
        <f t="shared" si="3"/>
        <v>4551.7680380952379</v>
      </c>
      <c r="G57" s="297">
        <f t="shared" si="0"/>
        <v>106511.37209142858</v>
      </c>
      <c r="H57" s="247">
        <f t="shared" si="4"/>
        <v>2982318.4185600057</v>
      </c>
    </row>
    <row r="58" spans="1:8">
      <c r="A58" s="243">
        <v>34</v>
      </c>
      <c r="B58" s="243"/>
      <c r="C58" s="243" t="s">
        <v>95</v>
      </c>
      <c r="D58" s="244">
        <f t="shared" ca="1" si="1"/>
        <v>45007</v>
      </c>
      <c r="E58" s="245">
        <f t="shared" si="2"/>
        <v>101959.60405333334</v>
      </c>
      <c r="F58" s="245">
        <f t="shared" si="3"/>
        <v>4551.7680380952379</v>
      </c>
      <c r="G58" s="297">
        <f t="shared" si="0"/>
        <v>106511.37209142858</v>
      </c>
      <c r="H58" s="247">
        <f t="shared" si="4"/>
        <v>2875807.0464685773</v>
      </c>
    </row>
    <row r="59" spans="1:8">
      <c r="A59" s="243">
        <v>35</v>
      </c>
      <c r="B59" s="243"/>
      <c r="C59" s="243" t="s">
        <v>96</v>
      </c>
      <c r="D59" s="244">
        <f t="shared" ca="1" si="1"/>
        <v>45038</v>
      </c>
      <c r="E59" s="245">
        <f t="shared" si="2"/>
        <v>101959.60405333334</v>
      </c>
      <c r="F59" s="245">
        <f t="shared" si="3"/>
        <v>4551.7680380952379</v>
      </c>
      <c r="G59" s="297">
        <f t="shared" si="0"/>
        <v>106511.37209142858</v>
      </c>
      <c r="H59" s="247">
        <f t="shared" si="4"/>
        <v>2769295.674377149</v>
      </c>
    </row>
    <row r="60" spans="1:8">
      <c r="A60" s="243">
        <v>36</v>
      </c>
      <c r="B60" s="243"/>
      <c r="C60" s="243" t="s">
        <v>97</v>
      </c>
      <c r="D60" s="244">
        <f t="shared" ca="1" si="1"/>
        <v>45068</v>
      </c>
      <c r="E60" s="245">
        <f t="shared" si="2"/>
        <v>101959.60405333334</v>
      </c>
      <c r="F60" s="245">
        <f t="shared" si="3"/>
        <v>4551.7680380952379</v>
      </c>
      <c r="G60" s="297">
        <f t="shared" si="0"/>
        <v>106511.37209142858</v>
      </c>
      <c r="H60" s="247">
        <f t="shared" si="4"/>
        <v>2662784.3022857206</v>
      </c>
    </row>
    <row r="61" spans="1:8">
      <c r="A61" s="243">
        <v>37</v>
      </c>
      <c r="B61" s="243"/>
      <c r="C61" s="243" t="s">
        <v>98</v>
      </c>
      <c r="D61" s="244">
        <f t="shared" ca="1" si="1"/>
        <v>45099</v>
      </c>
      <c r="E61" s="245">
        <f t="shared" si="2"/>
        <v>101959.60405333334</v>
      </c>
      <c r="F61" s="245">
        <f t="shared" si="3"/>
        <v>4551.7680380952379</v>
      </c>
      <c r="G61" s="297">
        <f t="shared" si="0"/>
        <v>106511.37209142858</v>
      </c>
      <c r="H61" s="247">
        <f t="shared" si="4"/>
        <v>2556272.9301942922</v>
      </c>
    </row>
    <row r="62" spans="1:8">
      <c r="A62" s="243">
        <v>38</v>
      </c>
      <c r="B62" s="243"/>
      <c r="C62" s="243" t="s">
        <v>99</v>
      </c>
      <c r="D62" s="244">
        <f t="shared" ca="1" si="1"/>
        <v>45129</v>
      </c>
      <c r="E62" s="245">
        <f t="shared" si="2"/>
        <v>101959.60405333334</v>
      </c>
      <c r="F62" s="245">
        <f t="shared" si="3"/>
        <v>4551.7680380952379</v>
      </c>
      <c r="G62" s="297">
        <f t="shared" si="0"/>
        <v>106511.37209142858</v>
      </c>
      <c r="H62" s="247">
        <f t="shared" si="4"/>
        <v>2449761.5581028638</v>
      </c>
    </row>
    <row r="63" spans="1:8">
      <c r="A63" s="243">
        <v>39</v>
      </c>
      <c r="B63" s="243"/>
      <c r="C63" s="243" t="s">
        <v>100</v>
      </c>
      <c r="D63" s="244">
        <f t="shared" ca="1" si="1"/>
        <v>45160</v>
      </c>
      <c r="E63" s="245">
        <f t="shared" si="2"/>
        <v>101959.60405333334</v>
      </c>
      <c r="F63" s="245">
        <f t="shared" si="3"/>
        <v>4551.7680380952379</v>
      </c>
      <c r="G63" s="297">
        <f t="shared" si="0"/>
        <v>106511.37209142858</v>
      </c>
      <c r="H63" s="247">
        <f t="shared" si="4"/>
        <v>2343250.1860114355</v>
      </c>
    </row>
    <row r="64" spans="1:8">
      <c r="A64" s="243">
        <v>40</v>
      </c>
      <c r="B64" s="243"/>
      <c r="C64" s="243" t="s">
        <v>101</v>
      </c>
      <c r="D64" s="244">
        <f t="shared" ca="1" si="1"/>
        <v>45191</v>
      </c>
      <c r="E64" s="245">
        <f t="shared" si="2"/>
        <v>101959.60405333334</v>
      </c>
      <c r="F64" s="245">
        <f t="shared" si="3"/>
        <v>4551.7680380952379</v>
      </c>
      <c r="G64" s="297">
        <f t="shared" si="0"/>
        <v>106511.37209142858</v>
      </c>
      <c r="H64" s="247">
        <f t="shared" si="4"/>
        <v>2236738.8139200071</v>
      </c>
    </row>
    <row r="65" spans="1:8">
      <c r="A65" s="243">
        <v>41</v>
      </c>
      <c r="B65" s="243"/>
      <c r="C65" s="243" t="s">
        <v>102</v>
      </c>
      <c r="D65" s="244">
        <f t="shared" ca="1" si="1"/>
        <v>45221</v>
      </c>
      <c r="E65" s="245">
        <f t="shared" si="2"/>
        <v>101959.60405333334</v>
      </c>
      <c r="F65" s="245">
        <f t="shared" si="3"/>
        <v>4551.7680380952379</v>
      </c>
      <c r="G65" s="297">
        <f t="shared" si="0"/>
        <v>106511.37209142858</v>
      </c>
      <c r="H65" s="247">
        <f t="shared" si="4"/>
        <v>2130227.4418285787</v>
      </c>
    </row>
    <row r="66" spans="1:8">
      <c r="A66" s="243">
        <v>42</v>
      </c>
      <c r="B66" s="243"/>
      <c r="C66" s="243" t="s">
        <v>103</v>
      </c>
      <c r="D66" s="244">
        <f t="shared" ca="1" si="1"/>
        <v>45252</v>
      </c>
      <c r="E66" s="245">
        <f t="shared" si="2"/>
        <v>101959.60405333334</v>
      </c>
      <c r="F66" s="245">
        <f t="shared" si="3"/>
        <v>4551.7680380952379</v>
      </c>
      <c r="G66" s="297">
        <f t="shared" si="0"/>
        <v>106511.37209142858</v>
      </c>
      <c r="H66" s="247">
        <f t="shared" si="4"/>
        <v>2023716.0697371501</v>
      </c>
    </row>
    <row r="67" spans="1:8">
      <c r="A67" s="243">
        <v>43</v>
      </c>
      <c r="B67" s="243"/>
      <c r="C67" s="243" t="s">
        <v>104</v>
      </c>
      <c r="D67" s="244">
        <f t="shared" ca="1" si="1"/>
        <v>45282</v>
      </c>
      <c r="E67" s="245">
        <f t="shared" si="2"/>
        <v>101959.60405333334</v>
      </c>
      <c r="F67" s="245">
        <f t="shared" si="3"/>
        <v>4551.7680380952379</v>
      </c>
      <c r="G67" s="297">
        <f t="shared" si="0"/>
        <v>106511.37209142858</v>
      </c>
      <c r="H67" s="247">
        <f t="shared" si="4"/>
        <v>1917204.6976457215</v>
      </c>
    </row>
    <row r="68" spans="1:8">
      <c r="A68" s="243">
        <v>44</v>
      </c>
      <c r="B68" s="243"/>
      <c r="C68" s="243" t="s">
        <v>105</v>
      </c>
      <c r="D68" s="244">
        <f t="shared" ca="1" si="1"/>
        <v>45313</v>
      </c>
      <c r="E68" s="245">
        <f t="shared" si="2"/>
        <v>101959.60405333334</v>
      </c>
      <c r="F68" s="245">
        <f t="shared" si="3"/>
        <v>4551.7680380952379</v>
      </c>
      <c r="G68" s="297">
        <f t="shared" si="0"/>
        <v>106511.37209142858</v>
      </c>
      <c r="H68" s="247">
        <f t="shared" si="4"/>
        <v>1810693.3255542929</v>
      </c>
    </row>
    <row r="69" spans="1:8">
      <c r="A69" s="243">
        <v>45</v>
      </c>
      <c r="B69" s="243"/>
      <c r="C69" s="243" t="s">
        <v>106</v>
      </c>
      <c r="D69" s="244">
        <f t="shared" ca="1" si="1"/>
        <v>45344</v>
      </c>
      <c r="E69" s="245">
        <f t="shared" si="2"/>
        <v>101959.60405333334</v>
      </c>
      <c r="F69" s="245">
        <f t="shared" si="3"/>
        <v>4551.7680380952379</v>
      </c>
      <c r="G69" s="297">
        <f t="shared" si="0"/>
        <v>106511.37209142858</v>
      </c>
      <c r="H69" s="247">
        <f t="shared" si="4"/>
        <v>1704181.9534628643</v>
      </c>
    </row>
    <row r="70" spans="1:8">
      <c r="A70" s="243">
        <v>46</v>
      </c>
      <c r="B70" s="243"/>
      <c r="C70" s="243" t="s">
        <v>107</v>
      </c>
      <c r="D70" s="244">
        <f t="shared" ca="1" si="1"/>
        <v>45373</v>
      </c>
      <c r="E70" s="245">
        <f t="shared" si="2"/>
        <v>101959.60405333334</v>
      </c>
      <c r="F70" s="245">
        <f t="shared" si="3"/>
        <v>4551.7680380952379</v>
      </c>
      <c r="G70" s="297">
        <f t="shared" si="0"/>
        <v>106511.37209142858</v>
      </c>
      <c r="H70" s="247">
        <f t="shared" si="4"/>
        <v>1597670.5813714357</v>
      </c>
    </row>
    <row r="71" spans="1:8">
      <c r="A71" s="243">
        <v>47</v>
      </c>
      <c r="B71" s="243"/>
      <c r="C71" s="243" t="s">
        <v>108</v>
      </c>
      <c r="D71" s="244">
        <f t="shared" ca="1" si="1"/>
        <v>45404</v>
      </c>
      <c r="E71" s="245">
        <f t="shared" si="2"/>
        <v>101959.60405333334</v>
      </c>
      <c r="F71" s="245">
        <f t="shared" si="3"/>
        <v>4551.7680380952379</v>
      </c>
      <c r="G71" s="297">
        <f t="shared" si="0"/>
        <v>106511.37209142858</v>
      </c>
      <c r="H71" s="247">
        <f t="shared" si="4"/>
        <v>1491159.2092800071</v>
      </c>
    </row>
    <row r="72" spans="1:8">
      <c r="A72" s="243">
        <v>48</v>
      </c>
      <c r="B72" s="243"/>
      <c r="C72" s="243" t="s">
        <v>109</v>
      </c>
      <c r="D72" s="244">
        <f t="shared" ca="1" si="1"/>
        <v>45434</v>
      </c>
      <c r="E72" s="245">
        <f t="shared" si="2"/>
        <v>101959.60405333334</v>
      </c>
      <c r="F72" s="245">
        <f t="shared" si="3"/>
        <v>4551.7680380952379</v>
      </c>
      <c r="G72" s="297">
        <f t="shared" si="0"/>
        <v>106511.37209142858</v>
      </c>
      <c r="H72" s="247">
        <f t="shared" si="4"/>
        <v>1384647.8371885784</v>
      </c>
    </row>
    <row r="73" spans="1:8">
      <c r="A73" s="243">
        <v>49</v>
      </c>
      <c r="B73" s="243"/>
      <c r="C73" s="243" t="s">
        <v>110</v>
      </c>
      <c r="D73" s="244">
        <f t="shared" ca="1" si="1"/>
        <v>45465</v>
      </c>
      <c r="E73" s="245">
        <f t="shared" si="2"/>
        <v>101959.60405333334</v>
      </c>
      <c r="F73" s="245">
        <f t="shared" si="3"/>
        <v>4551.7680380952379</v>
      </c>
      <c r="G73" s="297">
        <f t="shared" si="0"/>
        <v>106511.37209142858</v>
      </c>
      <c r="H73" s="247">
        <f t="shared" si="4"/>
        <v>1278136.4650971498</v>
      </c>
    </row>
    <row r="74" spans="1:8">
      <c r="A74" s="243">
        <v>50</v>
      </c>
      <c r="B74" s="243"/>
      <c r="C74" s="243" t="s">
        <v>111</v>
      </c>
      <c r="D74" s="244">
        <f t="shared" ca="1" si="1"/>
        <v>45495</v>
      </c>
      <c r="E74" s="245">
        <f t="shared" si="2"/>
        <v>101959.60405333334</v>
      </c>
      <c r="F74" s="245">
        <f t="shared" si="3"/>
        <v>4551.7680380952379</v>
      </c>
      <c r="G74" s="297">
        <f t="shared" si="0"/>
        <v>106511.37209142858</v>
      </c>
      <c r="H74" s="247">
        <f t="shared" si="4"/>
        <v>1171625.0930057212</v>
      </c>
    </row>
    <row r="75" spans="1:8">
      <c r="A75" s="243">
        <v>51</v>
      </c>
      <c r="B75" s="243"/>
      <c r="C75" s="243" t="s">
        <v>112</v>
      </c>
      <c r="D75" s="244">
        <f t="shared" ca="1" si="1"/>
        <v>45526</v>
      </c>
      <c r="E75" s="245">
        <f t="shared" si="2"/>
        <v>101959.60405333334</v>
      </c>
      <c r="F75" s="245">
        <f t="shared" si="3"/>
        <v>4551.7680380952379</v>
      </c>
      <c r="G75" s="297">
        <f t="shared" si="0"/>
        <v>106511.37209142858</v>
      </c>
      <c r="H75" s="247">
        <f t="shared" si="4"/>
        <v>1065113.7209142926</v>
      </c>
    </row>
    <row r="76" spans="1:8">
      <c r="A76" s="243">
        <v>52</v>
      </c>
      <c r="B76" s="243"/>
      <c r="C76" s="243" t="s">
        <v>113</v>
      </c>
      <c r="D76" s="244">
        <f t="shared" ca="1" si="1"/>
        <v>45557</v>
      </c>
      <c r="E76" s="245">
        <f t="shared" si="2"/>
        <v>101959.60405333334</v>
      </c>
      <c r="F76" s="245">
        <f t="shared" si="3"/>
        <v>4551.7680380952379</v>
      </c>
      <c r="G76" s="297">
        <f t="shared" si="0"/>
        <v>106511.37209142858</v>
      </c>
      <c r="H76" s="247">
        <f t="shared" si="4"/>
        <v>958602.34882286401</v>
      </c>
    </row>
    <row r="77" spans="1:8">
      <c r="A77" s="243">
        <v>53</v>
      </c>
      <c r="B77" s="243"/>
      <c r="C77" s="243" t="s">
        <v>114</v>
      </c>
      <c r="D77" s="244">
        <f t="shared" ca="1" si="1"/>
        <v>45587</v>
      </c>
      <c r="E77" s="245">
        <f t="shared" si="2"/>
        <v>101959.60405333334</v>
      </c>
      <c r="F77" s="245">
        <f t="shared" si="3"/>
        <v>4551.7680380952379</v>
      </c>
      <c r="G77" s="297">
        <f t="shared" si="0"/>
        <v>106511.37209142858</v>
      </c>
      <c r="H77" s="247">
        <f t="shared" si="4"/>
        <v>852090.9767314354</v>
      </c>
    </row>
    <row r="78" spans="1:8">
      <c r="A78" s="243">
        <v>54</v>
      </c>
      <c r="B78" s="243"/>
      <c r="C78" s="243" t="s">
        <v>115</v>
      </c>
      <c r="D78" s="244">
        <f t="shared" ca="1" si="1"/>
        <v>45618</v>
      </c>
      <c r="E78" s="245">
        <f t="shared" si="2"/>
        <v>101959.60405333334</v>
      </c>
      <c r="F78" s="245">
        <f t="shared" si="3"/>
        <v>4551.7680380952379</v>
      </c>
      <c r="G78" s="297">
        <f t="shared" si="0"/>
        <v>106511.37209142858</v>
      </c>
      <c r="H78" s="247">
        <f t="shared" si="4"/>
        <v>745579.60464000679</v>
      </c>
    </row>
    <row r="79" spans="1:8">
      <c r="A79" s="243">
        <v>55</v>
      </c>
      <c r="B79" s="243"/>
      <c r="C79" s="243" t="s">
        <v>116</v>
      </c>
      <c r="D79" s="244">
        <f t="shared" ca="1" si="1"/>
        <v>45648</v>
      </c>
      <c r="E79" s="245">
        <f t="shared" si="2"/>
        <v>101959.60405333334</v>
      </c>
      <c r="F79" s="245">
        <f t="shared" si="3"/>
        <v>4551.7680380952379</v>
      </c>
      <c r="G79" s="297">
        <f t="shared" si="0"/>
        <v>106511.37209142858</v>
      </c>
      <c r="H79" s="247">
        <f t="shared" si="4"/>
        <v>639068.23254857818</v>
      </c>
    </row>
    <row r="80" spans="1:8">
      <c r="A80" s="243">
        <v>56</v>
      </c>
      <c r="B80" s="243"/>
      <c r="C80" s="243" t="s">
        <v>117</v>
      </c>
      <c r="D80" s="244">
        <f t="shared" ca="1" si="1"/>
        <v>45679</v>
      </c>
      <c r="E80" s="245">
        <f t="shared" si="2"/>
        <v>101959.60405333334</v>
      </c>
      <c r="F80" s="245">
        <f t="shared" si="3"/>
        <v>4551.7680380952379</v>
      </c>
      <c r="G80" s="297">
        <f t="shared" si="0"/>
        <v>106511.37209142858</v>
      </c>
      <c r="H80" s="247">
        <f t="shared" si="4"/>
        <v>532556.86045714957</v>
      </c>
    </row>
    <row r="81" spans="1:8">
      <c r="A81" s="243">
        <v>57</v>
      </c>
      <c r="B81" s="243"/>
      <c r="C81" s="243" t="s">
        <v>118</v>
      </c>
      <c r="D81" s="244">
        <f t="shared" ca="1" si="1"/>
        <v>45710</v>
      </c>
      <c r="E81" s="245">
        <f t="shared" si="2"/>
        <v>101959.60405333334</v>
      </c>
      <c r="F81" s="245">
        <f t="shared" si="3"/>
        <v>4551.7680380952379</v>
      </c>
      <c r="G81" s="297">
        <f t="shared" si="0"/>
        <v>106511.37209142858</v>
      </c>
      <c r="H81" s="247">
        <f t="shared" si="4"/>
        <v>426045.48836572096</v>
      </c>
    </row>
    <row r="82" spans="1:8">
      <c r="A82" s="243">
        <v>58</v>
      </c>
      <c r="B82" s="243"/>
      <c r="C82" s="243" t="s">
        <v>119</v>
      </c>
      <c r="D82" s="244">
        <f t="shared" ca="1" si="1"/>
        <v>45738</v>
      </c>
      <c r="E82" s="245">
        <f t="shared" si="2"/>
        <v>101959.60405333334</v>
      </c>
      <c r="F82" s="245">
        <f t="shared" si="3"/>
        <v>4551.7680380952379</v>
      </c>
      <c r="G82" s="297">
        <f t="shared" si="0"/>
        <v>106511.37209142858</v>
      </c>
      <c r="H82" s="247">
        <f t="shared" si="4"/>
        <v>319534.11627429235</v>
      </c>
    </row>
    <row r="83" spans="1:8">
      <c r="A83" s="243">
        <v>59</v>
      </c>
      <c r="B83" s="243"/>
      <c r="C83" s="243" t="s">
        <v>120</v>
      </c>
      <c r="D83" s="244">
        <f t="shared" ca="1" si="1"/>
        <v>45769</v>
      </c>
      <c r="E83" s="245">
        <f t="shared" si="2"/>
        <v>101959.60405333334</v>
      </c>
      <c r="F83" s="245">
        <f t="shared" si="3"/>
        <v>4551.7680380952379</v>
      </c>
      <c r="G83" s="297">
        <f t="shared" si="0"/>
        <v>106511.37209142858</v>
      </c>
      <c r="H83" s="247">
        <f t="shared" si="4"/>
        <v>213022.74418286377</v>
      </c>
    </row>
    <row r="84" spans="1:8">
      <c r="A84" s="243">
        <v>60</v>
      </c>
      <c r="B84" s="243"/>
      <c r="C84" s="243" t="s">
        <v>121</v>
      </c>
      <c r="D84" s="244">
        <f t="shared" ca="1" si="1"/>
        <v>45799</v>
      </c>
      <c r="E84" s="245">
        <f t="shared" si="2"/>
        <v>101959.60405333334</v>
      </c>
      <c r="F84" s="245">
        <f t="shared" si="3"/>
        <v>4551.7680380952379</v>
      </c>
      <c r="G84" s="297">
        <f t="shared" si="0"/>
        <v>106511.37209142858</v>
      </c>
      <c r="H84" s="247">
        <f t="shared" si="4"/>
        <v>106511.37209143519</v>
      </c>
    </row>
    <row r="85" spans="1:8">
      <c r="A85" s="243">
        <v>61</v>
      </c>
      <c r="B85" s="243"/>
      <c r="C85" s="243" t="s">
        <v>122</v>
      </c>
      <c r="D85" s="244">
        <f t="shared" ca="1" si="1"/>
        <v>45830</v>
      </c>
      <c r="E85" s="245">
        <f t="shared" si="2"/>
        <v>101959.60405333334</v>
      </c>
      <c r="F85" s="245">
        <f t="shared" si="3"/>
        <v>4551.7680380952379</v>
      </c>
      <c r="G85" s="297">
        <f t="shared" si="0"/>
        <v>106511.37209142858</v>
      </c>
      <c r="H85" s="247">
        <f t="shared" si="4"/>
        <v>6.6065695136785507E-9</v>
      </c>
    </row>
    <row r="86" spans="1:8">
      <c r="A86" s="404" t="s">
        <v>16</v>
      </c>
      <c r="B86" s="405"/>
      <c r="C86" s="405"/>
      <c r="D86" s="406"/>
      <c r="E86" s="249">
        <f>SUM(E23:E85)</f>
        <v>7646970.3040000042</v>
      </c>
      <c r="F86" s="249">
        <f t="shared" ref="F86:G86" si="5">SUM(F23:F85)</f>
        <v>341382.60285714333</v>
      </c>
      <c r="G86" s="249">
        <f t="shared" si="5"/>
        <v>7988352.9068571329</v>
      </c>
      <c r="H86" s="279"/>
    </row>
    <row r="87" spans="1:8" s="197" customFormat="1" ht="14">
      <c r="C87" s="206"/>
      <c r="D87" s="207"/>
      <c r="E87" s="208"/>
      <c r="F87" s="208"/>
      <c r="G87" s="208"/>
    </row>
    <row r="88" spans="1:8" s="197" customFormat="1" ht="14">
      <c r="A88" s="374" t="s">
        <v>313</v>
      </c>
      <c r="B88" s="374"/>
      <c r="C88" s="374"/>
      <c r="D88" s="374"/>
      <c r="E88" s="374"/>
      <c r="F88" s="374"/>
      <c r="G88" s="374"/>
      <c r="H88" s="374"/>
    </row>
    <row r="89" spans="1:8" s="197" customFormat="1" ht="29.25" customHeight="1">
      <c r="A89" s="388" t="s">
        <v>314</v>
      </c>
      <c r="B89" s="388"/>
      <c r="C89" s="388"/>
      <c r="D89" s="388"/>
      <c r="E89" s="388"/>
      <c r="F89" s="388"/>
      <c r="G89" s="388"/>
      <c r="H89" s="388"/>
    </row>
    <row r="90" spans="1:8" s="197" customFormat="1" ht="16.5" customHeight="1">
      <c r="A90" s="374" t="s">
        <v>315</v>
      </c>
      <c r="B90" s="374"/>
      <c r="C90" s="374"/>
      <c r="D90" s="374"/>
      <c r="E90" s="374"/>
      <c r="F90" s="374"/>
      <c r="G90" s="374"/>
      <c r="H90" s="374"/>
    </row>
    <row r="91" spans="1:8" s="197" customFormat="1" ht="16.5" customHeight="1">
      <c r="A91" s="374" t="s">
        <v>316</v>
      </c>
      <c r="B91" s="374"/>
      <c r="C91" s="374"/>
      <c r="D91" s="374"/>
      <c r="E91" s="374"/>
      <c r="F91" s="374"/>
      <c r="G91" s="374"/>
      <c r="H91" s="374"/>
    </row>
    <row r="92" spans="1:8" s="197" customFormat="1" ht="16.5" customHeight="1">
      <c r="A92" s="374" t="s">
        <v>317</v>
      </c>
      <c r="B92" s="374"/>
      <c r="C92" s="374"/>
      <c r="D92" s="374"/>
      <c r="E92" s="374"/>
      <c r="F92" s="374"/>
      <c r="G92" s="374"/>
      <c r="H92" s="374"/>
    </row>
    <row r="93" spans="1:8" s="197" customFormat="1" ht="106.5" customHeight="1">
      <c r="A93" s="374" t="s">
        <v>318</v>
      </c>
      <c r="B93" s="374"/>
      <c r="C93" s="374"/>
      <c r="D93" s="374"/>
      <c r="E93" s="374"/>
      <c r="F93" s="374"/>
      <c r="G93" s="374"/>
      <c r="H93" s="374"/>
    </row>
    <row r="94" spans="1:8" s="197" customFormat="1" ht="43.5" customHeight="1">
      <c r="A94" s="374" t="s">
        <v>319</v>
      </c>
      <c r="B94" s="374"/>
      <c r="C94" s="374"/>
      <c r="D94" s="374"/>
      <c r="E94" s="374"/>
      <c r="F94" s="374"/>
      <c r="G94" s="374"/>
      <c r="H94" s="374"/>
    </row>
    <row r="95" spans="1:8" s="197" customFormat="1" ht="21" customHeight="1">
      <c r="A95" s="374" t="s">
        <v>320</v>
      </c>
      <c r="B95" s="374"/>
      <c r="C95" s="374"/>
      <c r="D95" s="374"/>
      <c r="E95" s="374"/>
      <c r="F95" s="374"/>
      <c r="G95" s="374"/>
      <c r="H95" s="374"/>
    </row>
    <row r="96" spans="1:8" s="197" customFormat="1" ht="14">
      <c r="A96" s="374"/>
      <c r="B96" s="374"/>
      <c r="C96" s="374"/>
      <c r="D96" s="374"/>
      <c r="E96" s="374"/>
      <c r="F96" s="374"/>
      <c r="G96" s="374"/>
      <c r="H96" s="374"/>
    </row>
    <row r="97" spans="1:7" s="197" customFormat="1" ht="14">
      <c r="A97" s="197" t="s">
        <v>17</v>
      </c>
      <c r="D97" s="209"/>
      <c r="G97" s="198"/>
    </row>
    <row r="98" spans="1:7" s="197" customFormat="1" ht="14">
      <c r="D98" s="209"/>
      <c r="G98" s="198"/>
    </row>
    <row r="99" spans="1:7" s="197" customFormat="1" ht="15" customHeight="1">
      <c r="A99" s="210"/>
      <c r="B99" s="210"/>
      <c r="C99" s="210"/>
      <c r="D99" s="209"/>
      <c r="E99" s="210"/>
      <c r="F99" s="210"/>
      <c r="G99" s="211"/>
    </row>
    <row r="100" spans="1:7" s="197" customFormat="1" ht="14">
      <c r="A100" s="375" t="s">
        <v>293</v>
      </c>
      <c r="B100" s="375"/>
      <c r="C100" s="375"/>
      <c r="D100" s="209"/>
      <c r="E100" s="375" t="s">
        <v>18</v>
      </c>
      <c r="F100" s="375"/>
      <c r="G100" s="375"/>
    </row>
    <row r="101" spans="1:7"/>
  </sheetData>
  <sheetProtection password="CAF1" sheet="1" selectLockedCells="1"/>
  <mergeCells count="20">
    <mergeCell ref="A93:H93"/>
    <mergeCell ref="A94:H94"/>
    <mergeCell ref="A95:H95"/>
    <mergeCell ref="A96:H96"/>
    <mergeCell ref="A100:C100"/>
    <mergeCell ref="E100:G100"/>
    <mergeCell ref="C10:H10"/>
    <mergeCell ref="A86:D86"/>
    <mergeCell ref="H1:H2"/>
    <mergeCell ref="C5:H5"/>
    <mergeCell ref="C6:H6"/>
    <mergeCell ref="C7:H7"/>
    <mergeCell ref="C8:H8"/>
    <mergeCell ref="C9:H9"/>
    <mergeCell ref="A22:G22"/>
    <mergeCell ref="A88:H88"/>
    <mergeCell ref="A89:H89"/>
    <mergeCell ref="A90:H90"/>
    <mergeCell ref="A91:H91"/>
    <mergeCell ref="A92:H92"/>
  </mergeCells>
  <hyperlinks>
    <hyperlink ref="C1" location="'DATA SHEET'!A1" display="HIGHLANDS PRIME, INC." xr:uid="{00000000-0004-0000-1D00-000000000000}"/>
    <hyperlink ref="J3" location="'DATA SHEET'!A1" display="Return to Data Sheet" xr:uid="{00000000-0004-0000-1D00-000001000000}"/>
  </hyperlinks>
  <printOptions horizontalCentered="1"/>
  <pageMargins left="0.7" right="0.7" top="0.75" bottom="0.75" header="0.3" footer="0.3"/>
  <pageSetup paperSize="5" scale="75" orientation="portrait" r:id="rId1"/>
  <ignoredErrors>
    <ignoredError sqref="D16" unlockedFormula="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0">
    <tabColor rgb="FF389E8F"/>
  </sheetPr>
  <dimension ref="A1:L78"/>
  <sheetViews>
    <sheetView showGridLines="0" zoomScaleNormal="100" workbookViewId="0">
      <selection activeCell="C15" sqref="C15"/>
    </sheetView>
  </sheetViews>
  <sheetFormatPr baseColWidth="10" defaultColWidth="0" defaultRowHeight="15" zeroHeight="1"/>
  <cols>
    <col min="1" max="1" width="12.1640625" style="39" customWidth="1"/>
    <col min="2" max="2" width="10.5" style="39" customWidth="1"/>
    <col min="3" max="3" width="24" style="39" customWidth="1"/>
    <col min="4" max="4" width="13.5" style="40" bestFit="1" customWidth="1"/>
    <col min="5" max="5" width="13.5" style="39" bestFit="1" customWidth="1"/>
    <col min="6" max="6" width="14.83203125" style="39" bestFit="1" customWidth="1"/>
    <col min="7" max="7" width="14.33203125" style="280" bestFit="1" customWidth="1"/>
    <col min="8" max="8" width="16.5" style="280" bestFit="1" customWidth="1"/>
    <col min="9" max="12" width="9.1640625" style="280" customWidth="1"/>
    <col min="13" max="16384" width="9.1640625" style="280" hidden="1"/>
  </cols>
  <sheetData>
    <row r="1" spans="1:10">
      <c r="C1" s="212" t="s">
        <v>35</v>
      </c>
      <c r="H1" s="376" t="s">
        <v>66</v>
      </c>
    </row>
    <row r="2" spans="1:10">
      <c r="C2" s="41" t="s">
        <v>207</v>
      </c>
      <c r="H2" s="376"/>
    </row>
    <row r="3" spans="1:10">
      <c r="C3" s="41" t="s">
        <v>36</v>
      </c>
      <c r="H3" s="39"/>
      <c r="J3" s="251" t="s">
        <v>215</v>
      </c>
    </row>
    <row r="4" spans="1:10">
      <c r="H4" s="39"/>
    </row>
    <row r="5" spans="1:10">
      <c r="A5" s="213" t="s">
        <v>0</v>
      </c>
      <c r="B5" s="269"/>
      <c r="C5" s="377" t="str">
        <f>'DATA SHEET'!C9</f>
        <v xml:space="preserve"> </v>
      </c>
      <c r="D5" s="377"/>
      <c r="E5" s="377"/>
      <c r="F5" s="377"/>
      <c r="G5" s="377"/>
      <c r="H5" s="378"/>
    </row>
    <row r="6" spans="1:10">
      <c r="A6" s="215" t="s">
        <v>31</v>
      </c>
      <c r="B6" s="216"/>
      <c r="C6" s="379" t="str">
        <f>VLOOKUP('DATA SHEET'!$C$10,' Glenview PL'!C6:G41,1,FALSE)</f>
        <v>GB</v>
      </c>
      <c r="D6" s="379"/>
      <c r="E6" s="379"/>
      <c r="F6" s="379"/>
      <c r="G6" s="379"/>
      <c r="H6" s="390"/>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row>
    <row r="9" spans="1:10">
      <c r="A9" s="407" t="s">
        <v>294</v>
      </c>
      <c r="B9" s="408"/>
      <c r="C9" s="382">
        <f>VLOOKUP('DATA SHEET'!C10,' Glenview PL'!C6:G41,4,0)</f>
        <v>8851760</v>
      </c>
      <c r="D9" s="382"/>
      <c r="E9" s="382"/>
      <c r="F9" s="382"/>
      <c r="G9" s="382"/>
      <c r="H9" s="383"/>
    </row>
    <row r="10" spans="1:10">
      <c r="A10" s="224" t="s">
        <v>33</v>
      </c>
      <c r="B10" s="225"/>
      <c r="C10" s="393" t="str">
        <f>'DATA SHEET'!C21</f>
        <v>10% DP, 10% over 36 months, 80% Lumpsum</v>
      </c>
      <c r="D10" s="393"/>
      <c r="E10" s="393"/>
      <c r="F10" s="393"/>
      <c r="G10" s="393"/>
      <c r="H10" s="394"/>
    </row>
    <row r="11" spans="1:10"/>
    <row r="12" spans="1:10">
      <c r="A12" s="41" t="s">
        <v>55</v>
      </c>
      <c r="B12" s="41"/>
    </row>
    <row r="13" spans="1:10">
      <c r="A13" s="197" t="s">
        <v>307</v>
      </c>
      <c r="D13" s="42">
        <f>(C9-650000)</f>
        <v>8201760</v>
      </c>
      <c r="E13" s="226" t="str">
        <f>LEFT(C8,9)</f>
        <v>1-Bedroom</v>
      </c>
    </row>
    <row r="14" spans="1:10">
      <c r="A14" s="227" t="s">
        <v>72</v>
      </c>
      <c r="B14" s="228"/>
      <c r="C14" s="306">
        <v>0.01</v>
      </c>
      <c r="D14" s="229">
        <f>IF(C14&lt;=1%,D13*C14,"BEYOND MAX")</f>
        <v>82017.600000000006</v>
      </c>
      <c r="E14" s="226"/>
    </row>
    <row r="15" spans="1:10">
      <c r="A15" s="227" t="s">
        <v>325</v>
      </c>
      <c r="B15" s="228"/>
      <c r="C15" s="306">
        <v>0.02</v>
      </c>
      <c r="D15" s="229">
        <f>IF(C15&lt;=2%,((D13-D14)*C15),"BEYOND MAX")</f>
        <v>162394.848</v>
      </c>
      <c r="E15" s="294">
        <f>VLOOKUP(C6,' Glenview PL'!C:G,5,0)</f>
        <v>230000</v>
      </c>
    </row>
    <row r="16" spans="1:10">
      <c r="A16" s="227" t="s">
        <v>326</v>
      </c>
      <c r="B16" s="228"/>
      <c r="C16" s="196"/>
      <c r="D16" s="87">
        <f>VLOOKUP('DATA SHEET'!C10,' Glenview PL'!$C$6:$G$40,5,0)</f>
        <v>230000</v>
      </c>
      <c r="E16" s="294"/>
    </row>
    <row r="17" spans="1:8">
      <c r="A17" s="234" t="s">
        <v>311</v>
      </c>
      <c r="B17" s="228"/>
      <c r="C17" s="196"/>
      <c r="D17" s="235">
        <f>D13-SUM(D14:D16)</f>
        <v>7727347.5520000001</v>
      </c>
      <c r="E17" s="231"/>
      <c r="F17" s="281"/>
    </row>
    <row r="18" spans="1:8">
      <c r="A18" s="236" t="s">
        <v>285</v>
      </c>
      <c r="C18" s="200">
        <v>0.05</v>
      </c>
      <c r="D18" s="237">
        <f>(D17/1.12)*C18</f>
        <v>344970.87285714288</v>
      </c>
      <c r="E18" s="231"/>
      <c r="F18" s="281"/>
    </row>
    <row r="19" spans="1:8" ht="16" thickBot="1">
      <c r="A19" s="198" t="s">
        <v>58</v>
      </c>
      <c r="D19" s="238">
        <f>+SUM(D17:D18)</f>
        <v>8072318.4248571433</v>
      </c>
      <c r="E19" s="231"/>
      <c r="F19" s="281"/>
    </row>
    <row r="20" spans="1:8" ht="9.75" customHeight="1" thickTop="1"/>
    <row r="21" spans="1:8">
      <c r="A21" s="239" t="s">
        <v>34</v>
      </c>
      <c r="B21" s="239" t="s">
        <v>286</v>
      </c>
      <c r="C21" s="239" t="s">
        <v>2</v>
      </c>
      <c r="D21" s="239" t="s">
        <v>287</v>
      </c>
      <c r="E21" s="239" t="s">
        <v>310</v>
      </c>
      <c r="F21" s="240" t="s">
        <v>289</v>
      </c>
      <c r="G21" s="241" t="s">
        <v>290</v>
      </c>
      <c r="H21" s="239" t="s">
        <v>291</v>
      </c>
    </row>
    <row r="22" spans="1:8">
      <c r="A22" s="401" t="s">
        <v>292</v>
      </c>
      <c r="B22" s="402"/>
      <c r="C22" s="402"/>
      <c r="D22" s="402"/>
      <c r="E22" s="402"/>
      <c r="F22" s="402"/>
      <c r="G22" s="403"/>
      <c r="H22" s="242">
        <f>+D19</f>
        <v>8072318.4248571433</v>
      </c>
    </row>
    <row r="23" spans="1:8">
      <c r="A23" s="243">
        <v>0</v>
      </c>
      <c r="B23" s="243"/>
      <c r="C23" s="243" t="s">
        <v>38</v>
      </c>
      <c r="D23" s="244">
        <f ca="1">'DATA SHEET'!C8</f>
        <v>43973</v>
      </c>
      <c r="E23" s="245">
        <f>IF(E13="1-Bedroom",50000,100000)</f>
        <v>50000</v>
      </c>
      <c r="F23" s="296"/>
      <c r="G23" s="297">
        <f>+SUM(E23:F23)</f>
        <v>50000</v>
      </c>
      <c r="H23" s="247">
        <f>D19-E23</f>
        <v>8022318.4248571433</v>
      </c>
    </row>
    <row r="24" spans="1:8">
      <c r="A24" s="243">
        <v>1</v>
      </c>
      <c r="B24" s="248">
        <v>0.1</v>
      </c>
      <c r="C24" s="243" t="s">
        <v>217</v>
      </c>
      <c r="D24" s="244">
        <f ca="1">EDATE(D23,1)</f>
        <v>44004</v>
      </c>
      <c r="E24" s="245">
        <f>($D$17*10%)-E23</f>
        <v>722734.75520000001</v>
      </c>
      <c r="F24" s="245">
        <f>($D$18*10%)</f>
        <v>34497.087285714289</v>
      </c>
      <c r="G24" s="297">
        <f t="shared" ref="G24:G62" si="0">+SUM(E24:F24)</f>
        <v>757231.84248571435</v>
      </c>
      <c r="H24" s="247">
        <f>H23-G24</f>
        <v>7265086.5823714286</v>
      </c>
    </row>
    <row r="25" spans="1:8">
      <c r="A25" s="243"/>
      <c r="B25" s="248">
        <v>0.1</v>
      </c>
      <c r="C25" s="243" t="s">
        <v>297</v>
      </c>
      <c r="D25" s="244"/>
      <c r="E25" s="245"/>
      <c r="F25" s="245"/>
      <c r="G25" s="297"/>
      <c r="H25" s="247"/>
    </row>
    <row r="26" spans="1:8">
      <c r="A26" s="243">
        <f>+A24+1</f>
        <v>2</v>
      </c>
      <c r="B26" s="243"/>
      <c r="C26" s="243" t="s">
        <v>4</v>
      </c>
      <c r="D26" s="244">
        <f ca="1">EDATE(D24,1)</f>
        <v>44034</v>
      </c>
      <c r="E26" s="245">
        <f>($D$17*10%)/36</f>
        <v>21464.85431111111</v>
      </c>
      <c r="F26" s="245">
        <f>($D$18*10%)/36</f>
        <v>958.25242460317475</v>
      </c>
      <c r="G26" s="297">
        <f t="shared" si="0"/>
        <v>22423.106735714286</v>
      </c>
      <c r="H26" s="247">
        <f>H24-G26</f>
        <v>7242663.4756357139</v>
      </c>
    </row>
    <row r="27" spans="1:8">
      <c r="A27" s="243">
        <f t="shared" ref="A27:A62" si="1">+A26+1</f>
        <v>3</v>
      </c>
      <c r="B27" s="243"/>
      <c r="C27" s="243" t="s">
        <v>5</v>
      </c>
      <c r="D27" s="244">
        <f t="shared" ref="D27:D62" ca="1" si="2">EDATE(D26,1)</f>
        <v>44065</v>
      </c>
      <c r="E27" s="245">
        <f>E26</f>
        <v>21464.85431111111</v>
      </c>
      <c r="F27" s="245">
        <f t="shared" ref="F27:F61" si="3">($D$18*10%)/36</f>
        <v>958.25242460317475</v>
      </c>
      <c r="G27" s="297">
        <f t="shared" si="0"/>
        <v>22423.106735714286</v>
      </c>
      <c r="H27" s="247">
        <f t="shared" ref="H27:H62" si="4">H26-G27</f>
        <v>7220240.3688999992</v>
      </c>
    </row>
    <row r="28" spans="1:8">
      <c r="A28" s="243">
        <f t="shared" si="1"/>
        <v>4</v>
      </c>
      <c r="B28" s="243"/>
      <c r="C28" s="243" t="s">
        <v>6</v>
      </c>
      <c r="D28" s="244">
        <f t="shared" ca="1" si="2"/>
        <v>44096</v>
      </c>
      <c r="E28" s="245">
        <f t="shared" ref="E28:E61" si="5">E27</f>
        <v>21464.85431111111</v>
      </c>
      <c r="F28" s="245">
        <f t="shared" si="3"/>
        <v>958.25242460317475</v>
      </c>
      <c r="G28" s="297">
        <f t="shared" si="0"/>
        <v>22423.106735714286</v>
      </c>
      <c r="H28" s="247">
        <f t="shared" si="4"/>
        <v>7197817.2621642845</v>
      </c>
    </row>
    <row r="29" spans="1:8">
      <c r="A29" s="243">
        <f t="shared" si="1"/>
        <v>5</v>
      </c>
      <c r="B29" s="243"/>
      <c r="C29" s="243" t="s">
        <v>7</v>
      </c>
      <c r="D29" s="244">
        <f t="shared" ca="1" si="2"/>
        <v>44126</v>
      </c>
      <c r="E29" s="245">
        <f t="shared" si="5"/>
        <v>21464.85431111111</v>
      </c>
      <c r="F29" s="245">
        <f t="shared" si="3"/>
        <v>958.25242460317475</v>
      </c>
      <c r="G29" s="297">
        <f t="shared" si="0"/>
        <v>22423.106735714286</v>
      </c>
      <c r="H29" s="247">
        <f t="shared" si="4"/>
        <v>7175394.1554285698</v>
      </c>
    </row>
    <row r="30" spans="1:8">
      <c r="A30" s="243">
        <f t="shared" si="1"/>
        <v>6</v>
      </c>
      <c r="B30" s="243"/>
      <c r="C30" s="243" t="s">
        <v>8</v>
      </c>
      <c r="D30" s="244">
        <f t="shared" ca="1" si="2"/>
        <v>44157</v>
      </c>
      <c r="E30" s="245">
        <f t="shared" si="5"/>
        <v>21464.85431111111</v>
      </c>
      <c r="F30" s="245">
        <f t="shared" si="3"/>
        <v>958.25242460317475</v>
      </c>
      <c r="G30" s="297">
        <f t="shared" si="0"/>
        <v>22423.106735714286</v>
      </c>
      <c r="H30" s="247">
        <f t="shared" si="4"/>
        <v>7152971.0486928551</v>
      </c>
    </row>
    <row r="31" spans="1:8">
      <c r="A31" s="243">
        <f t="shared" si="1"/>
        <v>7</v>
      </c>
      <c r="B31" s="243"/>
      <c r="C31" s="243" t="s">
        <v>9</v>
      </c>
      <c r="D31" s="244">
        <f t="shared" ca="1" si="2"/>
        <v>44187</v>
      </c>
      <c r="E31" s="245">
        <f t="shared" si="5"/>
        <v>21464.85431111111</v>
      </c>
      <c r="F31" s="245">
        <f t="shared" si="3"/>
        <v>958.25242460317475</v>
      </c>
      <c r="G31" s="297">
        <f t="shared" si="0"/>
        <v>22423.106735714286</v>
      </c>
      <c r="H31" s="247">
        <f t="shared" si="4"/>
        <v>7130547.9419571403</v>
      </c>
    </row>
    <row r="32" spans="1:8">
      <c r="A32" s="243">
        <f t="shared" si="1"/>
        <v>8</v>
      </c>
      <c r="B32" s="243"/>
      <c r="C32" s="243" t="s">
        <v>10</v>
      </c>
      <c r="D32" s="244">
        <f t="shared" ca="1" si="2"/>
        <v>44218</v>
      </c>
      <c r="E32" s="245">
        <f t="shared" si="5"/>
        <v>21464.85431111111</v>
      </c>
      <c r="F32" s="245">
        <f t="shared" si="3"/>
        <v>958.25242460317475</v>
      </c>
      <c r="G32" s="297">
        <f t="shared" si="0"/>
        <v>22423.106735714286</v>
      </c>
      <c r="H32" s="247">
        <f t="shared" si="4"/>
        <v>7108124.8352214256</v>
      </c>
    </row>
    <row r="33" spans="1:8">
      <c r="A33" s="243">
        <f t="shared" si="1"/>
        <v>9</v>
      </c>
      <c r="B33" s="243"/>
      <c r="C33" s="243" t="s">
        <v>11</v>
      </c>
      <c r="D33" s="244">
        <f t="shared" ca="1" si="2"/>
        <v>44249</v>
      </c>
      <c r="E33" s="245">
        <f t="shared" si="5"/>
        <v>21464.85431111111</v>
      </c>
      <c r="F33" s="245">
        <f t="shared" si="3"/>
        <v>958.25242460317475</v>
      </c>
      <c r="G33" s="297">
        <f t="shared" si="0"/>
        <v>22423.106735714286</v>
      </c>
      <c r="H33" s="247">
        <f t="shared" si="4"/>
        <v>7085701.7284857109</v>
      </c>
    </row>
    <row r="34" spans="1:8">
      <c r="A34" s="243">
        <f t="shared" si="1"/>
        <v>10</v>
      </c>
      <c r="B34" s="243"/>
      <c r="C34" s="243" t="s">
        <v>12</v>
      </c>
      <c r="D34" s="244">
        <f t="shared" ca="1" si="2"/>
        <v>44277</v>
      </c>
      <c r="E34" s="245">
        <f t="shared" si="5"/>
        <v>21464.85431111111</v>
      </c>
      <c r="F34" s="245">
        <f t="shared" si="3"/>
        <v>958.25242460317475</v>
      </c>
      <c r="G34" s="297">
        <f t="shared" si="0"/>
        <v>22423.106735714286</v>
      </c>
      <c r="H34" s="247">
        <f t="shared" si="4"/>
        <v>7063278.6217499962</v>
      </c>
    </row>
    <row r="35" spans="1:8">
      <c r="A35" s="243">
        <f t="shared" si="1"/>
        <v>11</v>
      </c>
      <c r="B35" s="243"/>
      <c r="C35" s="243" t="s">
        <v>13</v>
      </c>
      <c r="D35" s="244">
        <f t="shared" ca="1" si="2"/>
        <v>44308</v>
      </c>
      <c r="E35" s="245">
        <f t="shared" si="5"/>
        <v>21464.85431111111</v>
      </c>
      <c r="F35" s="245">
        <f t="shared" si="3"/>
        <v>958.25242460317475</v>
      </c>
      <c r="G35" s="297">
        <f t="shared" si="0"/>
        <v>22423.106735714286</v>
      </c>
      <c r="H35" s="247">
        <f t="shared" si="4"/>
        <v>7040855.5150142815</v>
      </c>
    </row>
    <row r="36" spans="1:8">
      <c r="A36" s="243">
        <f t="shared" si="1"/>
        <v>12</v>
      </c>
      <c r="B36" s="243"/>
      <c r="C36" s="243" t="s">
        <v>14</v>
      </c>
      <c r="D36" s="244">
        <f t="shared" ca="1" si="2"/>
        <v>44338</v>
      </c>
      <c r="E36" s="245">
        <f t="shared" si="5"/>
        <v>21464.85431111111</v>
      </c>
      <c r="F36" s="245">
        <f t="shared" si="3"/>
        <v>958.25242460317475</v>
      </c>
      <c r="G36" s="297">
        <f t="shared" si="0"/>
        <v>22423.106735714286</v>
      </c>
      <c r="H36" s="247">
        <f t="shared" si="4"/>
        <v>7018432.4082785668</v>
      </c>
    </row>
    <row r="37" spans="1:8">
      <c r="A37" s="243">
        <f t="shared" si="1"/>
        <v>13</v>
      </c>
      <c r="B37" s="243"/>
      <c r="C37" s="243" t="s">
        <v>15</v>
      </c>
      <c r="D37" s="244">
        <f t="shared" ca="1" si="2"/>
        <v>44369</v>
      </c>
      <c r="E37" s="245">
        <f t="shared" si="5"/>
        <v>21464.85431111111</v>
      </c>
      <c r="F37" s="245">
        <f t="shared" si="3"/>
        <v>958.25242460317475</v>
      </c>
      <c r="G37" s="297">
        <f t="shared" si="0"/>
        <v>22423.106735714286</v>
      </c>
      <c r="H37" s="247">
        <f t="shared" si="4"/>
        <v>6996009.3015428521</v>
      </c>
    </row>
    <row r="38" spans="1:8">
      <c r="A38" s="243">
        <f t="shared" si="1"/>
        <v>14</v>
      </c>
      <c r="B38" s="243"/>
      <c r="C38" s="243" t="s">
        <v>19</v>
      </c>
      <c r="D38" s="244">
        <f t="shared" ca="1" si="2"/>
        <v>44399</v>
      </c>
      <c r="E38" s="245">
        <f t="shared" si="5"/>
        <v>21464.85431111111</v>
      </c>
      <c r="F38" s="245">
        <f t="shared" si="3"/>
        <v>958.25242460317475</v>
      </c>
      <c r="G38" s="297">
        <f t="shared" si="0"/>
        <v>22423.106735714286</v>
      </c>
      <c r="H38" s="247">
        <f t="shared" si="4"/>
        <v>6973586.1948071374</v>
      </c>
    </row>
    <row r="39" spans="1:8">
      <c r="A39" s="243">
        <f t="shared" si="1"/>
        <v>15</v>
      </c>
      <c r="B39" s="243"/>
      <c r="C39" s="243" t="s">
        <v>20</v>
      </c>
      <c r="D39" s="244">
        <f t="shared" ca="1" si="2"/>
        <v>44430</v>
      </c>
      <c r="E39" s="245">
        <f t="shared" si="5"/>
        <v>21464.85431111111</v>
      </c>
      <c r="F39" s="245">
        <f t="shared" si="3"/>
        <v>958.25242460317475</v>
      </c>
      <c r="G39" s="297">
        <f t="shared" si="0"/>
        <v>22423.106735714286</v>
      </c>
      <c r="H39" s="247">
        <f t="shared" si="4"/>
        <v>6951163.0880714227</v>
      </c>
    </row>
    <row r="40" spans="1:8">
      <c r="A40" s="243">
        <f t="shared" si="1"/>
        <v>16</v>
      </c>
      <c r="B40" s="243"/>
      <c r="C40" s="243" t="s">
        <v>21</v>
      </c>
      <c r="D40" s="244">
        <f t="shared" ca="1" si="2"/>
        <v>44461</v>
      </c>
      <c r="E40" s="245">
        <f t="shared" si="5"/>
        <v>21464.85431111111</v>
      </c>
      <c r="F40" s="245">
        <f t="shared" si="3"/>
        <v>958.25242460317475</v>
      </c>
      <c r="G40" s="297">
        <f t="shared" si="0"/>
        <v>22423.106735714286</v>
      </c>
      <c r="H40" s="247">
        <f t="shared" si="4"/>
        <v>6928739.9813357079</v>
      </c>
    </row>
    <row r="41" spans="1:8">
      <c r="A41" s="243">
        <f t="shared" si="1"/>
        <v>17</v>
      </c>
      <c r="B41" s="243"/>
      <c r="C41" s="243" t="s">
        <v>22</v>
      </c>
      <c r="D41" s="244">
        <f t="shared" ca="1" si="2"/>
        <v>44491</v>
      </c>
      <c r="E41" s="245">
        <f t="shared" si="5"/>
        <v>21464.85431111111</v>
      </c>
      <c r="F41" s="245">
        <f t="shared" si="3"/>
        <v>958.25242460317475</v>
      </c>
      <c r="G41" s="297">
        <f t="shared" si="0"/>
        <v>22423.106735714286</v>
      </c>
      <c r="H41" s="247">
        <f t="shared" si="4"/>
        <v>6906316.8745999932</v>
      </c>
    </row>
    <row r="42" spans="1:8">
      <c r="A42" s="243">
        <f t="shared" si="1"/>
        <v>18</v>
      </c>
      <c r="B42" s="243"/>
      <c r="C42" s="243" t="s">
        <v>23</v>
      </c>
      <c r="D42" s="244">
        <f t="shared" ca="1" si="2"/>
        <v>44522</v>
      </c>
      <c r="E42" s="245">
        <f t="shared" si="5"/>
        <v>21464.85431111111</v>
      </c>
      <c r="F42" s="245">
        <f t="shared" si="3"/>
        <v>958.25242460317475</v>
      </c>
      <c r="G42" s="297">
        <f t="shared" si="0"/>
        <v>22423.106735714286</v>
      </c>
      <c r="H42" s="247">
        <f t="shared" si="4"/>
        <v>6883893.7678642785</v>
      </c>
    </row>
    <row r="43" spans="1:8">
      <c r="A43" s="243">
        <f t="shared" si="1"/>
        <v>19</v>
      </c>
      <c r="B43" s="243"/>
      <c r="C43" s="243" t="s">
        <v>24</v>
      </c>
      <c r="D43" s="244">
        <f t="shared" ca="1" si="2"/>
        <v>44552</v>
      </c>
      <c r="E43" s="245">
        <f t="shared" si="5"/>
        <v>21464.85431111111</v>
      </c>
      <c r="F43" s="245">
        <f t="shared" si="3"/>
        <v>958.25242460317475</v>
      </c>
      <c r="G43" s="297">
        <f t="shared" si="0"/>
        <v>22423.106735714286</v>
      </c>
      <c r="H43" s="247">
        <f t="shared" si="4"/>
        <v>6861470.6611285638</v>
      </c>
    </row>
    <row r="44" spans="1:8">
      <c r="A44" s="243">
        <f t="shared" si="1"/>
        <v>20</v>
      </c>
      <c r="B44" s="243"/>
      <c r="C44" s="243" t="s">
        <v>25</v>
      </c>
      <c r="D44" s="244">
        <f t="shared" ca="1" si="2"/>
        <v>44583</v>
      </c>
      <c r="E44" s="245">
        <f t="shared" si="5"/>
        <v>21464.85431111111</v>
      </c>
      <c r="F44" s="245">
        <f t="shared" si="3"/>
        <v>958.25242460317475</v>
      </c>
      <c r="G44" s="297">
        <f t="shared" si="0"/>
        <v>22423.106735714286</v>
      </c>
      <c r="H44" s="247">
        <f t="shared" si="4"/>
        <v>6839047.5543928491</v>
      </c>
    </row>
    <row r="45" spans="1:8">
      <c r="A45" s="243">
        <f t="shared" si="1"/>
        <v>21</v>
      </c>
      <c r="B45" s="243"/>
      <c r="C45" s="243" t="s">
        <v>26</v>
      </c>
      <c r="D45" s="244">
        <f t="shared" ca="1" si="2"/>
        <v>44614</v>
      </c>
      <c r="E45" s="245">
        <f t="shared" si="5"/>
        <v>21464.85431111111</v>
      </c>
      <c r="F45" s="245">
        <f t="shared" si="3"/>
        <v>958.25242460317475</v>
      </c>
      <c r="G45" s="297">
        <f t="shared" si="0"/>
        <v>22423.106735714286</v>
      </c>
      <c r="H45" s="247">
        <f t="shared" si="4"/>
        <v>6816624.4476571344</v>
      </c>
    </row>
    <row r="46" spans="1:8">
      <c r="A46" s="243">
        <f t="shared" si="1"/>
        <v>22</v>
      </c>
      <c r="B46" s="243"/>
      <c r="C46" s="243" t="s">
        <v>27</v>
      </c>
      <c r="D46" s="244">
        <f t="shared" ca="1" si="2"/>
        <v>44642</v>
      </c>
      <c r="E46" s="245">
        <f t="shared" si="5"/>
        <v>21464.85431111111</v>
      </c>
      <c r="F46" s="245">
        <f t="shared" si="3"/>
        <v>958.25242460317475</v>
      </c>
      <c r="G46" s="297">
        <f t="shared" si="0"/>
        <v>22423.106735714286</v>
      </c>
      <c r="H46" s="247">
        <f t="shared" si="4"/>
        <v>6794201.3409214197</v>
      </c>
    </row>
    <row r="47" spans="1:8">
      <c r="A47" s="243">
        <f t="shared" si="1"/>
        <v>23</v>
      </c>
      <c r="B47" s="243"/>
      <c r="C47" s="243" t="s">
        <v>28</v>
      </c>
      <c r="D47" s="244">
        <f t="shared" ca="1" si="2"/>
        <v>44673</v>
      </c>
      <c r="E47" s="245">
        <f t="shared" si="5"/>
        <v>21464.85431111111</v>
      </c>
      <c r="F47" s="245">
        <f t="shared" si="3"/>
        <v>958.25242460317475</v>
      </c>
      <c r="G47" s="297">
        <f t="shared" si="0"/>
        <v>22423.106735714286</v>
      </c>
      <c r="H47" s="247">
        <f t="shared" si="4"/>
        <v>6771778.234185705</v>
      </c>
    </row>
    <row r="48" spans="1:8">
      <c r="A48" s="243">
        <f t="shared" si="1"/>
        <v>24</v>
      </c>
      <c r="B48" s="243"/>
      <c r="C48" s="243" t="s">
        <v>29</v>
      </c>
      <c r="D48" s="244">
        <f t="shared" ca="1" si="2"/>
        <v>44703</v>
      </c>
      <c r="E48" s="245">
        <f t="shared" si="5"/>
        <v>21464.85431111111</v>
      </c>
      <c r="F48" s="245">
        <f t="shared" si="3"/>
        <v>958.25242460317475</v>
      </c>
      <c r="G48" s="297">
        <f t="shared" si="0"/>
        <v>22423.106735714286</v>
      </c>
      <c r="H48" s="247">
        <f t="shared" si="4"/>
        <v>6749355.1274499903</v>
      </c>
    </row>
    <row r="49" spans="1:8">
      <c r="A49" s="243">
        <f t="shared" si="1"/>
        <v>25</v>
      </c>
      <c r="B49" s="243"/>
      <c r="C49" s="243" t="s">
        <v>30</v>
      </c>
      <c r="D49" s="244">
        <f t="shared" ca="1" si="2"/>
        <v>44734</v>
      </c>
      <c r="E49" s="245">
        <f t="shared" si="5"/>
        <v>21464.85431111111</v>
      </c>
      <c r="F49" s="245">
        <f t="shared" si="3"/>
        <v>958.25242460317475</v>
      </c>
      <c r="G49" s="297">
        <f t="shared" si="0"/>
        <v>22423.106735714286</v>
      </c>
      <c r="H49" s="247">
        <f t="shared" si="4"/>
        <v>6726932.0207142755</v>
      </c>
    </row>
    <row r="50" spans="1:8">
      <c r="A50" s="243">
        <f t="shared" si="1"/>
        <v>26</v>
      </c>
      <c r="B50" s="243"/>
      <c r="C50" s="243" t="s">
        <v>48</v>
      </c>
      <c r="D50" s="244">
        <f t="shared" ca="1" si="2"/>
        <v>44764</v>
      </c>
      <c r="E50" s="245">
        <f t="shared" si="5"/>
        <v>21464.85431111111</v>
      </c>
      <c r="F50" s="245">
        <f t="shared" si="3"/>
        <v>958.25242460317475</v>
      </c>
      <c r="G50" s="297">
        <f t="shared" si="0"/>
        <v>22423.106735714286</v>
      </c>
      <c r="H50" s="247">
        <f t="shared" si="4"/>
        <v>6704508.9139785608</v>
      </c>
    </row>
    <row r="51" spans="1:8">
      <c r="A51" s="243">
        <f t="shared" si="1"/>
        <v>27</v>
      </c>
      <c r="B51" s="243"/>
      <c r="C51" s="243" t="s">
        <v>49</v>
      </c>
      <c r="D51" s="244">
        <f t="shared" ca="1" si="2"/>
        <v>44795</v>
      </c>
      <c r="E51" s="245">
        <f t="shared" si="5"/>
        <v>21464.85431111111</v>
      </c>
      <c r="F51" s="245">
        <f t="shared" si="3"/>
        <v>958.25242460317475</v>
      </c>
      <c r="G51" s="297">
        <f t="shared" si="0"/>
        <v>22423.106735714286</v>
      </c>
      <c r="H51" s="247">
        <f t="shared" si="4"/>
        <v>6682085.8072428461</v>
      </c>
    </row>
    <row r="52" spans="1:8">
      <c r="A52" s="243">
        <f t="shared" si="1"/>
        <v>28</v>
      </c>
      <c r="B52" s="243"/>
      <c r="C52" s="243" t="s">
        <v>50</v>
      </c>
      <c r="D52" s="244">
        <f t="shared" ca="1" si="2"/>
        <v>44826</v>
      </c>
      <c r="E52" s="245">
        <f t="shared" si="5"/>
        <v>21464.85431111111</v>
      </c>
      <c r="F52" s="245">
        <f t="shared" si="3"/>
        <v>958.25242460317475</v>
      </c>
      <c r="G52" s="297">
        <f t="shared" si="0"/>
        <v>22423.106735714286</v>
      </c>
      <c r="H52" s="247">
        <f t="shared" si="4"/>
        <v>6659662.7005071314</v>
      </c>
    </row>
    <row r="53" spans="1:8">
      <c r="A53" s="243">
        <f t="shared" si="1"/>
        <v>29</v>
      </c>
      <c r="B53" s="243"/>
      <c r="C53" s="243" t="s">
        <v>51</v>
      </c>
      <c r="D53" s="244">
        <f t="shared" ca="1" si="2"/>
        <v>44856</v>
      </c>
      <c r="E53" s="245">
        <f t="shared" si="5"/>
        <v>21464.85431111111</v>
      </c>
      <c r="F53" s="245">
        <f t="shared" si="3"/>
        <v>958.25242460317475</v>
      </c>
      <c r="G53" s="297">
        <f t="shared" si="0"/>
        <v>22423.106735714286</v>
      </c>
      <c r="H53" s="247">
        <f t="shared" si="4"/>
        <v>6637239.5937714167</v>
      </c>
    </row>
    <row r="54" spans="1:8">
      <c r="A54" s="243">
        <f t="shared" si="1"/>
        <v>30</v>
      </c>
      <c r="B54" s="243"/>
      <c r="C54" s="243" t="s">
        <v>52</v>
      </c>
      <c r="D54" s="244">
        <f t="shared" ca="1" si="2"/>
        <v>44887</v>
      </c>
      <c r="E54" s="245">
        <f t="shared" si="5"/>
        <v>21464.85431111111</v>
      </c>
      <c r="F54" s="245">
        <f t="shared" si="3"/>
        <v>958.25242460317475</v>
      </c>
      <c r="G54" s="297">
        <f t="shared" si="0"/>
        <v>22423.106735714286</v>
      </c>
      <c r="H54" s="247">
        <f t="shared" si="4"/>
        <v>6614816.487035702</v>
      </c>
    </row>
    <row r="55" spans="1:8">
      <c r="A55" s="243">
        <f t="shared" si="1"/>
        <v>31</v>
      </c>
      <c r="B55" s="243"/>
      <c r="C55" s="243" t="s">
        <v>53</v>
      </c>
      <c r="D55" s="244">
        <f t="shared" ca="1" si="2"/>
        <v>44917</v>
      </c>
      <c r="E55" s="245">
        <f t="shared" si="5"/>
        <v>21464.85431111111</v>
      </c>
      <c r="F55" s="245">
        <f t="shared" si="3"/>
        <v>958.25242460317475</v>
      </c>
      <c r="G55" s="297">
        <f t="shared" si="0"/>
        <v>22423.106735714286</v>
      </c>
      <c r="H55" s="247">
        <f t="shared" si="4"/>
        <v>6592393.3802999873</v>
      </c>
    </row>
    <row r="56" spans="1:8">
      <c r="A56" s="243">
        <f t="shared" si="1"/>
        <v>32</v>
      </c>
      <c r="B56" s="243"/>
      <c r="C56" s="243" t="s">
        <v>93</v>
      </c>
      <c r="D56" s="244">
        <f t="shared" ca="1" si="2"/>
        <v>44948</v>
      </c>
      <c r="E56" s="245">
        <f t="shared" si="5"/>
        <v>21464.85431111111</v>
      </c>
      <c r="F56" s="245">
        <f t="shared" si="3"/>
        <v>958.25242460317475</v>
      </c>
      <c r="G56" s="297">
        <f t="shared" si="0"/>
        <v>22423.106735714286</v>
      </c>
      <c r="H56" s="247">
        <f t="shared" si="4"/>
        <v>6569970.2735642726</v>
      </c>
    </row>
    <row r="57" spans="1:8">
      <c r="A57" s="243">
        <f t="shared" si="1"/>
        <v>33</v>
      </c>
      <c r="B57" s="243"/>
      <c r="C57" s="243" t="s">
        <v>94</v>
      </c>
      <c r="D57" s="244">
        <f t="shared" ca="1" si="2"/>
        <v>44979</v>
      </c>
      <c r="E57" s="245">
        <f t="shared" si="5"/>
        <v>21464.85431111111</v>
      </c>
      <c r="F57" s="245">
        <f t="shared" si="3"/>
        <v>958.25242460317475</v>
      </c>
      <c r="G57" s="297">
        <f t="shared" si="0"/>
        <v>22423.106735714286</v>
      </c>
      <c r="H57" s="247">
        <f t="shared" si="4"/>
        <v>6547547.1668285578</v>
      </c>
    </row>
    <row r="58" spans="1:8">
      <c r="A58" s="243">
        <f t="shared" si="1"/>
        <v>34</v>
      </c>
      <c r="B58" s="243"/>
      <c r="C58" s="243" t="s">
        <v>95</v>
      </c>
      <c r="D58" s="244">
        <f t="shared" ca="1" si="2"/>
        <v>45007</v>
      </c>
      <c r="E58" s="245">
        <f t="shared" si="5"/>
        <v>21464.85431111111</v>
      </c>
      <c r="F58" s="245">
        <f t="shared" si="3"/>
        <v>958.25242460317475</v>
      </c>
      <c r="G58" s="297">
        <f t="shared" si="0"/>
        <v>22423.106735714286</v>
      </c>
      <c r="H58" s="247">
        <f t="shared" si="4"/>
        <v>6525124.0600928431</v>
      </c>
    </row>
    <row r="59" spans="1:8">
      <c r="A59" s="243">
        <f t="shared" si="1"/>
        <v>35</v>
      </c>
      <c r="B59" s="243"/>
      <c r="C59" s="243" t="s">
        <v>96</v>
      </c>
      <c r="D59" s="244">
        <f t="shared" ca="1" si="2"/>
        <v>45038</v>
      </c>
      <c r="E59" s="245">
        <f t="shared" si="5"/>
        <v>21464.85431111111</v>
      </c>
      <c r="F59" s="245">
        <f t="shared" si="3"/>
        <v>958.25242460317475</v>
      </c>
      <c r="G59" s="297">
        <f t="shared" si="0"/>
        <v>22423.106735714286</v>
      </c>
      <c r="H59" s="247">
        <f t="shared" si="4"/>
        <v>6502700.9533571284</v>
      </c>
    </row>
    <row r="60" spans="1:8">
      <c r="A60" s="243">
        <f t="shared" si="1"/>
        <v>36</v>
      </c>
      <c r="B60" s="243"/>
      <c r="C60" s="243" t="s">
        <v>97</v>
      </c>
      <c r="D60" s="244">
        <f t="shared" ca="1" si="2"/>
        <v>45068</v>
      </c>
      <c r="E60" s="245">
        <f t="shared" si="5"/>
        <v>21464.85431111111</v>
      </c>
      <c r="F60" s="245">
        <f t="shared" si="3"/>
        <v>958.25242460317475</v>
      </c>
      <c r="G60" s="297">
        <f t="shared" si="0"/>
        <v>22423.106735714286</v>
      </c>
      <c r="H60" s="247">
        <f t="shared" si="4"/>
        <v>6480277.8466214137</v>
      </c>
    </row>
    <row r="61" spans="1:8">
      <c r="A61" s="243">
        <f t="shared" si="1"/>
        <v>37</v>
      </c>
      <c r="B61" s="243"/>
      <c r="C61" s="243" t="s">
        <v>98</v>
      </c>
      <c r="D61" s="244">
        <f t="shared" ca="1" si="2"/>
        <v>45099</v>
      </c>
      <c r="E61" s="245">
        <f t="shared" si="5"/>
        <v>21464.85431111111</v>
      </c>
      <c r="F61" s="245">
        <f t="shared" si="3"/>
        <v>958.25242460317475</v>
      </c>
      <c r="G61" s="297">
        <f t="shared" si="0"/>
        <v>22423.106735714286</v>
      </c>
      <c r="H61" s="247">
        <f t="shared" si="4"/>
        <v>6457854.739885699</v>
      </c>
    </row>
    <row r="62" spans="1:8">
      <c r="A62" s="243">
        <f t="shared" si="1"/>
        <v>38</v>
      </c>
      <c r="B62" s="248">
        <v>0.8</v>
      </c>
      <c r="C62" s="243" t="s">
        <v>220</v>
      </c>
      <c r="D62" s="244">
        <f t="shared" ca="1" si="2"/>
        <v>45129</v>
      </c>
      <c r="E62" s="245">
        <f>($D$17*80%)</f>
        <v>6181878.0416000001</v>
      </c>
      <c r="F62" s="245">
        <f>($D$18*80%)</f>
        <v>275976.69828571432</v>
      </c>
      <c r="G62" s="297">
        <f t="shared" si="0"/>
        <v>6457854.7398857148</v>
      </c>
      <c r="H62" s="247">
        <f t="shared" si="4"/>
        <v>-1.5832483768463135E-8</v>
      </c>
    </row>
    <row r="63" spans="1:8">
      <c r="A63" s="404" t="s">
        <v>16</v>
      </c>
      <c r="B63" s="405"/>
      <c r="C63" s="405"/>
      <c r="D63" s="406"/>
      <c r="E63" s="249">
        <f>SUM(E23:E62)</f>
        <v>7727347.5520000011</v>
      </c>
      <c r="F63" s="249">
        <f t="shared" ref="F63:G63" si="6">SUM(F23:F62)</f>
        <v>344970.87285714288</v>
      </c>
      <c r="G63" s="249">
        <f t="shared" si="6"/>
        <v>8072318.4248571424</v>
      </c>
      <c r="H63" s="279"/>
    </row>
    <row r="64" spans="1:8" s="197" customFormat="1" ht="14">
      <c r="C64" s="206"/>
      <c r="D64" s="207"/>
      <c r="E64" s="208"/>
      <c r="F64" s="208"/>
      <c r="G64" s="208"/>
    </row>
    <row r="65" spans="1:8" s="197" customFormat="1" ht="14">
      <c r="A65" s="374" t="s">
        <v>313</v>
      </c>
      <c r="B65" s="374"/>
      <c r="C65" s="374"/>
      <c r="D65" s="374"/>
      <c r="E65" s="374"/>
      <c r="F65" s="374"/>
      <c r="G65" s="374"/>
      <c r="H65" s="374"/>
    </row>
    <row r="66" spans="1:8" s="197" customFormat="1" ht="29.25" customHeight="1">
      <c r="A66" s="388" t="s">
        <v>314</v>
      </c>
      <c r="B66" s="388"/>
      <c r="C66" s="388"/>
      <c r="D66" s="388"/>
      <c r="E66" s="388"/>
      <c r="F66" s="388"/>
      <c r="G66" s="388"/>
      <c r="H66" s="388"/>
    </row>
    <row r="67" spans="1:8" s="197" customFormat="1" ht="16.5" customHeight="1">
      <c r="A67" s="374" t="s">
        <v>315</v>
      </c>
      <c r="B67" s="374"/>
      <c r="C67" s="374"/>
      <c r="D67" s="374"/>
      <c r="E67" s="374"/>
      <c r="F67" s="374"/>
      <c r="G67" s="374"/>
      <c r="H67" s="374"/>
    </row>
    <row r="68" spans="1:8" s="197" customFormat="1" ht="16.5" customHeight="1">
      <c r="A68" s="374" t="s">
        <v>316</v>
      </c>
      <c r="B68" s="374"/>
      <c r="C68" s="374"/>
      <c r="D68" s="374"/>
      <c r="E68" s="374"/>
      <c r="F68" s="374"/>
      <c r="G68" s="374"/>
      <c r="H68" s="374"/>
    </row>
    <row r="69" spans="1:8" s="197" customFormat="1" ht="16.5" customHeight="1">
      <c r="A69" s="374" t="s">
        <v>317</v>
      </c>
      <c r="B69" s="374"/>
      <c r="C69" s="374"/>
      <c r="D69" s="374"/>
      <c r="E69" s="374"/>
      <c r="F69" s="374"/>
      <c r="G69" s="374"/>
      <c r="H69" s="374"/>
    </row>
    <row r="70" spans="1:8" s="197" customFormat="1" ht="106.5" customHeight="1">
      <c r="A70" s="374" t="s">
        <v>318</v>
      </c>
      <c r="B70" s="374"/>
      <c r="C70" s="374"/>
      <c r="D70" s="374"/>
      <c r="E70" s="374"/>
      <c r="F70" s="374"/>
      <c r="G70" s="374"/>
      <c r="H70" s="374"/>
    </row>
    <row r="71" spans="1:8" s="197" customFormat="1" ht="43.5" customHeight="1">
      <c r="A71" s="374" t="s">
        <v>319</v>
      </c>
      <c r="B71" s="374"/>
      <c r="C71" s="374"/>
      <c r="D71" s="374"/>
      <c r="E71" s="374"/>
      <c r="F71" s="374"/>
      <c r="G71" s="374"/>
      <c r="H71" s="374"/>
    </row>
    <row r="72" spans="1:8" s="197" customFormat="1" ht="21" customHeight="1">
      <c r="A72" s="374" t="s">
        <v>320</v>
      </c>
      <c r="B72" s="374"/>
      <c r="C72" s="374"/>
      <c r="D72" s="374"/>
      <c r="E72" s="374"/>
      <c r="F72" s="374"/>
      <c r="G72" s="374"/>
      <c r="H72" s="374"/>
    </row>
    <row r="73" spans="1:8" s="197" customFormat="1" ht="14">
      <c r="A73" s="374"/>
      <c r="B73" s="374"/>
      <c r="C73" s="374"/>
      <c r="D73" s="374"/>
      <c r="E73" s="374"/>
      <c r="F73" s="374"/>
      <c r="G73" s="374"/>
      <c r="H73" s="374"/>
    </row>
    <row r="74" spans="1:8" s="197" customFormat="1" ht="14">
      <c r="A74" s="197" t="s">
        <v>17</v>
      </c>
      <c r="D74" s="209"/>
      <c r="G74" s="198"/>
    </row>
    <row r="75" spans="1:8" s="197" customFormat="1" ht="14">
      <c r="D75" s="209"/>
      <c r="G75" s="198"/>
    </row>
    <row r="76" spans="1:8" s="197" customFormat="1" ht="15" customHeight="1">
      <c r="A76" s="210"/>
      <c r="B76" s="210"/>
      <c r="C76" s="210"/>
      <c r="D76" s="209"/>
      <c r="E76" s="210"/>
      <c r="F76" s="210"/>
      <c r="G76" s="211"/>
    </row>
    <row r="77" spans="1:8" s="197" customFormat="1" ht="14">
      <c r="A77" s="375" t="s">
        <v>293</v>
      </c>
      <c r="B77" s="375"/>
      <c r="C77" s="375"/>
      <c r="D77" s="209"/>
      <c r="E77" s="375" t="s">
        <v>18</v>
      </c>
      <c r="F77" s="375"/>
      <c r="G77" s="375"/>
    </row>
    <row r="78" spans="1:8">
      <c r="F78" s="281"/>
    </row>
  </sheetData>
  <sheetProtection password="CAF1" sheet="1" selectLockedCells="1"/>
  <mergeCells count="21">
    <mergeCell ref="A77:C77"/>
    <mergeCell ref="E77:G77"/>
    <mergeCell ref="A69:H69"/>
    <mergeCell ref="A70:H70"/>
    <mergeCell ref="A71:H71"/>
    <mergeCell ref="A72:H72"/>
    <mergeCell ref="A73:H73"/>
    <mergeCell ref="A65:H65"/>
    <mergeCell ref="A66:H66"/>
    <mergeCell ref="A67:H67"/>
    <mergeCell ref="A68:H68"/>
    <mergeCell ref="H1:H2"/>
    <mergeCell ref="A22:G22"/>
    <mergeCell ref="A63:D63"/>
    <mergeCell ref="C5:H5"/>
    <mergeCell ref="C6:H6"/>
    <mergeCell ref="C7:H7"/>
    <mergeCell ref="C8:H8"/>
    <mergeCell ref="C9:H9"/>
    <mergeCell ref="C10:H10"/>
    <mergeCell ref="A9:B9"/>
  </mergeCells>
  <hyperlinks>
    <hyperlink ref="C1" location="'DATA SHEET'!A1" display="HIGHLANDS PRIME, INC." xr:uid="{00000000-0004-0000-1E00-000000000000}"/>
    <hyperlink ref="J3" location="'DATA SHEET'!A1" display="Return to Data Sheet" xr:uid="{00000000-0004-0000-1E00-000001000000}"/>
  </hyperlinks>
  <pageMargins left="0.7" right="0.7" top="0.75" bottom="0.75" header="0.3" footer="0.3"/>
  <pageSetup paperSize="5" scale="65" orientation="portrait" r:id="rId1"/>
  <headerFooter>
    <oddFooter>&amp;L&amp;8A project of HIGHLANDS PRIME, INC. Horizon Terraces HLURB License To Sell No. 032272&amp;R&amp;8&amp;P of &amp;N</oddFooter>
  </headerFooter>
  <ignoredErrors>
    <ignoredError sqref="D16" unlockedFormula="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389E8F"/>
  </sheetPr>
  <dimension ref="A1:L78"/>
  <sheetViews>
    <sheetView showGridLines="0" zoomScaleNormal="100" workbookViewId="0">
      <selection activeCell="C15" sqref="C15"/>
    </sheetView>
  </sheetViews>
  <sheetFormatPr baseColWidth="10" defaultColWidth="0" defaultRowHeight="15" zeroHeight="1"/>
  <cols>
    <col min="1" max="1" width="12.1640625" style="39" customWidth="1"/>
    <col min="2" max="2" width="10.5" style="39" customWidth="1"/>
    <col min="3" max="3" width="24" style="39" customWidth="1"/>
    <col min="4" max="4" width="13.5" style="40" bestFit="1" customWidth="1"/>
    <col min="5" max="5" width="14.5" style="39" bestFit="1" customWidth="1"/>
    <col min="6" max="6" width="14.83203125" style="39" bestFit="1" customWidth="1"/>
    <col min="7" max="7" width="14.33203125" style="280" bestFit="1" customWidth="1"/>
    <col min="8" max="8" width="16.5" style="280" bestFit="1" customWidth="1"/>
    <col min="9" max="12" width="9.1640625" style="280" customWidth="1"/>
    <col min="13" max="16384" width="9.1640625" style="280" hidden="1"/>
  </cols>
  <sheetData>
    <row r="1" spans="1:10">
      <c r="C1" s="212" t="s">
        <v>35</v>
      </c>
      <c r="H1" s="376" t="s">
        <v>66</v>
      </c>
    </row>
    <row r="2" spans="1:10">
      <c r="C2" s="41" t="s">
        <v>207</v>
      </c>
      <c r="H2" s="376"/>
    </row>
    <row r="3" spans="1:10">
      <c r="C3" s="41" t="s">
        <v>36</v>
      </c>
      <c r="H3" s="39"/>
      <c r="J3" s="251" t="s">
        <v>215</v>
      </c>
    </row>
    <row r="4" spans="1:10">
      <c r="H4" s="39"/>
    </row>
    <row r="5" spans="1:10">
      <c r="A5" s="213" t="s">
        <v>0</v>
      </c>
      <c r="B5" s="269"/>
      <c r="C5" s="377" t="str">
        <f>'DATA SHEET'!C9</f>
        <v xml:space="preserve"> </v>
      </c>
      <c r="D5" s="377"/>
      <c r="E5" s="377"/>
      <c r="F5" s="377"/>
      <c r="G5" s="377"/>
      <c r="H5" s="378"/>
    </row>
    <row r="6" spans="1:10">
      <c r="A6" s="215" t="s">
        <v>31</v>
      </c>
      <c r="B6" s="216"/>
      <c r="C6" s="379" t="str">
        <f>VLOOKUP('DATA SHEET'!$C$10,' Glenview PL'!C6:G41,1,FALSE)</f>
        <v>GB</v>
      </c>
      <c r="D6" s="379"/>
      <c r="E6" s="379"/>
      <c r="F6" s="379"/>
      <c r="G6" s="379"/>
      <c r="H6" s="390"/>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row>
    <row r="9" spans="1:10">
      <c r="A9" s="407" t="s">
        <v>294</v>
      </c>
      <c r="B9" s="408"/>
      <c r="C9" s="382">
        <f>VLOOKUP('DATA SHEET'!C10,' Glenview PL'!C6:G41,4,0)</f>
        <v>8851760</v>
      </c>
      <c r="D9" s="382"/>
      <c r="E9" s="382"/>
      <c r="F9" s="382"/>
      <c r="G9" s="382"/>
      <c r="H9" s="383"/>
    </row>
    <row r="10" spans="1:10">
      <c r="A10" s="224" t="s">
        <v>33</v>
      </c>
      <c r="B10" s="225"/>
      <c r="C10" s="393" t="str">
        <f>+'DATA SHEET'!C22</f>
        <v>5% DP, 20% over 36 months, 75% Lumpsum</v>
      </c>
      <c r="D10" s="393"/>
      <c r="E10" s="393"/>
      <c r="F10" s="393"/>
      <c r="G10" s="393"/>
      <c r="H10" s="394"/>
    </row>
    <row r="11" spans="1:10"/>
    <row r="12" spans="1:10">
      <c r="A12" s="41" t="s">
        <v>55</v>
      </c>
      <c r="B12" s="41"/>
    </row>
    <row r="13" spans="1:10">
      <c r="A13" s="197" t="s">
        <v>307</v>
      </c>
      <c r="D13" s="42">
        <f>(C9-650000)</f>
        <v>8201760</v>
      </c>
      <c r="E13" s="226" t="str">
        <f>LEFT(C8,9)</f>
        <v>1-Bedroom</v>
      </c>
    </row>
    <row r="14" spans="1:10">
      <c r="A14" s="227" t="s">
        <v>72</v>
      </c>
      <c r="B14" s="228"/>
      <c r="C14" s="306">
        <v>5.0000000000000001E-3</v>
      </c>
      <c r="D14" s="229">
        <f>IF(C14&lt;=0.5%,D13*C14,"BEYOND MAX")</f>
        <v>41008.800000000003</v>
      </c>
      <c r="E14" s="226"/>
    </row>
    <row r="15" spans="1:10">
      <c r="A15" s="227" t="s">
        <v>325</v>
      </c>
      <c r="B15" s="228"/>
      <c r="C15" s="306">
        <v>0.01</v>
      </c>
      <c r="D15" s="229">
        <f>IF(C15&lt;=1%,((D13-D14)*C15),"BEYOND MAX")</f>
        <v>81607.512000000002</v>
      </c>
      <c r="E15" s="294">
        <f>VLOOKUP(C6,' Glenview PL'!C:G,5,0)</f>
        <v>230000</v>
      </c>
    </row>
    <row r="16" spans="1:10">
      <c r="A16" s="227" t="s">
        <v>326</v>
      </c>
      <c r="B16" s="228"/>
      <c r="C16" s="196"/>
      <c r="D16" s="87">
        <f>VLOOKUP('DATA SHEET'!C10,' Glenview PL'!$C$6:$G$40,5,0)</f>
        <v>230000</v>
      </c>
      <c r="E16" s="294"/>
    </row>
    <row r="17" spans="1:8">
      <c r="A17" s="234" t="s">
        <v>311</v>
      </c>
      <c r="B17" s="228"/>
      <c r="C17" s="196"/>
      <c r="D17" s="235">
        <f>+D13-SUM(D14:D16)</f>
        <v>7849143.6880000001</v>
      </c>
      <c r="E17" s="231"/>
      <c r="F17" s="281"/>
    </row>
    <row r="18" spans="1:8">
      <c r="A18" s="236" t="s">
        <v>285</v>
      </c>
      <c r="C18" s="200">
        <v>0.05</v>
      </c>
      <c r="D18" s="237">
        <f>(D17/1.12)*C18</f>
        <v>350408.20035714284</v>
      </c>
      <c r="E18" s="231"/>
      <c r="F18" s="281"/>
    </row>
    <row r="19" spans="1:8" ht="16" thickBot="1">
      <c r="A19" s="198" t="s">
        <v>58</v>
      </c>
      <c r="D19" s="238">
        <f>+SUM(D17:D18)</f>
        <v>8199551.8883571429</v>
      </c>
      <c r="E19" s="231"/>
      <c r="F19" s="281"/>
    </row>
    <row r="20" spans="1:8" ht="9.75" customHeight="1" thickTop="1"/>
    <row r="21" spans="1:8">
      <c r="A21" s="239" t="s">
        <v>34</v>
      </c>
      <c r="B21" s="239" t="s">
        <v>286</v>
      </c>
      <c r="C21" s="239" t="s">
        <v>2</v>
      </c>
      <c r="D21" s="239" t="s">
        <v>287</v>
      </c>
      <c r="E21" s="239" t="s">
        <v>288</v>
      </c>
      <c r="F21" s="240" t="s">
        <v>289</v>
      </c>
      <c r="G21" s="241" t="s">
        <v>290</v>
      </c>
      <c r="H21" s="239" t="s">
        <v>291</v>
      </c>
    </row>
    <row r="22" spans="1:8">
      <c r="A22" s="401" t="s">
        <v>292</v>
      </c>
      <c r="B22" s="402"/>
      <c r="C22" s="402"/>
      <c r="D22" s="402"/>
      <c r="E22" s="402"/>
      <c r="F22" s="402"/>
      <c r="G22" s="403"/>
      <c r="H22" s="242">
        <f>+D19</f>
        <v>8199551.8883571429</v>
      </c>
    </row>
    <row r="23" spans="1:8">
      <c r="A23" s="243">
        <v>0</v>
      </c>
      <c r="B23" s="243"/>
      <c r="C23" s="243" t="s">
        <v>38</v>
      </c>
      <c r="D23" s="244">
        <f ca="1">'DATA SHEET'!C8</f>
        <v>43973</v>
      </c>
      <c r="E23" s="245">
        <f>IF(E13="1-Bedroom",50000,100000)</f>
        <v>50000</v>
      </c>
      <c r="F23" s="296"/>
      <c r="G23" s="297">
        <f>+SUM(E23:F23)</f>
        <v>50000</v>
      </c>
      <c r="H23" s="247">
        <f>D19-E23</f>
        <v>8149551.8883571429</v>
      </c>
    </row>
    <row r="24" spans="1:8">
      <c r="A24" s="243">
        <v>1</v>
      </c>
      <c r="B24" s="248">
        <v>0.05</v>
      </c>
      <c r="C24" s="243" t="s">
        <v>217</v>
      </c>
      <c r="D24" s="244">
        <f ca="1">EDATE(D23,1)</f>
        <v>44004</v>
      </c>
      <c r="E24" s="245">
        <f>($D$17*5%)-E23</f>
        <v>342457.18440000003</v>
      </c>
      <c r="F24" s="245">
        <f>($D$18*5%)</f>
        <v>17520.410017857143</v>
      </c>
      <c r="G24" s="297">
        <f t="shared" ref="G24:G62" si="0">+SUM(E24:F24)</f>
        <v>359977.59441785718</v>
      </c>
      <c r="H24" s="247">
        <f>H23-G24</f>
        <v>7789574.2939392859</v>
      </c>
    </row>
    <row r="25" spans="1:8">
      <c r="A25" s="243"/>
      <c r="B25" s="248">
        <v>0.2</v>
      </c>
      <c r="C25" s="243" t="s">
        <v>297</v>
      </c>
      <c r="D25" s="244"/>
      <c r="E25" s="245"/>
      <c r="F25" s="245"/>
      <c r="G25" s="297"/>
      <c r="H25" s="247"/>
    </row>
    <row r="26" spans="1:8">
      <c r="A26" s="243">
        <f>+A24+1</f>
        <v>2</v>
      </c>
      <c r="B26" s="243"/>
      <c r="C26" s="243" t="s">
        <v>4</v>
      </c>
      <c r="D26" s="244">
        <f ca="1">EDATE(D24,1)</f>
        <v>44034</v>
      </c>
      <c r="E26" s="245">
        <f>($D$17*20%)/36</f>
        <v>43606.353822222227</v>
      </c>
      <c r="F26" s="245">
        <f>($D$18*20%)/36</f>
        <v>1946.7122242063492</v>
      </c>
      <c r="G26" s="297">
        <f t="shared" si="0"/>
        <v>45553.066046428576</v>
      </c>
      <c r="H26" s="247">
        <f>H24-G26</f>
        <v>7744021.227892857</v>
      </c>
    </row>
    <row r="27" spans="1:8">
      <c r="A27" s="243">
        <f t="shared" ref="A27:A62" si="1">+A26+1</f>
        <v>3</v>
      </c>
      <c r="B27" s="243"/>
      <c r="C27" s="243" t="s">
        <v>5</v>
      </c>
      <c r="D27" s="244">
        <f t="shared" ref="D27:D62" ca="1" si="2">EDATE(D26,1)</f>
        <v>44065</v>
      </c>
      <c r="E27" s="245">
        <f t="shared" ref="E27:E61" si="3">($D$17*20%)/36</f>
        <v>43606.353822222227</v>
      </c>
      <c r="F27" s="245">
        <f t="shared" ref="F27:F61" si="4">($D$18*20%)/36</f>
        <v>1946.7122242063492</v>
      </c>
      <c r="G27" s="297">
        <f t="shared" si="0"/>
        <v>45553.066046428576</v>
      </c>
      <c r="H27" s="247">
        <f t="shared" ref="H27:H62" si="5">H26-G27</f>
        <v>7698468.1618464282</v>
      </c>
    </row>
    <row r="28" spans="1:8">
      <c r="A28" s="243">
        <f t="shared" si="1"/>
        <v>4</v>
      </c>
      <c r="B28" s="243"/>
      <c r="C28" s="243" t="s">
        <v>6</v>
      </c>
      <c r="D28" s="244">
        <f t="shared" ca="1" si="2"/>
        <v>44096</v>
      </c>
      <c r="E28" s="245">
        <f t="shared" si="3"/>
        <v>43606.353822222227</v>
      </c>
      <c r="F28" s="245">
        <f t="shared" si="4"/>
        <v>1946.7122242063492</v>
      </c>
      <c r="G28" s="297">
        <f t="shared" si="0"/>
        <v>45553.066046428576</v>
      </c>
      <c r="H28" s="247">
        <f t="shared" si="5"/>
        <v>7652915.0957999993</v>
      </c>
    </row>
    <row r="29" spans="1:8">
      <c r="A29" s="243">
        <f t="shared" si="1"/>
        <v>5</v>
      </c>
      <c r="B29" s="243"/>
      <c r="C29" s="243" t="s">
        <v>7</v>
      </c>
      <c r="D29" s="244">
        <f t="shared" ca="1" si="2"/>
        <v>44126</v>
      </c>
      <c r="E29" s="245">
        <f t="shared" si="3"/>
        <v>43606.353822222227</v>
      </c>
      <c r="F29" s="245">
        <f t="shared" si="4"/>
        <v>1946.7122242063492</v>
      </c>
      <c r="G29" s="297">
        <f t="shared" si="0"/>
        <v>45553.066046428576</v>
      </c>
      <c r="H29" s="247">
        <f t="shared" si="5"/>
        <v>7607362.0297535704</v>
      </c>
    </row>
    <row r="30" spans="1:8">
      <c r="A30" s="243">
        <f t="shared" si="1"/>
        <v>6</v>
      </c>
      <c r="B30" s="243"/>
      <c r="C30" s="243" t="s">
        <v>8</v>
      </c>
      <c r="D30" s="244">
        <f t="shared" ca="1" si="2"/>
        <v>44157</v>
      </c>
      <c r="E30" s="245">
        <f t="shared" si="3"/>
        <v>43606.353822222227</v>
      </c>
      <c r="F30" s="245">
        <f t="shared" si="4"/>
        <v>1946.7122242063492</v>
      </c>
      <c r="G30" s="297">
        <f t="shared" si="0"/>
        <v>45553.066046428576</v>
      </c>
      <c r="H30" s="247">
        <f t="shared" si="5"/>
        <v>7561808.9637071416</v>
      </c>
    </row>
    <row r="31" spans="1:8">
      <c r="A31" s="243">
        <f t="shared" si="1"/>
        <v>7</v>
      </c>
      <c r="B31" s="243"/>
      <c r="C31" s="243" t="s">
        <v>9</v>
      </c>
      <c r="D31" s="244">
        <f t="shared" ca="1" si="2"/>
        <v>44187</v>
      </c>
      <c r="E31" s="245">
        <f t="shared" si="3"/>
        <v>43606.353822222227</v>
      </c>
      <c r="F31" s="245">
        <f t="shared" si="4"/>
        <v>1946.7122242063492</v>
      </c>
      <c r="G31" s="297">
        <f t="shared" si="0"/>
        <v>45553.066046428576</v>
      </c>
      <c r="H31" s="247">
        <f t="shared" si="5"/>
        <v>7516255.8976607127</v>
      </c>
    </row>
    <row r="32" spans="1:8">
      <c r="A32" s="243">
        <f t="shared" si="1"/>
        <v>8</v>
      </c>
      <c r="B32" s="243"/>
      <c r="C32" s="243" t="s">
        <v>10</v>
      </c>
      <c r="D32" s="244">
        <f t="shared" ca="1" si="2"/>
        <v>44218</v>
      </c>
      <c r="E32" s="245">
        <f t="shared" si="3"/>
        <v>43606.353822222227</v>
      </c>
      <c r="F32" s="245">
        <f t="shared" si="4"/>
        <v>1946.7122242063492</v>
      </c>
      <c r="G32" s="297">
        <f t="shared" si="0"/>
        <v>45553.066046428576</v>
      </c>
      <c r="H32" s="247">
        <f t="shared" si="5"/>
        <v>7470702.8316142838</v>
      </c>
    </row>
    <row r="33" spans="1:8">
      <c r="A33" s="243">
        <f t="shared" si="1"/>
        <v>9</v>
      </c>
      <c r="B33" s="243"/>
      <c r="C33" s="243" t="s">
        <v>11</v>
      </c>
      <c r="D33" s="244">
        <f t="shared" ca="1" si="2"/>
        <v>44249</v>
      </c>
      <c r="E33" s="245">
        <f t="shared" si="3"/>
        <v>43606.353822222227</v>
      </c>
      <c r="F33" s="245">
        <f t="shared" si="4"/>
        <v>1946.7122242063492</v>
      </c>
      <c r="G33" s="297">
        <f t="shared" si="0"/>
        <v>45553.066046428576</v>
      </c>
      <c r="H33" s="247">
        <f t="shared" si="5"/>
        <v>7425149.765567855</v>
      </c>
    </row>
    <row r="34" spans="1:8">
      <c r="A34" s="243">
        <f t="shared" si="1"/>
        <v>10</v>
      </c>
      <c r="B34" s="243"/>
      <c r="C34" s="243" t="s">
        <v>12</v>
      </c>
      <c r="D34" s="244">
        <f t="shared" ca="1" si="2"/>
        <v>44277</v>
      </c>
      <c r="E34" s="245">
        <f t="shared" si="3"/>
        <v>43606.353822222227</v>
      </c>
      <c r="F34" s="245">
        <f t="shared" si="4"/>
        <v>1946.7122242063492</v>
      </c>
      <c r="G34" s="297">
        <f t="shared" si="0"/>
        <v>45553.066046428576</v>
      </c>
      <c r="H34" s="247">
        <f t="shared" si="5"/>
        <v>7379596.6995214261</v>
      </c>
    </row>
    <row r="35" spans="1:8">
      <c r="A35" s="243">
        <f t="shared" si="1"/>
        <v>11</v>
      </c>
      <c r="B35" s="243"/>
      <c r="C35" s="243" t="s">
        <v>13</v>
      </c>
      <c r="D35" s="244">
        <f t="shared" ca="1" si="2"/>
        <v>44308</v>
      </c>
      <c r="E35" s="245">
        <f t="shared" si="3"/>
        <v>43606.353822222227</v>
      </c>
      <c r="F35" s="245">
        <f t="shared" si="4"/>
        <v>1946.7122242063492</v>
      </c>
      <c r="G35" s="297">
        <f t="shared" si="0"/>
        <v>45553.066046428576</v>
      </c>
      <c r="H35" s="247">
        <f t="shared" si="5"/>
        <v>7334043.6334749972</v>
      </c>
    </row>
    <row r="36" spans="1:8">
      <c r="A36" s="243">
        <f t="shared" si="1"/>
        <v>12</v>
      </c>
      <c r="B36" s="243"/>
      <c r="C36" s="243" t="s">
        <v>14</v>
      </c>
      <c r="D36" s="244">
        <f t="shared" ca="1" si="2"/>
        <v>44338</v>
      </c>
      <c r="E36" s="245">
        <f t="shared" si="3"/>
        <v>43606.353822222227</v>
      </c>
      <c r="F36" s="245">
        <f t="shared" si="4"/>
        <v>1946.7122242063492</v>
      </c>
      <c r="G36" s="297">
        <f t="shared" si="0"/>
        <v>45553.066046428576</v>
      </c>
      <c r="H36" s="247">
        <f t="shared" si="5"/>
        <v>7288490.5674285684</v>
      </c>
    </row>
    <row r="37" spans="1:8">
      <c r="A37" s="243">
        <f t="shared" si="1"/>
        <v>13</v>
      </c>
      <c r="B37" s="243"/>
      <c r="C37" s="243" t="s">
        <v>15</v>
      </c>
      <c r="D37" s="244">
        <f t="shared" ca="1" si="2"/>
        <v>44369</v>
      </c>
      <c r="E37" s="245">
        <f t="shared" si="3"/>
        <v>43606.353822222227</v>
      </c>
      <c r="F37" s="245">
        <f t="shared" si="4"/>
        <v>1946.7122242063492</v>
      </c>
      <c r="G37" s="297">
        <f t="shared" si="0"/>
        <v>45553.066046428576</v>
      </c>
      <c r="H37" s="247">
        <f t="shared" si="5"/>
        <v>7242937.5013821395</v>
      </c>
    </row>
    <row r="38" spans="1:8">
      <c r="A38" s="243">
        <f t="shared" si="1"/>
        <v>14</v>
      </c>
      <c r="B38" s="243"/>
      <c r="C38" s="243" t="s">
        <v>19</v>
      </c>
      <c r="D38" s="244">
        <f t="shared" ca="1" si="2"/>
        <v>44399</v>
      </c>
      <c r="E38" s="245">
        <f t="shared" si="3"/>
        <v>43606.353822222227</v>
      </c>
      <c r="F38" s="245">
        <f t="shared" si="4"/>
        <v>1946.7122242063492</v>
      </c>
      <c r="G38" s="297">
        <f t="shared" si="0"/>
        <v>45553.066046428576</v>
      </c>
      <c r="H38" s="247">
        <f t="shared" si="5"/>
        <v>7197384.4353357106</v>
      </c>
    </row>
    <row r="39" spans="1:8">
      <c r="A39" s="243">
        <f t="shared" si="1"/>
        <v>15</v>
      </c>
      <c r="B39" s="243"/>
      <c r="C39" s="243" t="s">
        <v>20</v>
      </c>
      <c r="D39" s="244">
        <f t="shared" ca="1" si="2"/>
        <v>44430</v>
      </c>
      <c r="E39" s="245">
        <f t="shared" si="3"/>
        <v>43606.353822222227</v>
      </c>
      <c r="F39" s="245">
        <f t="shared" si="4"/>
        <v>1946.7122242063492</v>
      </c>
      <c r="G39" s="297">
        <f t="shared" si="0"/>
        <v>45553.066046428576</v>
      </c>
      <c r="H39" s="247">
        <f t="shared" si="5"/>
        <v>7151831.3692892818</v>
      </c>
    </row>
    <row r="40" spans="1:8">
      <c r="A40" s="243">
        <f t="shared" si="1"/>
        <v>16</v>
      </c>
      <c r="B40" s="243"/>
      <c r="C40" s="243" t="s">
        <v>21</v>
      </c>
      <c r="D40" s="244">
        <f t="shared" ca="1" si="2"/>
        <v>44461</v>
      </c>
      <c r="E40" s="245">
        <f t="shared" si="3"/>
        <v>43606.353822222227</v>
      </c>
      <c r="F40" s="245">
        <f t="shared" si="4"/>
        <v>1946.7122242063492</v>
      </c>
      <c r="G40" s="297">
        <f t="shared" si="0"/>
        <v>45553.066046428576</v>
      </c>
      <c r="H40" s="247">
        <f t="shared" si="5"/>
        <v>7106278.3032428529</v>
      </c>
    </row>
    <row r="41" spans="1:8">
      <c r="A41" s="243">
        <f t="shared" si="1"/>
        <v>17</v>
      </c>
      <c r="B41" s="243"/>
      <c r="C41" s="243" t="s">
        <v>22</v>
      </c>
      <c r="D41" s="244">
        <f t="shared" ca="1" si="2"/>
        <v>44491</v>
      </c>
      <c r="E41" s="245">
        <f t="shared" si="3"/>
        <v>43606.353822222227</v>
      </c>
      <c r="F41" s="245">
        <f t="shared" si="4"/>
        <v>1946.7122242063492</v>
      </c>
      <c r="G41" s="297">
        <f t="shared" si="0"/>
        <v>45553.066046428576</v>
      </c>
      <c r="H41" s="247">
        <f t="shared" si="5"/>
        <v>7060725.237196424</v>
      </c>
    </row>
    <row r="42" spans="1:8">
      <c r="A42" s="243">
        <f t="shared" si="1"/>
        <v>18</v>
      </c>
      <c r="B42" s="243"/>
      <c r="C42" s="243" t="s">
        <v>23</v>
      </c>
      <c r="D42" s="244">
        <f t="shared" ca="1" si="2"/>
        <v>44522</v>
      </c>
      <c r="E42" s="245">
        <f t="shared" si="3"/>
        <v>43606.353822222227</v>
      </c>
      <c r="F42" s="245">
        <f t="shared" si="4"/>
        <v>1946.7122242063492</v>
      </c>
      <c r="G42" s="297">
        <f t="shared" si="0"/>
        <v>45553.066046428576</v>
      </c>
      <c r="H42" s="247">
        <f t="shared" si="5"/>
        <v>7015172.1711499952</v>
      </c>
    </row>
    <row r="43" spans="1:8">
      <c r="A43" s="243">
        <f t="shared" si="1"/>
        <v>19</v>
      </c>
      <c r="B43" s="243"/>
      <c r="C43" s="243" t="s">
        <v>24</v>
      </c>
      <c r="D43" s="244">
        <f t="shared" ca="1" si="2"/>
        <v>44552</v>
      </c>
      <c r="E43" s="245">
        <f t="shared" si="3"/>
        <v>43606.353822222227</v>
      </c>
      <c r="F43" s="245">
        <f t="shared" si="4"/>
        <v>1946.7122242063492</v>
      </c>
      <c r="G43" s="297">
        <f t="shared" si="0"/>
        <v>45553.066046428576</v>
      </c>
      <c r="H43" s="247">
        <f t="shared" si="5"/>
        <v>6969619.1051035663</v>
      </c>
    </row>
    <row r="44" spans="1:8">
      <c r="A44" s="243">
        <f t="shared" si="1"/>
        <v>20</v>
      </c>
      <c r="B44" s="243"/>
      <c r="C44" s="243" t="s">
        <v>25</v>
      </c>
      <c r="D44" s="244">
        <f t="shared" ca="1" si="2"/>
        <v>44583</v>
      </c>
      <c r="E44" s="245">
        <f t="shared" si="3"/>
        <v>43606.353822222227</v>
      </c>
      <c r="F44" s="245">
        <f t="shared" si="4"/>
        <v>1946.7122242063492</v>
      </c>
      <c r="G44" s="297">
        <f t="shared" si="0"/>
        <v>45553.066046428576</v>
      </c>
      <c r="H44" s="247">
        <f t="shared" si="5"/>
        <v>6924066.0390571374</v>
      </c>
    </row>
    <row r="45" spans="1:8">
      <c r="A45" s="243">
        <f t="shared" si="1"/>
        <v>21</v>
      </c>
      <c r="B45" s="243"/>
      <c r="C45" s="243" t="s">
        <v>26</v>
      </c>
      <c r="D45" s="244">
        <f t="shared" ca="1" si="2"/>
        <v>44614</v>
      </c>
      <c r="E45" s="245">
        <f t="shared" si="3"/>
        <v>43606.353822222227</v>
      </c>
      <c r="F45" s="245">
        <f t="shared" si="4"/>
        <v>1946.7122242063492</v>
      </c>
      <c r="G45" s="297">
        <f t="shared" si="0"/>
        <v>45553.066046428576</v>
      </c>
      <c r="H45" s="247">
        <f t="shared" si="5"/>
        <v>6878512.9730107086</v>
      </c>
    </row>
    <row r="46" spans="1:8">
      <c r="A46" s="243">
        <f t="shared" si="1"/>
        <v>22</v>
      </c>
      <c r="B46" s="243"/>
      <c r="C46" s="243" t="s">
        <v>27</v>
      </c>
      <c r="D46" s="244">
        <f t="shared" ca="1" si="2"/>
        <v>44642</v>
      </c>
      <c r="E46" s="245">
        <f t="shared" si="3"/>
        <v>43606.353822222227</v>
      </c>
      <c r="F46" s="245">
        <f t="shared" si="4"/>
        <v>1946.7122242063492</v>
      </c>
      <c r="G46" s="297">
        <f t="shared" si="0"/>
        <v>45553.066046428576</v>
      </c>
      <c r="H46" s="247">
        <f t="shared" si="5"/>
        <v>6832959.9069642797</v>
      </c>
    </row>
    <row r="47" spans="1:8">
      <c r="A47" s="243">
        <f t="shared" si="1"/>
        <v>23</v>
      </c>
      <c r="B47" s="243"/>
      <c r="C47" s="243" t="s">
        <v>28</v>
      </c>
      <c r="D47" s="244">
        <f t="shared" ca="1" si="2"/>
        <v>44673</v>
      </c>
      <c r="E47" s="245">
        <f t="shared" si="3"/>
        <v>43606.353822222227</v>
      </c>
      <c r="F47" s="245">
        <f t="shared" si="4"/>
        <v>1946.7122242063492</v>
      </c>
      <c r="G47" s="297">
        <f t="shared" si="0"/>
        <v>45553.066046428576</v>
      </c>
      <c r="H47" s="247">
        <f t="shared" si="5"/>
        <v>6787406.8409178508</v>
      </c>
    </row>
    <row r="48" spans="1:8">
      <c r="A48" s="243">
        <f t="shared" si="1"/>
        <v>24</v>
      </c>
      <c r="B48" s="243"/>
      <c r="C48" s="243" t="s">
        <v>29</v>
      </c>
      <c r="D48" s="244">
        <f t="shared" ca="1" si="2"/>
        <v>44703</v>
      </c>
      <c r="E48" s="245">
        <f t="shared" si="3"/>
        <v>43606.353822222227</v>
      </c>
      <c r="F48" s="245">
        <f t="shared" si="4"/>
        <v>1946.7122242063492</v>
      </c>
      <c r="G48" s="297">
        <f t="shared" si="0"/>
        <v>45553.066046428576</v>
      </c>
      <c r="H48" s="247">
        <f t="shared" si="5"/>
        <v>6741853.774871422</v>
      </c>
    </row>
    <row r="49" spans="1:8">
      <c r="A49" s="243">
        <f t="shared" si="1"/>
        <v>25</v>
      </c>
      <c r="B49" s="243"/>
      <c r="C49" s="243" t="s">
        <v>30</v>
      </c>
      <c r="D49" s="244">
        <f t="shared" ca="1" si="2"/>
        <v>44734</v>
      </c>
      <c r="E49" s="245">
        <f t="shared" si="3"/>
        <v>43606.353822222227</v>
      </c>
      <c r="F49" s="245">
        <f t="shared" si="4"/>
        <v>1946.7122242063492</v>
      </c>
      <c r="G49" s="297">
        <f t="shared" si="0"/>
        <v>45553.066046428576</v>
      </c>
      <c r="H49" s="247">
        <f t="shared" si="5"/>
        <v>6696300.7088249931</v>
      </c>
    </row>
    <row r="50" spans="1:8">
      <c r="A50" s="243">
        <f t="shared" si="1"/>
        <v>26</v>
      </c>
      <c r="B50" s="243"/>
      <c r="C50" s="243" t="s">
        <v>48</v>
      </c>
      <c r="D50" s="244">
        <f t="shared" ca="1" si="2"/>
        <v>44764</v>
      </c>
      <c r="E50" s="245">
        <f t="shared" si="3"/>
        <v>43606.353822222227</v>
      </c>
      <c r="F50" s="245">
        <f t="shared" si="4"/>
        <v>1946.7122242063492</v>
      </c>
      <c r="G50" s="297">
        <f t="shared" si="0"/>
        <v>45553.066046428576</v>
      </c>
      <c r="H50" s="247">
        <f t="shared" si="5"/>
        <v>6650747.6427785642</v>
      </c>
    </row>
    <row r="51" spans="1:8">
      <c r="A51" s="243">
        <f t="shared" si="1"/>
        <v>27</v>
      </c>
      <c r="B51" s="243"/>
      <c r="C51" s="243" t="s">
        <v>49</v>
      </c>
      <c r="D51" s="244">
        <f t="shared" ca="1" si="2"/>
        <v>44795</v>
      </c>
      <c r="E51" s="245">
        <f t="shared" si="3"/>
        <v>43606.353822222227</v>
      </c>
      <c r="F51" s="245">
        <f t="shared" si="4"/>
        <v>1946.7122242063492</v>
      </c>
      <c r="G51" s="297">
        <f t="shared" si="0"/>
        <v>45553.066046428576</v>
      </c>
      <c r="H51" s="247">
        <f t="shared" si="5"/>
        <v>6605194.5767321354</v>
      </c>
    </row>
    <row r="52" spans="1:8">
      <c r="A52" s="243">
        <f t="shared" si="1"/>
        <v>28</v>
      </c>
      <c r="B52" s="243"/>
      <c r="C52" s="243" t="s">
        <v>50</v>
      </c>
      <c r="D52" s="244">
        <f t="shared" ca="1" si="2"/>
        <v>44826</v>
      </c>
      <c r="E52" s="245">
        <f t="shared" si="3"/>
        <v>43606.353822222227</v>
      </c>
      <c r="F52" s="245">
        <f t="shared" si="4"/>
        <v>1946.7122242063492</v>
      </c>
      <c r="G52" s="297">
        <f t="shared" si="0"/>
        <v>45553.066046428576</v>
      </c>
      <c r="H52" s="247">
        <f t="shared" si="5"/>
        <v>6559641.5106857065</v>
      </c>
    </row>
    <row r="53" spans="1:8">
      <c r="A53" s="243">
        <f t="shared" si="1"/>
        <v>29</v>
      </c>
      <c r="B53" s="243"/>
      <c r="C53" s="243" t="s">
        <v>51</v>
      </c>
      <c r="D53" s="244">
        <f t="shared" ca="1" si="2"/>
        <v>44856</v>
      </c>
      <c r="E53" s="245">
        <f t="shared" si="3"/>
        <v>43606.353822222227</v>
      </c>
      <c r="F53" s="245">
        <f t="shared" si="4"/>
        <v>1946.7122242063492</v>
      </c>
      <c r="G53" s="297">
        <f t="shared" si="0"/>
        <v>45553.066046428576</v>
      </c>
      <c r="H53" s="247">
        <f t="shared" si="5"/>
        <v>6514088.4446392776</v>
      </c>
    </row>
    <row r="54" spans="1:8">
      <c r="A54" s="243">
        <f t="shared" si="1"/>
        <v>30</v>
      </c>
      <c r="B54" s="243"/>
      <c r="C54" s="243" t="s">
        <v>52</v>
      </c>
      <c r="D54" s="244">
        <f t="shared" ca="1" si="2"/>
        <v>44887</v>
      </c>
      <c r="E54" s="245">
        <f t="shared" si="3"/>
        <v>43606.353822222227</v>
      </c>
      <c r="F54" s="245">
        <f t="shared" si="4"/>
        <v>1946.7122242063492</v>
      </c>
      <c r="G54" s="297">
        <f t="shared" si="0"/>
        <v>45553.066046428576</v>
      </c>
      <c r="H54" s="247">
        <f t="shared" si="5"/>
        <v>6468535.3785928488</v>
      </c>
    </row>
    <row r="55" spans="1:8">
      <c r="A55" s="243">
        <f t="shared" si="1"/>
        <v>31</v>
      </c>
      <c r="B55" s="243"/>
      <c r="C55" s="243" t="s">
        <v>53</v>
      </c>
      <c r="D55" s="244">
        <f t="shared" ca="1" si="2"/>
        <v>44917</v>
      </c>
      <c r="E55" s="245">
        <f t="shared" si="3"/>
        <v>43606.353822222227</v>
      </c>
      <c r="F55" s="245">
        <f t="shared" si="4"/>
        <v>1946.7122242063492</v>
      </c>
      <c r="G55" s="297">
        <f t="shared" si="0"/>
        <v>45553.066046428576</v>
      </c>
      <c r="H55" s="247">
        <f t="shared" si="5"/>
        <v>6422982.3125464199</v>
      </c>
    </row>
    <row r="56" spans="1:8">
      <c r="A56" s="243">
        <f t="shared" si="1"/>
        <v>32</v>
      </c>
      <c r="B56" s="243"/>
      <c r="C56" s="243" t="s">
        <v>93</v>
      </c>
      <c r="D56" s="244">
        <f t="shared" ca="1" si="2"/>
        <v>44948</v>
      </c>
      <c r="E56" s="245">
        <f t="shared" si="3"/>
        <v>43606.353822222227</v>
      </c>
      <c r="F56" s="245">
        <f t="shared" si="4"/>
        <v>1946.7122242063492</v>
      </c>
      <c r="G56" s="297">
        <f t="shared" si="0"/>
        <v>45553.066046428576</v>
      </c>
      <c r="H56" s="247">
        <f t="shared" si="5"/>
        <v>6377429.246499991</v>
      </c>
    </row>
    <row r="57" spans="1:8">
      <c r="A57" s="243">
        <f t="shared" si="1"/>
        <v>33</v>
      </c>
      <c r="B57" s="243"/>
      <c r="C57" s="243" t="s">
        <v>94</v>
      </c>
      <c r="D57" s="244">
        <f t="shared" ca="1" si="2"/>
        <v>44979</v>
      </c>
      <c r="E57" s="245">
        <f t="shared" si="3"/>
        <v>43606.353822222227</v>
      </c>
      <c r="F57" s="245">
        <f t="shared" si="4"/>
        <v>1946.7122242063492</v>
      </c>
      <c r="G57" s="297">
        <f t="shared" si="0"/>
        <v>45553.066046428576</v>
      </c>
      <c r="H57" s="247">
        <f t="shared" si="5"/>
        <v>6331876.1804535622</v>
      </c>
    </row>
    <row r="58" spans="1:8">
      <c r="A58" s="243">
        <f t="shared" si="1"/>
        <v>34</v>
      </c>
      <c r="B58" s="243"/>
      <c r="C58" s="243" t="s">
        <v>95</v>
      </c>
      <c r="D58" s="244">
        <f t="shared" ca="1" si="2"/>
        <v>45007</v>
      </c>
      <c r="E58" s="245">
        <f t="shared" si="3"/>
        <v>43606.353822222227</v>
      </c>
      <c r="F58" s="245">
        <f t="shared" si="4"/>
        <v>1946.7122242063492</v>
      </c>
      <c r="G58" s="297">
        <f t="shared" si="0"/>
        <v>45553.066046428576</v>
      </c>
      <c r="H58" s="247">
        <f t="shared" si="5"/>
        <v>6286323.1144071333</v>
      </c>
    </row>
    <row r="59" spans="1:8">
      <c r="A59" s="243">
        <f t="shared" si="1"/>
        <v>35</v>
      </c>
      <c r="B59" s="243"/>
      <c r="C59" s="243" t="s">
        <v>96</v>
      </c>
      <c r="D59" s="244">
        <f t="shared" ca="1" si="2"/>
        <v>45038</v>
      </c>
      <c r="E59" s="245">
        <f t="shared" si="3"/>
        <v>43606.353822222227</v>
      </c>
      <c r="F59" s="245">
        <f t="shared" si="4"/>
        <v>1946.7122242063492</v>
      </c>
      <c r="G59" s="297">
        <f t="shared" si="0"/>
        <v>45553.066046428576</v>
      </c>
      <c r="H59" s="247">
        <f t="shared" si="5"/>
        <v>6240770.0483607044</v>
      </c>
    </row>
    <row r="60" spans="1:8">
      <c r="A60" s="243">
        <f t="shared" si="1"/>
        <v>36</v>
      </c>
      <c r="B60" s="243"/>
      <c r="C60" s="243" t="s">
        <v>97</v>
      </c>
      <c r="D60" s="244">
        <f t="shared" ca="1" si="2"/>
        <v>45068</v>
      </c>
      <c r="E60" s="245">
        <f t="shared" si="3"/>
        <v>43606.353822222227</v>
      </c>
      <c r="F60" s="245">
        <f t="shared" si="4"/>
        <v>1946.7122242063492</v>
      </c>
      <c r="G60" s="297">
        <f t="shared" si="0"/>
        <v>45553.066046428576</v>
      </c>
      <c r="H60" s="247">
        <f t="shared" si="5"/>
        <v>6195216.9823142756</v>
      </c>
    </row>
    <row r="61" spans="1:8">
      <c r="A61" s="243">
        <f t="shared" si="1"/>
        <v>37</v>
      </c>
      <c r="B61" s="243"/>
      <c r="C61" s="243" t="s">
        <v>98</v>
      </c>
      <c r="D61" s="244">
        <f t="shared" ca="1" si="2"/>
        <v>45099</v>
      </c>
      <c r="E61" s="245">
        <f t="shared" si="3"/>
        <v>43606.353822222227</v>
      </c>
      <c r="F61" s="245">
        <f t="shared" si="4"/>
        <v>1946.7122242063492</v>
      </c>
      <c r="G61" s="297">
        <f t="shared" si="0"/>
        <v>45553.066046428576</v>
      </c>
      <c r="H61" s="247">
        <f t="shared" si="5"/>
        <v>6149663.9162678467</v>
      </c>
    </row>
    <row r="62" spans="1:8">
      <c r="A62" s="243">
        <f t="shared" si="1"/>
        <v>38</v>
      </c>
      <c r="B62" s="248">
        <v>0.75</v>
      </c>
      <c r="C62" s="243" t="s">
        <v>220</v>
      </c>
      <c r="D62" s="244">
        <f t="shared" ca="1" si="2"/>
        <v>45129</v>
      </c>
      <c r="E62" s="245">
        <f>($D$17*75%)</f>
        <v>5886857.7659999998</v>
      </c>
      <c r="F62" s="245">
        <f>($D$18*75%)</f>
        <v>262806.15026785713</v>
      </c>
      <c r="G62" s="297">
        <f t="shared" si="0"/>
        <v>6149663.916267857</v>
      </c>
      <c r="H62" s="247">
        <f t="shared" si="5"/>
        <v>-1.0244548320770264E-8</v>
      </c>
    </row>
    <row r="63" spans="1:8">
      <c r="A63" s="404" t="s">
        <v>16</v>
      </c>
      <c r="B63" s="405"/>
      <c r="C63" s="405"/>
      <c r="D63" s="406"/>
      <c r="E63" s="249">
        <f>SUM(E23:E62)</f>
        <v>7849143.6879999992</v>
      </c>
      <c r="F63" s="249">
        <f t="shared" ref="F63:G63" si="6">SUM(F23:F62)</f>
        <v>350408.20035714284</v>
      </c>
      <c r="G63" s="249">
        <f t="shared" si="6"/>
        <v>8199551.8883571448</v>
      </c>
      <c r="H63" s="279"/>
    </row>
    <row r="64" spans="1:8" s="197" customFormat="1" ht="14">
      <c r="C64" s="206"/>
      <c r="D64" s="207"/>
      <c r="E64" s="208"/>
      <c r="F64" s="208"/>
      <c r="G64" s="208"/>
    </row>
    <row r="65" spans="1:8" s="197" customFormat="1" ht="14">
      <c r="A65" s="374" t="s">
        <v>313</v>
      </c>
      <c r="B65" s="374"/>
      <c r="C65" s="374"/>
      <c r="D65" s="374"/>
      <c r="E65" s="374"/>
      <c r="F65" s="374"/>
      <c r="G65" s="374"/>
      <c r="H65" s="374"/>
    </row>
    <row r="66" spans="1:8" s="197" customFormat="1" ht="29.25" customHeight="1">
      <c r="A66" s="388" t="s">
        <v>314</v>
      </c>
      <c r="B66" s="388"/>
      <c r="C66" s="388"/>
      <c r="D66" s="388"/>
      <c r="E66" s="388"/>
      <c r="F66" s="388"/>
      <c r="G66" s="388"/>
      <c r="H66" s="388"/>
    </row>
    <row r="67" spans="1:8" s="197" customFormat="1" ht="16.5" customHeight="1">
      <c r="A67" s="374" t="s">
        <v>315</v>
      </c>
      <c r="B67" s="374"/>
      <c r="C67" s="374"/>
      <c r="D67" s="374"/>
      <c r="E67" s="374"/>
      <c r="F67" s="374"/>
      <c r="G67" s="374"/>
      <c r="H67" s="374"/>
    </row>
    <row r="68" spans="1:8" s="197" customFormat="1" ht="16.5" customHeight="1">
      <c r="A68" s="374" t="s">
        <v>316</v>
      </c>
      <c r="B68" s="374"/>
      <c r="C68" s="374"/>
      <c r="D68" s="374"/>
      <c r="E68" s="374"/>
      <c r="F68" s="374"/>
      <c r="G68" s="374"/>
      <c r="H68" s="374"/>
    </row>
    <row r="69" spans="1:8" s="197" customFormat="1" ht="16.5" customHeight="1">
      <c r="A69" s="374" t="s">
        <v>317</v>
      </c>
      <c r="B69" s="374"/>
      <c r="C69" s="374"/>
      <c r="D69" s="374"/>
      <c r="E69" s="374"/>
      <c r="F69" s="374"/>
      <c r="G69" s="374"/>
      <c r="H69" s="374"/>
    </row>
    <row r="70" spans="1:8" s="197" customFormat="1" ht="106.5" customHeight="1">
      <c r="A70" s="374" t="s">
        <v>318</v>
      </c>
      <c r="B70" s="374"/>
      <c r="C70" s="374"/>
      <c r="D70" s="374"/>
      <c r="E70" s="374"/>
      <c r="F70" s="374"/>
      <c r="G70" s="374"/>
      <c r="H70" s="374"/>
    </row>
    <row r="71" spans="1:8" s="197" customFormat="1" ht="43.5" customHeight="1">
      <c r="A71" s="374" t="s">
        <v>319</v>
      </c>
      <c r="B71" s="374"/>
      <c r="C71" s="374"/>
      <c r="D71" s="374"/>
      <c r="E71" s="374"/>
      <c r="F71" s="374"/>
      <c r="G71" s="374"/>
      <c r="H71" s="374"/>
    </row>
    <row r="72" spans="1:8" s="197" customFormat="1" ht="21" customHeight="1">
      <c r="A72" s="374" t="s">
        <v>320</v>
      </c>
      <c r="B72" s="374"/>
      <c r="C72" s="374"/>
      <c r="D72" s="374"/>
      <c r="E72" s="374"/>
      <c r="F72" s="374"/>
      <c r="G72" s="374"/>
      <c r="H72" s="374"/>
    </row>
    <row r="73" spans="1:8" s="197" customFormat="1" ht="14">
      <c r="A73" s="374"/>
      <c r="B73" s="374"/>
      <c r="C73" s="374"/>
      <c r="D73" s="374"/>
      <c r="E73" s="374"/>
      <c r="F73" s="374"/>
      <c r="G73" s="374"/>
      <c r="H73" s="374"/>
    </row>
    <row r="74" spans="1:8" s="197" customFormat="1" ht="14">
      <c r="A74" s="197" t="s">
        <v>17</v>
      </c>
      <c r="D74" s="209"/>
      <c r="G74" s="198"/>
    </row>
    <row r="75" spans="1:8" s="197" customFormat="1" ht="14">
      <c r="D75" s="209"/>
      <c r="G75" s="198"/>
    </row>
    <row r="76" spans="1:8" s="197" customFormat="1" ht="15" customHeight="1">
      <c r="A76" s="210"/>
      <c r="B76" s="210"/>
      <c r="C76" s="210"/>
      <c r="D76" s="209"/>
      <c r="E76" s="210"/>
      <c r="F76" s="210"/>
      <c r="G76" s="211"/>
    </row>
    <row r="77" spans="1:8" s="197" customFormat="1" ht="14">
      <c r="A77" s="375" t="s">
        <v>293</v>
      </c>
      <c r="B77" s="375"/>
      <c r="C77" s="375"/>
      <c r="D77" s="209"/>
      <c r="E77" s="375" t="s">
        <v>18</v>
      </c>
      <c r="F77" s="375"/>
      <c r="G77" s="375"/>
    </row>
    <row r="78" spans="1:8">
      <c r="F78" s="281"/>
    </row>
  </sheetData>
  <sheetProtection password="CAF1" sheet="1" selectLockedCells="1"/>
  <mergeCells count="21">
    <mergeCell ref="A71:H71"/>
    <mergeCell ref="A72:H72"/>
    <mergeCell ref="A73:H73"/>
    <mergeCell ref="A77:C77"/>
    <mergeCell ref="E77:G77"/>
    <mergeCell ref="A9:B9"/>
    <mergeCell ref="C9:H9"/>
    <mergeCell ref="H1:H2"/>
    <mergeCell ref="C5:H5"/>
    <mergeCell ref="C6:H6"/>
    <mergeCell ref="C7:H7"/>
    <mergeCell ref="C8:H8"/>
    <mergeCell ref="A67:H67"/>
    <mergeCell ref="A68:H68"/>
    <mergeCell ref="A69:H69"/>
    <mergeCell ref="A70:H70"/>
    <mergeCell ref="C10:H10"/>
    <mergeCell ref="A22:G22"/>
    <mergeCell ref="A63:D63"/>
    <mergeCell ref="A65:H65"/>
    <mergeCell ref="A66:H66"/>
  </mergeCells>
  <hyperlinks>
    <hyperlink ref="C1" location="'DATA SHEET'!A1" display="HIGHLANDS PRIME, INC." xr:uid="{00000000-0004-0000-1F00-000000000000}"/>
    <hyperlink ref="J3" location="'DATA SHEET'!A1" display="Return to Data Sheet" xr:uid="{00000000-0004-0000-1F00-000001000000}"/>
  </hyperlinks>
  <pageMargins left="0.7" right="0.7" top="0.75" bottom="0.75" header="0.3" footer="0.3"/>
  <pageSetup paperSize="5" scale="65" orientation="portrait" r:id="rId1"/>
  <headerFooter>
    <oddFooter>&amp;L&amp;8A project of HIGHLANDS PRIME, INC. Horizon Terraces HLURB License To Sell No. 032272&amp;R&amp;8&amp;P of &amp;N</oddFooter>
  </headerFooter>
  <ignoredErrors>
    <ignoredError sqref="D16" unlockedFormula="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tabColor rgb="FF389E8F"/>
  </sheetPr>
  <dimension ref="A1:L77"/>
  <sheetViews>
    <sheetView showGridLines="0" zoomScaleNormal="100" workbookViewId="0">
      <selection activeCell="C14" sqref="C14"/>
    </sheetView>
  </sheetViews>
  <sheetFormatPr baseColWidth="10" defaultColWidth="0" defaultRowHeight="14" zeroHeight="1"/>
  <cols>
    <col min="1" max="1" width="12.33203125" style="39" customWidth="1"/>
    <col min="2" max="2" width="10.5" style="39" customWidth="1"/>
    <col min="3" max="3" width="23.5" style="39" customWidth="1"/>
    <col min="4" max="4" width="13.5" style="40" bestFit="1" customWidth="1"/>
    <col min="5" max="5" width="13.5" style="39" bestFit="1" customWidth="1"/>
    <col min="6" max="6" width="14.83203125" style="281" bestFit="1" customWidth="1"/>
    <col min="7" max="7" width="13.5" style="41" bestFit="1" customWidth="1"/>
    <col min="8" max="8" width="17.5" style="39" bestFit="1" customWidth="1"/>
    <col min="9" max="12" width="9.1640625" style="39" customWidth="1"/>
    <col min="13" max="16384" width="9.1640625" style="39" hidden="1"/>
  </cols>
  <sheetData>
    <row r="1" spans="1:10" ht="12.75" customHeight="1">
      <c r="C1" s="212" t="s">
        <v>35</v>
      </c>
      <c r="F1" s="39"/>
      <c r="H1" s="409" t="s">
        <v>66</v>
      </c>
    </row>
    <row r="2" spans="1:10">
      <c r="C2" s="41" t="s">
        <v>207</v>
      </c>
      <c r="F2" s="39"/>
      <c r="H2" s="409"/>
    </row>
    <row r="3" spans="1:10">
      <c r="C3" s="41" t="s">
        <v>36</v>
      </c>
      <c r="F3" s="39"/>
      <c r="H3" s="281"/>
    </row>
    <row r="4" spans="1:10">
      <c r="F4" s="39"/>
      <c r="H4" s="281"/>
      <c r="J4" s="251" t="s">
        <v>215</v>
      </c>
    </row>
    <row r="5" spans="1:10">
      <c r="A5" s="213" t="s">
        <v>0</v>
      </c>
      <c r="B5" s="269"/>
      <c r="C5" s="377" t="str">
        <f>'DATA SHEET'!C9</f>
        <v xml:space="preserve"> </v>
      </c>
      <c r="D5" s="377"/>
      <c r="E5" s="377"/>
      <c r="F5" s="377"/>
      <c r="G5" s="377"/>
      <c r="H5" s="378"/>
    </row>
    <row r="6" spans="1:10">
      <c r="A6" s="215" t="s">
        <v>31</v>
      </c>
      <c r="B6" s="216"/>
      <c r="C6" s="379" t="str">
        <f>VLOOKUP('DATA SHEET'!$C$10,' Glenview PL'!C6:G41,1,FALSE)</f>
        <v>GB</v>
      </c>
      <c r="D6" s="379"/>
      <c r="E6" s="379"/>
      <c r="F6" s="379"/>
      <c r="G6" s="379"/>
      <c r="H6" s="390"/>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row>
    <row r="9" spans="1:10">
      <c r="A9" s="407" t="s">
        <v>294</v>
      </c>
      <c r="B9" s="408"/>
      <c r="C9" s="382">
        <f>VLOOKUP('DATA SHEET'!C10,' Glenview PL'!C6:G41,4,0)</f>
        <v>8851760</v>
      </c>
      <c r="D9" s="382"/>
      <c r="E9" s="382"/>
      <c r="F9" s="382"/>
      <c r="G9" s="382"/>
      <c r="H9" s="383"/>
    </row>
    <row r="10" spans="1:10">
      <c r="A10" s="224" t="s">
        <v>33</v>
      </c>
      <c r="B10" s="225"/>
      <c r="C10" s="399" t="str">
        <f>'DATA SHEET'!C23</f>
        <v>10% over 6 months, 10% over 30 months, 80% Lumpsum</v>
      </c>
      <c r="D10" s="399"/>
      <c r="E10" s="399"/>
      <c r="F10" s="399"/>
      <c r="G10" s="399"/>
      <c r="H10" s="400"/>
    </row>
    <row r="11" spans="1:10"/>
    <row r="12" spans="1:10">
      <c r="A12" s="41" t="s">
        <v>55</v>
      </c>
      <c r="B12" s="41"/>
    </row>
    <row r="13" spans="1:10">
      <c r="A13" s="197" t="s">
        <v>307</v>
      </c>
      <c r="D13" s="42">
        <f>(C9-650000)</f>
        <v>8201760</v>
      </c>
      <c r="E13" s="40"/>
    </row>
    <row r="14" spans="1:10">
      <c r="A14" s="227" t="s">
        <v>325</v>
      </c>
      <c r="B14" s="228"/>
      <c r="C14" s="306">
        <v>0.01</v>
      </c>
      <c r="D14" s="229">
        <f>IF(C14&lt;=1%,D13*C14,"BEYOND MAX")</f>
        <v>82017.600000000006</v>
      </c>
      <c r="E14" s="294">
        <f>VLOOKUP(C6,' Glenview PL'!C:G,5,0)</f>
        <v>230000</v>
      </c>
    </row>
    <row r="15" spans="1:10">
      <c r="A15" s="227" t="s">
        <v>326</v>
      </c>
      <c r="B15" s="228"/>
      <c r="C15" s="196"/>
      <c r="D15" s="87">
        <f>VLOOKUP('DATA SHEET'!C10,' Glenview PL'!$C$6:$G$40,5,0)</f>
        <v>230000</v>
      </c>
      <c r="E15" s="294"/>
    </row>
    <row r="16" spans="1:10" s="280" customFormat="1" ht="15">
      <c r="A16" s="234" t="s">
        <v>312</v>
      </c>
      <c r="B16" s="228"/>
      <c r="C16" s="196"/>
      <c r="D16" s="235">
        <f>+D13-SUM(D14:D15)</f>
        <v>7889742.4000000004</v>
      </c>
      <c r="E16" s="231"/>
      <c r="F16" s="281"/>
      <c r="G16" s="282"/>
    </row>
    <row r="17" spans="1:8" s="280" customFormat="1" ht="15">
      <c r="A17" s="236" t="s">
        <v>285</v>
      </c>
      <c r="B17" s="39"/>
      <c r="C17" s="200">
        <v>0.05</v>
      </c>
      <c r="D17" s="237">
        <f>(D16/1.12)*C17</f>
        <v>352220.64285714284</v>
      </c>
      <c r="E17" s="231"/>
      <c r="F17" s="281"/>
      <c r="G17" s="282"/>
    </row>
    <row r="18" spans="1:8" s="280" customFormat="1" ht="16" thickBot="1">
      <c r="A18" s="198" t="s">
        <v>58</v>
      </c>
      <c r="B18" s="39"/>
      <c r="C18" s="39"/>
      <c r="D18" s="238">
        <f>+SUM(D16:D17)</f>
        <v>8241963.0428571431</v>
      </c>
      <c r="E18" s="231"/>
      <c r="F18" s="281"/>
      <c r="G18" s="282"/>
    </row>
    <row r="19" spans="1:8" ht="15" thickTop="1">
      <c r="D19" s="42"/>
      <c r="E19" s="40"/>
    </row>
    <row r="20" spans="1:8">
      <c r="A20" s="239" t="s">
        <v>34</v>
      </c>
      <c r="B20" s="239" t="s">
        <v>286</v>
      </c>
      <c r="C20" s="239" t="s">
        <v>2</v>
      </c>
      <c r="D20" s="239" t="s">
        <v>287</v>
      </c>
      <c r="E20" s="239" t="s">
        <v>310</v>
      </c>
      <c r="F20" s="240" t="s">
        <v>289</v>
      </c>
      <c r="G20" s="241" t="s">
        <v>290</v>
      </c>
      <c r="H20" s="239" t="s">
        <v>291</v>
      </c>
    </row>
    <row r="21" spans="1:8">
      <c r="A21" s="401" t="s">
        <v>292</v>
      </c>
      <c r="B21" s="402"/>
      <c r="C21" s="402"/>
      <c r="D21" s="402"/>
      <c r="E21" s="402"/>
      <c r="F21" s="402"/>
      <c r="G21" s="403"/>
      <c r="H21" s="242">
        <f>+D18</f>
        <v>8241963.0428571431</v>
      </c>
    </row>
    <row r="22" spans="1:8">
      <c r="A22" s="243">
        <v>0</v>
      </c>
      <c r="B22" s="243"/>
      <c r="C22" s="243" t="s">
        <v>38</v>
      </c>
      <c r="D22" s="244">
        <f ca="1">'DATA SHEET'!C8</f>
        <v>43973</v>
      </c>
      <c r="E22" s="289">
        <f>IF(C8="1-Bedroom",50000,100000)</f>
        <v>100000</v>
      </c>
      <c r="F22" s="245"/>
      <c r="G22" s="304">
        <f>+SUM(E22:F22)</f>
        <v>100000</v>
      </c>
      <c r="H22" s="247">
        <f>$D$18-G22</f>
        <v>8141963.0428571431</v>
      </c>
    </row>
    <row r="23" spans="1:8">
      <c r="A23" s="243"/>
      <c r="B23" s="248">
        <v>0.1</v>
      </c>
      <c r="C23" s="243" t="s">
        <v>298</v>
      </c>
      <c r="D23" s="244"/>
      <c r="E23" s="289"/>
      <c r="F23" s="245"/>
      <c r="G23" s="304"/>
      <c r="H23" s="247"/>
    </row>
    <row r="24" spans="1:8">
      <c r="A24" s="243">
        <v>1</v>
      </c>
      <c r="B24" s="243"/>
      <c r="C24" s="243" t="s">
        <v>80</v>
      </c>
      <c r="D24" s="244">
        <f ca="1">EDATE(D22,1)</f>
        <v>44004</v>
      </c>
      <c r="E24" s="290">
        <f t="shared" ref="E24:E29" si="0">(($D$16*10%)-$E$22)/6</f>
        <v>114829.04000000002</v>
      </c>
      <c r="F24" s="245">
        <f>(($D$17*10%))/6</f>
        <v>5870.3440476190481</v>
      </c>
      <c r="G24" s="304">
        <f t="shared" ref="G24:G61" si="1">+SUM(E24:F24)</f>
        <v>120699.38404761907</v>
      </c>
      <c r="H24" s="291">
        <f>H22-G24</f>
        <v>8021263.658809524</v>
      </c>
    </row>
    <row r="25" spans="1:8">
      <c r="A25" s="243">
        <f>+A24+1</f>
        <v>2</v>
      </c>
      <c r="B25" s="243"/>
      <c r="C25" s="243" t="s">
        <v>81</v>
      </c>
      <c r="D25" s="244">
        <f t="shared" ref="D25:D61" ca="1" si="2">EDATE(D24,1)</f>
        <v>44034</v>
      </c>
      <c r="E25" s="290">
        <f t="shared" si="0"/>
        <v>114829.04000000002</v>
      </c>
      <c r="F25" s="245">
        <f t="shared" ref="F25:F29" si="3">(($D$17*10%))/6</f>
        <v>5870.3440476190481</v>
      </c>
      <c r="G25" s="304">
        <f t="shared" si="1"/>
        <v>120699.38404761907</v>
      </c>
      <c r="H25" s="291">
        <f>H24-G25</f>
        <v>7900564.274761905</v>
      </c>
    </row>
    <row r="26" spans="1:8">
      <c r="A26" s="243">
        <f t="shared" ref="A26:A61" si="4">+A25+1</f>
        <v>3</v>
      </c>
      <c r="B26" s="243"/>
      <c r="C26" s="243" t="s">
        <v>82</v>
      </c>
      <c r="D26" s="244">
        <f t="shared" ca="1" si="2"/>
        <v>44065</v>
      </c>
      <c r="E26" s="290">
        <f t="shared" si="0"/>
        <v>114829.04000000002</v>
      </c>
      <c r="F26" s="245">
        <f t="shared" si="3"/>
        <v>5870.3440476190481</v>
      </c>
      <c r="G26" s="304">
        <f t="shared" si="1"/>
        <v>120699.38404761907</v>
      </c>
      <c r="H26" s="291">
        <f t="shared" ref="H26:H29" si="5">H25-G26</f>
        <v>7779864.8907142859</v>
      </c>
    </row>
    <row r="27" spans="1:8">
      <c r="A27" s="243">
        <f t="shared" si="4"/>
        <v>4</v>
      </c>
      <c r="B27" s="243"/>
      <c r="C27" s="243" t="s">
        <v>83</v>
      </c>
      <c r="D27" s="244">
        <f t="shared" ca="1" si="2"/>
        <v>44096</v>
      </c>
      <c r="E27" s="290">
        <f t="shared" si="0"/>
        <v>114829.04000000002</v>
      </c>
      <c r="F27" s="245">
        <f t="shared" si="3"/>
        <v>5870.3440476190481</v>
      </c>
      <c r="G27" s="304">
        <f t="shared" si="1"/>
        <v>120699.38404761907</v>
      </c>
      <c r="H27" s="291">
        <f t="shared" si="5"/>
        <v>7659165.5066666668</v>
      </c>
    </row>
    <row r="28" spans="1:8">
      <c r="A28" s="243">
        <f t="shared" si="4"/>
        <v>5</v>
      </c>
      <c r="B28" s="243"/>
      <c r="C28" s="243" t="s">
        <v>84</v>
      </c>
      <c r="D28" s="244">
        <f t="shared" ca="1" si="2"/>
        <v>44126</v>
      </c>
      <c r="E28" s="290">
        <f t="shared" si="0"/>
        <v>114829.04000000002</v>
      </c>
      <c r="F28" s="245">
        <f t="shared" si="3"/>
        <v>5870.3440476190481</v>
      </c>
      <c r="G28" s="304">
        <f t="shared" si="1"/>
        <v>120699.38404761907</v>
      </c>
      <c r="H28" s="291">
        <f t="shared" si="5"/>
        <v>7538466.1226190478</v>
      </c>
    </row>
    <row r="29" spans="1:8">
      <c r="A29" s="243">
        <f t="shared" si="4"/>
        <v>6</v>
      </c>
      <c r="B29" s="243"/>
      <c r="C29" s="243" t="s">
        <v>85</v>
      </c>
      <c r="D29" s="244">
        <f t="shared" ca="1" si="2"/>
        <v>44157</v>
      </c>
      <c r="E29" s="290">
        <f t="shared" si="0"/>
        <v>114829.04000000002</v>
      </c>
      <c r="F29" s="245">
        <f t="shared" si="3"/>
        <v>5870.3440476190481</v>
      </c>
      <c r="G29" s="304">
        <f t="shared" si="1"/>
        <v>120699.38404761907</v>
      </c>
      <c r="H29" s="291">
        <f t="shared" si="5"/>
        <v>7417766.7385714287</v>
      </c>
    </row>
    <row r="30" spans="1:8">
      <c r="A30" s="243"/>
      <c r="B30" s="248">
        <v>0.1</v>
      </c>
      <c r="C30" s="243" t="s">
        <v>299</v>
      </c>
      <c r="D30" s="244"/>
      <c r="E30" s="290"/>
      <c r="F30" s="245"/>
      <c r="G30" s="304"/>
      <c r="H30" s="291"/>
    </row>
    <row r="31" spans="1:8">
      <c r="A31" s="243">
        <f>+A29+1</f>
        <v>7</v>
      </c>
      <c r="B31" s="243"/>
      <c r="C31" s="243" t="s">
        <v>4</v>
      </c>
      <c r="D31" s="244">
        <f ca="1">EDATE(D29,1)</f>
        <v>44187</v>
      </c>
      <c r="E31" s="299">
        <f>($D$16*10%)/30</f>
        <v>26299.141333333337</v>
      </c>
      <c r="F31" s="245">
        <f>($D$17*10%)/30</f>
        <v>1174.0688095238097</v>
      </c>
      <c r="G31" s="304">
        <f t="shared" si="1"/>
        <v>27473.210142857148</v>
      </c>
      <c r="H31" s="291">
        <f>H29-G31</f>
        <v>7390293.5284285713</v>
      </c>
    </row>
    <row r="32" spans="1:8">
      <c r="A32" s="243">
        <f t="shared" si="4"/>
        <v>8</v>
      </c>
      <c r="B32" s="243"/>
      <c r="C32" s="243" t="s">
        <v>5</v>
      </c>
      <c r="D32" s="244">
        <f t="shared" ca="1" si="2"/>
        <v>44218</v>
      </c>
      <c r="E32" s="299">
        <f t="shared" ref="E32:E60" si="6">($D$16*10%)/30</f>
        <v>26299.141333333337</v>
      </c>
      <c r="F32" s="245">
        <f t="shared" ref="F32:F60" si="7">($D$17*10%)/30</f>
        <v>1174.0688095238097</v>
      </c>
      <c r="G32" s="304">
        <f t="shared" si="1"/>
        <v>27473.210142857148</v>
      </c>
      <c r="H32" s="291">
        <f>H31-G32</f>
        <v>7362820.3182857139</v>
      </c>
    </row>
    <row r="33" spans="1:8">
      <c r="A33" s="243">
        <f t="shared" si="4"/>
        <v>9</v>
      </c>
      <c r="B33" s="243"/>
      <c r="C33" s="243" t="s">
        <v>6</v>
      </c>
      <c r="D33" s="244">
        <f t="shared" ca="1" si="2"/>
        <v>44249</v>
      </c>
      <c r="E33" s="299">
        <f t="shared" si="6"/>
        <v>26299.141333333337</v>
      </c>
      <c r="F33" s="245">
        <f t="shared" si="7"/>
        <v>1174.0688095238097</v>
      </c>
      <c r="G33" s="304">
        <f t="shared" si="1"/>
        <v>27473.210142857148</v>
      </c>
      <c r="H33" s="291">
        <f t="shared" ref="H33:H61" si="8">H32-G33</f>
        <v>7335347.1081428565</v>
      </c>
    </row>
    <row r="34" spans="1:8">
      <c r="A34" s="243">
        <f t="shared" si="4"/>
        <v>10</v>
      </c>
      <c r="B34" s="243"/>
      <c r="C34" s="243" t="s">
        <v>7</v>
      </c>
      <c r="D34" s="244">
        <f t="shared" ca="1" si="2"/>
        <v>44277</v>
      </c>
      <c r="E34" s="299">
        <f t="shared" si="6"/>
        <v>26299.141333333337</v>
      </c>
      <c r="F34" s="245">
        <f t="shared" si="7"/>
        <v>1174.0688095238097</v>
      </c>
      <c r="G34" s="304">
        <f t="shared" si="1"/>
        <v>27473.210142857148</v>
      </c>
      <c r="H34" s="291">
        <f t="shared" si="8"/>
        <v>7307873.8979999991</v>
      </c>
    </row>
    <row r="35" spans="1:8">
      <c r="A35" s="243">
        <f t="shared" si="4"/>
        <v>11</v>
      </c>
      <c r="B35" s="243"/>
      <c r="C35" s="243" t="s">
        <v>8</v>
      </c>
      <c r="D35" s="244">
        <f t="shared" ca="1" si="2"/>
        <v>44308</v>
      </c>
      <c r="E35" s="299">
        <f t="shared" si="6"/>
        <v>26299.141333333337</v>
      </c>
      <c r="F35" s="245">
        <f t="shared" si="7"/>
        <v>1174.0688095238097</v>
      </c>
      <c r="G35" s="304">
        <f t="shared" si="1"/>
        <v>27473.210142857148</v>
      </c>
      <c r="H35" s="291">
        <f t="shared" si="8"/>
        <v>7280400.6878571417</v>
      </c>
    </row>
    <row r="36" spans="1:8">
      <c r="A36" s="243">
        <f t="shared" si="4"/>
        <v>12</v>
      </c>
      <c r="B36" s="243"/>
      <c r="C36" s="243" t="s">
        <v>9</v>
      </c>
      <c r="D36" s="244">
        <f t="shared" ca="1" si="2"/>
        <v>44338</v>
      </c>
      <c r="E36" s="299">
        <f t="shared" si="6"/>
        <v>26299.141333333337</v>
      </c>
      <c r="F36" s="245">
        <f t="shared" si="7"/>
        <v>1174.0688095238097</v>
      </c>
      <c r="G36" s="304">
        <f t="shared" si="1"/>
        <v>27473.210142857148</v>
      </c>
      <c r="H36" s="291">
        <f t="shared" si="8"/>
        <v>7252927.4777142843</v>
      </c>
    </row>
    <row r="37" spans="1:8">
      <c r="A37" s="243">
        <f t="shared" si="4"/>
        <v>13</v>
      </c>
      <c r="B37" s="243"/>
      <c r="C37" s="243" t="s">
        <v>10</v>
      </c>
      <c r="D37" s="244">
        <f t="shared" ca="1" si="2"/>
        <v>44369</v>
      </c>
      <c r="E37" s="299">
        <f t="shared" si="6"/>
        <v>26299.141333333337</v>
      </c>
      <c r="F37" s="245">
        <f t="shared" si="7"/>
        <v>1174.0688095238097</v>
      </c>
      <c r="G37" s="304">
        <f t="shared" si="1"/>
        <v>27473.210142857148</v>
      </c>
      <c r="H37" s="291">
        <f t="shared" si="8"/>
        <v>7225454.2675714269</v>
      </c>
    </row>
    <row r="38" spans="1:8">
      <c r="A38" s="243">
        <f t="shared" si="4"/>
        <v>14</v>
      </c>
      <c r="B38" s="243"/>
      <c r="C38" s="243" t="s">
        <v>11</v>
      </c>
      <c r="D38" s="244">
        <f t="shared" ca="1" si="2"/>
        <v>44399</v>
      </c>
      <c r="E38" s="299">
        <f t="shared" si="6"/>
        <v>26299.141333333337</v>
      </c>
      <c r="F38" s="245">
        <f t="shared" si="7"/>
        <v>1174.0688095238097</v>
      </c>
      <c r="G38" s="304">
        <f t="shared" si="1"/>
        <v>27473.210142857148</v>
      </c>
      <c r="H38" s="291">
        <f t="shared" si="8"/>
        <v>7197981.0574285695</v>
      </c>
    </row>
    <row r="39" spans="1:8">
      <c r="A39" s="243">
        <f t="shared" si="4"/>
        <v>15</v>
      </c>
      <c r="B39" s="243"/>
      <c r="C39" s="243" t="s">
        <v>12</v>
      </c>
      <c r="D39" s="244">
        <f t="shared" ca="1" si="2"/>
        <v>44430</v>
      </c>
      <c r="E39" s="299">
        <f t="shared" si="6"/>
        <v>26299.141333333337</v>
      </c>
      <c r="F39" s="245">
        <f t="shared" si="7"/>
        <v>1174.0688095238097</v>
      </c>
      <c r="G39" s="304">
        <f t="shared" si="1"/>
        <v>27473.210142857148</v>
      </c>
      <c r="H39" s="291">
        <f t="shared" si="8"/>
        <v>7170507.8472857121</v>
      </c>
    </row>
    <row r="40" spans="1:8">
      <c r="A40" s="243">
        <f t="shared" si="4"/>
        <v>16</v>
      </c>
      <c r="B40" s="243"/>
      <c r="C40" s="243" t="s">
        <v>13</v>
      </c>
      <c r="D40" s="244">
        <f t="shared" ca="1" si="2"/>
        <v>44461</v>
      </c>
      <c r="E40" s="299">
        <f t="shared" si="6"/>
        <v>26299.141333333337</v>
      </c>
      <c r="F40" s="245">
        <f t="shared" si="7"/>
        <v>1174.0688095238097</v>
      </c>
      <c r="G40" s="304">
        <f t="shared" si="1"/>
        <v>27473.210142857148</v>
      </c>
      <c r="H40" s="291">
        <f t="shared" si="8"/>
        <v>7143034.6371428547</v>
      </c>
    </row>
    <row r="41" spans="1:8">
      <c r="A41" s="243">
        <f t="shared" si="4"/>
        <v>17</v>
      </c>
      <c r="B41" s="243"/>
      <c r="C41" s="243" t="s">
        <v>14</v>
      </c>
      <c r="D41" s="244">
        <f t="shared" ca="1" si="2"/>
        <v>44491</v>
      </c>
      <c r="E41" s="299">
        <f t="shared" si="6"/>
        <v>26299.141333333337</v>
      </c>
      <c r="F41" s="245">
        <f t="shared" si="7"/>
        <v>1174.0688095238097</v>
      </c>
      <c r="G41" s="304">
        <f t="shared" si="1"/>
        <v>27473.210142857148</v>
      </c>
      <c r="H41" s="291">
        <f t="shared" si="8"/>
        <v>7115561.4269999973</v>
      </c>
    </row>
    <row r="42" spans="1:8">
      <c r="A42" s="243">
        <f t="shared" si="4"/>
        <v>18</v>
      </c>
      <c r="B42" s="243"/>
      <c r="C42" s="243" t="s">
        <v>15</v>
      </c>
      <c r="D42" s="244">
        <f t="shared" ca="1" si="2"/>
        <v>44522</v>
      </c>
      <c r="E42" s="299">
        <f t="shared" si="6"/>
        <v>26299.141333333337</v>
      </c>
      <c r="F42" s="245">
        <f t="shared" si="7"/>
        <v>1174.0688095238097</v>
      </c>
      <c r="G42" s="304">
        <f t="shared" si="1"/>
        <v>27473.210142857148</v>
      </c>
      <c r="H42" s="291">
        <f t="shared" si="8"/>
        <v>7088088.21685714</v>
      </c>
    </row>
    <row r="43" spans="1:8">
      <c r="A43" s="243">
        <f t="shared" si="4"/>
        <v>19</v>
      </c>
      <c r="B43" s="243"/>
      <c r="C43" s="243" t="s">
        <v>19</v>
      </c>
      <c r="D43" s="244">
        <f t="shared" ca="1" si="2"/>
        <v>44552</v>
      </c>
      <c r="E43" s="299">
        <f t="shared" si="6"/>
        <v>26299.141333333337</v>
      </c>
      <c r="F43" s="245">
        <f t="shared" si="7"/>
        <v>1174.0688095238097</v>
      </c>
      <c r="G43" s="304">
        <f t="shared" si="1"/>
        <v>27473.210142857148</v>
      </c>
      <c r="H43" s="291">
        <f t="shared" si="8"/>
        <v>7060615.0067142826</v>
      </c>
    </row>
    <row r="44" spans="1:8">
      <c r="A44" s="243">
        <f t="shared" si="4"/>
        <v>20</v>
      </c>
      <c r="B44" s="243"/>
      <c r="C44" s="243" t="s">
        <v>20</v>
      </c>
      <c r="D44" s="244">
        <f t="shared" ca="1" si="2"/>
        <v>44583</v>
      </c>
      <c r="E44" s="299">
        <f t="shared" si="6"/>
        <v>26299.141333333337</v>
      </c>
      <c r="F44" s="245">
        <f t="shared" si="7"/>
        <v>1174.0688095238097</v>
      </c>
      <c r="G44" s="304">
        <f t="shared" si="1"/>
        <v>27473.210142857148</v>
      </c>
      <c r="H44" s="291">
        <f t="shared" si="8"/>
        <v>7033141.7965714252</v>
      </c>
    </row>
    <row r="45" spans="1:8">
      <c r="A45" s="243">
        <f t="shared" si="4"/>
        <v>21</v>
      </c>
      <c r="B45" s="243"/>
      <c r="C45" s="243" t="s">
        <v>21</v>
      </c>
      <c r="D45" s="244">
        <f t="shared" ca="1" si="2"/>
        <v>44614</v>
      </c>
      <c r="E45" s="299">
        <f t="shared" si="6"/>
        <v>26299.141333333337</v>
      </c>
      <c r="F45" s="245">
        <f t="shared" si="7"/>
        <v>1174.0688095238097</v>
      </c>
      <c r="G45" s="304">
        <f t="shared" si="1"/>
        <v>27473.210142857148</v>
      </c>
      <c r="H45" s="291">
        <f t="shared" si="8"/>
        <v>7005668.5864285678</v>
      </c>
    </row>
    <row r="46" spans="1:8">
      <c r="A46" s="243">
        <f t="shared" si="4"/>
        <v>22</v>
      </c>
      <c r="B46" s="243"/>
      <c r="C46" s="243" t="s">
        <v>22</v>
      </c>
      <c r="D46" s="244">
        <f t="shared" ca="1" si="2"/>
        <v>44642</v>
      </c>
      <c r="E46" s="299">
        <f t="shared" si="6"/>
        <v>26299.141333333337</v>
      </c>
      <c r="F46" s="245">
        <f t="shared" si="7"/>
        <v>1174.0688095238097</v>
      </c>
      <c r="G46" s="304">
        <f t="shared" si="1"/>
        <v>27473.210142857148</v>
      </c>
      <c r="H46" s="291">
        <f t="shared" si="8"/>
        <v>6978195.3762857104</v>
      </c>
    </row>
    <row r="47" spans="1:8">
      <c r="A47" s="243">
        <f t="shared" si="4"/>
        <v>23</v>
      </c>
      <c r="B47" s="243"/>
      <c r="C47" s="243" t="s">
        <v>23</v>
      </c>
      <c r="D47" s="244">
        <f t="shared" ca="1" si="2"/>
        <v>44673</v>
      </c>
      <c r="E47" s="299">
        <f t="shared" si="6"/>
        <v>26299.141333333337</v>
      </c>
      <c r="F47" s="245">
        <f t="shared" si="7"/>
        <v>1174.0688095238097</v>
      </c>
      <c r="G47" s="304">
        <f t="shared" si="1"/>
        <v>27473.210142857148</v>
      </c>
      <c r="H47" s="291">
        <f t="shared" si="8"/>
        <v>6950722.166142853</v>
      </c>
    </row>
    <row r="48" spans="1:8">
      <c r="A48" s="243">
        <f t="shared" si="4"/>
        <v>24</v>
      </c>
      <c r="B48" s="243"/>
      <c r="C48" s="243" t="s">
        <v>24</v>
      </c>
      <c r="D48" s="244">
        <f t="shared" ca="1" si="2"/>
        <v>44703</v>
      </c>
      <c r="E48" s="299">
        <f t="shared" si="6"/>
        <v>26299.141333333337</v>
      </c>
      <c r="F48" s="245">
        <f t="shared" si="7"/>
        <v>1174.0688095238097</v>
      </c>
      <c r="G48" s="304">
        <f t="shared" si="1"/>
        <v>27473.210142857148</v>
      </c>
      <c r="H48" s="291">
        <f t="shared" si="8"/>
        <v>6923248.9559999956</v>
      </c>
    </row>
    <row r="49" spans="1:8">
      <c r="A49" s="243">
        <f t="shared" si="4"/>
        <v>25</v>
      </c>
      <c r="B49" s="243"/>
      <c r="C49" s="243" t="s">
        <v>25</v>
      </c>
      <c r="D49" s="244">
        <f t="shared" ca="1" si="2"/>
        <v>44734</v>
      </c>
      <c r="E49" s="299">
        <f t="shared" si="6"/>
        <v>26299.141333333337</v>
      </c>
      <c r="F49" s="245">
        <f t="shared" si="7"/>
        <v>1174.0688095238097</v>
      </c>
      <c r="G49" s="304">
        <f t="shared" si="1"/>
        <v>27473.210142857148</v>
      </c>
      <c r="H49" s="291">
        <f t="shared" si="8"/>
        <v>6895775.7458571382</v>
      </c>
    </row>
    <row r="50" spans="1:8">
      <c r="A50" s="243">
        <f t="shared" si="4"/>
        <v>26</v>
      </c>
      <c r="B50" s="243"/>
      <c r="C50" s="243" t="s">
        <v>26</v>
      </c>
      <c r="D50" s="244">
        <f t="shared" ca="1" si="2"/>
        <v>44764</v>
      </c>
      <c r="E50" s="299">
        <f t="shared" si="6"/>
        <v>26299.141333333337</v>
      </c>
      <c r="F50" s="245">
        <f t="shared" si="7"/>
        <v>1174.0688095238097</v>
      </c>
      <c r="G50" s="304">
        <f t="shared" si="1"/>
        <v>27473.210142857148</v>
      </c>
      <c r="H50" s="291">
        <f t="shared" si="8"/>
        <v>6868302.5357142808</v>
      </c>
    </row>
    <row r="51" spans="1:8">
      <c r="A51" s="243">
        <f t="shared" si="4"/>
        <v>27</v>
      </c>
      <c r="B51" s="243"/>
      <c r="C51" s="243" t="s">
        <v>27</v>
      </c>
      <c r="D51" s="244">
        <f t="shared" ca="1" si="2"/>
        <v>44795</v>
      </c>
      <c r="E51" s="299">
        <f t="shared" si="6"/>
        <v>26299.141333333337</v>
      </c>
      <c r="F51" s="245">
        <f t="shared" si="7"/>
        <v>1174.0688095238097</v>
      </c>
      <c r="G51" s="304">
        <f t="shared" si="1"/>
        <v>27473.210142857148</v>
      </c>
      <c r="H51" s="291">
        <f t="shared" si="8"/>
        <v>6840829.3255714234</v>
      </c>
    </row>
    <row r="52" spans="1:8">
      <c r="A52" s="243">
        <f t="shared" si="4"/>
        <v>28</v>
      </c>
      <c r="B52" s="243"/>
      <c r="C52" s="243" t="s">
        <v>28</v>
      </c>
      <c r="D52" s="244">
        <f t="shared" ca="1" si="2"/>
        <v>44826</v>
      </c>
      <c r="E52" s="299">
        <f t="shared" si="6"/>
        <v>26299.141333333337</v>
      </c>
      <c r="F52" s="245">
        <f t="shared" si="7"/>
        <v>1174.0688095238097</v>
      </c>
      <c r="G52" s="304">
        <f t="shared" si="1"/>
        <v>27473.210142857148</v>
      </c>
      <c r="H52" s="291">
        <f t="shared" si="8"/>
        <v>6813356.115428566</v>
      </c>
    </row>
    <row r="53" spans="1:8">
      <c r="A53" s="243">
        <f t="shared" si="4"/>
        <v>29</v>
      </c>
      <c r="B53" s="243"/>
      <c r="C53" s="243" t="s">
        <v>29</v>
      </c>
      <c r="D53" s="244">
        <f t="shared" ca="1" si="2"/>
        <v>44856</v>
      </c>
      <c r="E53" s="299">
        <f t="shared" si="6"/>
        <v>26299.141333333337</v>
      </c>
      <c r="F53" s="245">
        <f t="shared" si="7"/>
        <v>1174.0688095238097</v>
      </c>
      <c r="G53" s="304">
        <f t="shared" si="1"/>
        <v>27473.210142857148</v>
      </c>
      <c r="H53" s="291">
        <f t="shared" si="8"/>
        <v>6785882.9052857086</v>
      </c>
    </row>
    <row r="54" spans="1:8">
      <c r="A54" s="243">
        <f t="shared" si="4"/>
        <v>30</v>
      </c>
      <c r="B54" s="243"/>
      <c r="C54" s="243" t="s">
        <v>30</v>
      </c>
      <c r="D54" s="244">
        <f t="shared" ca="1" si="2"/>
        <v>44887</v>
      </c>
      <c r="E54" s="299">
        <f t="shared" si="6"/>
        <v>26299.141333333337</v>
      </c>
      <c r="F54" s="245">
        <f t="shared" si="7"/>
        <v>1174.0688095238097</v>
      </c>
      <c r="G54" s="304">
        <f t="shared" si="1"/>
        <v>27473.210142857148</v>
      </c>
      <c r="H54" s="291">
        <f t="shared" si="8"/>
        <v>6758409.6951428512</v>
      </c>
    </row>
    <row r="55" spans="1:8">
      <c r="A55" s="243">
        <f t="shared" si="4"/>
        <v>31</v>
      </c>
      <c r="B55" s="243"/>
      <c r="C55" s="243" t="s">
        <v>48</v>
      </c>
      <c r="D55" s="244">
        <f t="shared" ca="1" si="2"/>
        <v>44917</v>
      </c>
      <c r="E55" s="299">
        <f t="shared" si="6"/>
        <v>26299.141333333337</v>
      </c>
      <c r="F55" s="245">
        <f t="shared" si="7"/>
        <v>1174.0688095238097</v>
      </c>
      <c r="G55" s="304">
        <f t="shared" si="1"/>
        <v>27473.210142857148</v>
      </c>
      <c r="H55" s="291">
        <f t="shared" si="8"/>
        <v>6730936.4849999938</v>
      </c>
    </row>
    <row r="56" spans="1:8">
      <c r="A56" s="243">
        <f t="shared" si="4"/>
        <v>32</v>
      </c>
      <c r="B56" s="243"/>
      <c r="C56" s="243" t="s">
        <v>49</v>
      </c>
      <c r="D56" s="244">
        <f t="shared" ca="1" si="2"/>
        <v>44948</v>
      </c>
      <c r="E56" s="299">
        <f t="shared" si="6"/>
        <v>26299.141333333337</v>
      </c>
      <c r="F56" s="245">
        <f t="shared" si="7"/>
        <v>1174.0688095238097</v>
      </c>
      <c r="G56" s="304">
        <f t="shared" si="1"/>
        <v>27473.210142857148</v>
      </c>
      <c r="H56" s="291">
        <f t="shared" si="8"/>
        <v>6703463.2748571364</v>
      </c>
    </row>
    <row r="57" spans="1:8">
      <c r="A57" s="243">
        <f t="shared" si="4"/>
        <v>33</v>
      </c>
      <c r="B57" s="243"/>
      <c r="C57" s="243" t="s">
        <v>50</v>
      </c>
      <c r="D57" s="244">
        <f t="shared" ca="1" si="2"/>
        <v>44979</v>
      </c>
      <c r="E57" s="299">
        <f t="shared" si="6"/>
        <v>26299.141333333337</v>
      </c>
      <c r="F57" s="245">
        <f t="shared" si="7"/>
        <v>1174.0688095238097</v>
      </c>
      <c r="G57" s="304">
        <f t="shared" si="1"/>
        <v>27473.210142857148</v>
      </c>
      <c r="H57" s="291">
        <f t="shared" si="8"/>
        <v>6675990.064714279</v>
      </c>
    </row>
    <row r="58" spans="1:8">
      <c r="A58" s="243">
        <f t="shared" si="4"/>
        <v>34</v>
      </c>
      <c r="B58" s="243"/>
      <c r="C58" s="243" t="s">
        <v>51</v>
      </c>
      <c r="D58" s="244">
        <f t="shared" ca="1" si="2"/>
        <v>45007</v>
      </c>
      <c r="E58" s="299">
        <f t="shared" si="6"/>
        <v>26299.141333333337</v>
      </c>
      <c r="F58" s="245">
        <f t="shared" si="7"/>
        <v>1174.0688095238097</v>
      </c>
      <c r="G58" s="304">
        <f t="shared" si="1"/>
        <v>27473.210142857148</v>
      </c>
      <c r="H58" s="291">
        <f t="shared" si="8"/>
        <v>6648516.8545714216</v>
      </c>
    </row>
    <row r="59" spans="1:8">
      <c r="A59" s="243">
        <f t="shared" si="4"/>
        <v>35</v>
      </c>
      <c r="B59" s="243"/>
      <c r="C59" s="243" t="s">
        <v>52</v>
      </c>
      <c r="D59" s="244">
        <f t="shared" ca="1" si="2"/>
        <v>45038</v>
      </c>
      <c r="E59" s="299">
        <f t="shared" si="6"/>
        <v>26299.141333333337</v>
      </c>
      <c r="F59" s="245">
        <f t="shared" si="7"/>
        <v>1174.0688095238097</v>
      </c>
      <c r="G59" s="304">
        <f t="shared" si="1"/>
        <v>27473.210142857148</v>
      </c>
      <c r="H59" s="291">
        <f t="shared" si="8"/>
        <v>6621043.6444285642</v>
      </c>
    </row>
    <row r="60" spans="1:8">
      <c r="A60" s="243">
        <f t="shared" si="4"/>
        <v>36</v>
      </c>
      <c r="B60" s="243"/>
      <c r="C60" s="243" t="s">
        <v>53</v>
      </c>
      <c r="D60" s="244">
        <f t="shared" ca="1" si="2"/>
        <v>45068</v>
      </c>
      <c r="E60" s="299">
        <f t="shared" si="6"/>
        <v>26299.141333333337</v>
      </c>
      <c r="F60" s="245">
        <f t="shared" si="7"/>
        <v>1174.0688095238097</v>
      </c>
      <c r="G60" s="304">
        <f t="shared" si="1"/>
        <v>27473.210142857148</v>
      </c>
      <c r="H60" s="291">
        <f t="shared" si="8"/>
        <v>6593570.4342857068</v>
      </c>
    </row>
    <row r="61" spans="1:8">
      <c r="A61" s="243">
        <f t="shared" si="4"/>
        <v>37</v>
      </c>
      <c r="B61" s="243"/>
      <c r="C61" s="243" t="s">
        <v>196</v>
      </c>
      <c r="D61" s="244">
        <f t="shared" ca="1" si="2"/>
        <v>45099</v>
      </c>
      <c r="E61" s="289">
        <f>($D$16*80%)</f>
        <v>6311793.9200000009</v>
      </c>
      <c r="F61" s="245">
        <f>($D$17*80%)</f>
        <v>281776.51428571431</v>
      </c>
      <c r="G61" s="304">
        <f t="shared" si="1"/>
        <v>6593570.4342857152</v>
      </c>
      <c r="H61" s="291">
        <f t="shared" si="8"/>
        <v>-8.3819031715393066E-9</v>
      </c>
    </row>
    <row r="62" spans="1:8">
      <c r="A62" s="404" t="s">
        <v>16</v>
      </c>
      <c r="B62" s="405"/>
      <c r="C62" s="405"/>
      <c r="D62" s="406"/>
      <c r="E62" s="249">
        <f>SUM(E22:E61)</f>
        <v>7889742.4000000032</v>
      </c>
      <c r="F62" s="249">
        <f t="shared" ref="F62:G62" si="9">SUM(F22:F61)</f>
        <v>352220.64285714284</v>
      </c>
      <c r="G62" s="249">
        <f t="shared" si="9"/>
        <v>8241963.042857144</v>
      </c>
      <c r="H62" s="279"/>
    </row>
    <row r="63" spans="1:8" s="197" customFormat="1">
      <c r="C63" s="206"/>
      <c r="D63" s="207"/>
      <c r="E63" s="208"/>
      <c r="F63" s="208"/>
      <c r="G63" s="208"/>
    </row>
    <row r="64" spans="1:8" s="197" customFormat="1">
      <c r="A64" s="374" t="s">
        <v>313</v>
      </c>
      <c r="B64" s="374"/>
      <c r="C64" s="374"/>
      <c r="D64" s="374"/>
      <c r="E64" s="374"/>
      <c r="F64" s="374"/>
      <c r="G64" s="374"/>
      <c r="H64" s="374"/>
    </row>
    <row r="65" spans="1:8" s="197" customFormat="1" ht="29.25" customHeight="1">
      <c r="A65" s="388" t="s">
        <v>314</v>
      </c>
      <c r="B65" s="388"/>
      <c r="C65" s="388"/>
      <c r="D65" s="388"/>
      <c r="E65" s="388"/>
      <c r="F65" s="388"/>
      <c r="G65" s="388"/>
      <c r="H65" s="388"/>
    </row>
    <row r="66" spans="1:8" s="197" customFormat="1" ht="16.5" customHeight="1">
      <c r="A66" s="374" t="s">
        <v>315</v>
      </c>
      <c r="B66" s="374"/>
      <c r="C66" s="374"/>
      <c r="D66" s="374"/>
      <c r="E66" s="374"/>
      <c r="F66" s="374"/>
      <c r="G66" s="374"/>
      <c r="H66" s="374"/>
    </row>
    <row r="67" spans="1:8" s="197" customFormat="1" ht="16.5" customHeight="1">
      <c r="A67" s="374" t="s">
        <v>316</v>
      </c>
      <c r="B67" s="374"/>
      <c r="C67" s="374"/>
      <c r="D67" s="374"/>
      <c r="E67" s="374"/>
      <c r="F67" s="374"/>
      <c r="G67" s="374"/>
      <c r="H67" s="374"/>
    </row>
    <row r="68" spans="1:8" s="197" customFormat="1" ht="16.5" customHeight="1">
      <c r="A68" s="374" t="s">
        <v>317</v>
      </c>
      <c r="B68" s="374"/>
      <c r="C68" s="374"/>
      <c r="D68" s="374"/>
      <c r="E68" s="374"/>
      <c r="F68" s="374"/>
      <c r="G68" s="374"/>
      <c r="H68" s="374"/>
    </row>
    <row r="69" spans="1:8" s="197" customFormat="1" ht="106.5" customHeight="1">
      <c r="A69" s="374" t="s">
        <v>318</v>
      </c>
      <c r="B69" s="374"/>
      <c r="C69" s="374"/>
      <c r="D69" s="374"/>
      <c r="E69" s="374"/>
      <c r="F69" s="374"/>
      <c r="G69" s="374"/>
      <c r="H69" s="374"/>
    </row>
    <row r="70" spans="1:8" s="197" customFormat="1" ht="43.5" customHeight="1">
      <c r="A70" s="374" t="s">
        <v>319</v>
      </c>
      <c r="B70" s="374"/>
      <c r="C70" s="374"/>
      <c r="D70" s="374"/>
      <c r="E70" s="374"/>
      <c r="F70" s="374"/>
      <c r="G70" s="374"/>
      <c r="H70" s="374"/>
    </row>
    <row r="71" spans="1:8" s="197" customFormat="1" ht="21" customHeight="1">
      <c r="A71" s="374" t="s">
        <v>320</v>
      </c>
      <c r="B71" s="374"/>
      <c r="C71" s="374"/>
      <c r="D71" s="374"/>
      <c r="E71" s="374"/>
      <c r="F71" s="374"/>
      <c r="G71" s="374"/>
      <c r="H71" s="374"/>
    </row>
    <row r="72" spans="1:8" s="197" customFormat="1">
      <c r="A72" s="374"/>
      <c r="B72" s="374"/>
      <c r="C72" s="374"/>
      <c r="D72" s="374"/>
      <c r="E72" s="374"/>
      <c r="F72" s="374"/>
      <c r="G72" s="374"/>
      <c r="H72" s="374"/>
    </row>
    <row r="73" spans="1:8" s="197" customFormat="1">
      <c r="A73" s="197" t="s">
        <v>17</v>
      </c>
      <c r="D73" s="209"/>
      <c r="G73" s="198"/>
    </row>
    <row r="74" spans="1:8" s="197" customFormat="1">
      <c r="D74" s="209"/>
      <c r="G74" s="198"/>
    </row>
    <row r="75" spans="1:8" s="197" customFormat="1" ht="15" customHeight="1">
      <c r="A75" s="210"/>
      <c r="B75" s="210"/>
      <c r="C75" s="210"/>
      <c r="D75" s="209"/>
      <c r="E75" s="210"/>
      <c r="F75" s="210"/>
      <c r="G75" s="211"/>
    </row>
    <row r="76" spans="1:8" s="197" customFormat="1">
      <c r="A76" s="375" t="s">
        <v>293</v>
      </c>
      <c r="B76" s="375"/>
      <c r="C76" s="375"/>
      <c r="D76" s="209"/>
      <c r="E76" s="375" t="s">
        <v>18</v>
      </c>
      <c r="F76" s="375"/>
      <c r="G76" s="375"/>
    </row>
    <row r="77" spans="1:8" s="280" customFormat="1" ht="15">
      <c r="A77" s="39"/>
      <c r="B77" s="39"/>
      <c r="C77" s="39"/>
      <c r="D77" s="40"/>
      <c r="E77" s="39"/>
      <c r="F77" s="281"/>
    </row>
  </sheetData>
  <sheetProtection password="CAF1" sheet="1" selectLockedCells="1"/>
  <mergeCells count="21">
    <mergeCell ref="A76:C76"/>
    <mergeCell ref="E76:G76"/>
    <mergeCell ref="A68:H68"/>
    <mergeCell ref="A69:H69"/>
    <mergeCell ref="A70:H70"/>
    <mergeCell ref="A71:H71"/>
    <mergeCell ref="A72:H72"/>
    <mergeCell ref="A64:H64"/>
    <mergeCell ref="A65:H65"/>
    <mergeCell ref="A66:H66"/>
    <mergeCell ref="A67:H67"/>
    <mergeCell ref="H1:H2"/>
    <mergeCell ref="A9:B9"/>
    <mergeCell ref="A62:D62"/>
    <mergeCell ref="C5:H5"/>
    <mergeCell ref="C6:H6"/>
    <mergeCell ref="C7:H7"/>
    <mergeCell ref="C8:H8"/>
    <mergeCell ref="C9:H9"/>
    <mergeCell ref="C10:H10"/>
    <mergeCell ref="A21:G21"/>
  </mergeCells>
  <hyperlinks>
    <hyperlink ref="C1" location="'DATA SHEET'!A1" display="HIGHLANDS PRIME, INC." xr:uid="{00000000-0004-0000-2000-000000000000}"/>
    <hyperlink ref="J4" location="'DATA SHEET'!A1" display="Return to Data Sheet" xr:uid="{00000000-0004-0000-2000-000001000000}"/>
  </hyperlinks>
  <printOptions horizontalCentered="1"/>
  <pageMargins left="0.7" right="0.7" top="0.75" bottom="0.5" header="0.3" footer="0.3"/>
  <pageSetup scale="70" orientation="portrait" r:id="rId1"/>
  <headerFooter>
    <oddFooter>&amp;L&amp;8A project of HIGHLANDS PRIME, INC. 
Woodridge Place at Tagaytay Highlands,  Tagaytay Highlands, Tagaytay City
HLURB License To Sell No. 22459&amp;RPage &amp;P of &amp;N</oddFooter>
  </headerFooter>
  <ignoredErrors>
    <ignoredError sqref="C10 D15" unlockedFormula="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389E8F"/>
  </sheetPr>
  <dimension ref="A1:L99"/>
  <sheetViews>
    <sheetView showGridLines="0" zoomScaleNormal="100" workbookViewId="0">
      <selection activeCell="C14" sqref="C14"/>
    </sheetView>
  </sheetViews>
  <sheetFormatPr baseColWidth="10" defaultColWidth="0" defaultRowHeight="14" zeroHeight="1"/>
  <cols>
    <col min="1" max="1" width="12.33203125" style="39" customWidth="1"/>
    <col min="2" max="2" width="10.6640625" style="39" customWidth="1"/>
    <col min="3" max="3" width="23.6640625" style="39" customWidth="1"/>
    <col min="4" max="4" width="13.5" style="40" bestFit="1" customWidth="1"/>
    <col min="5" max="5" width="13.5" style="39" bestFit="1" customWidth="1"/>
    <col min="6" max="6" width="14.83203125" style="39" bestFit="1" customWidth="1"/>
    <col min="7" max="7" width="13.5" style="41" bestFit="1" customWidth="1"/>
    <col min="8" max="8" width="16.5" style="39" bestFit="1" customWidth="1"/>
    <col min="9" max="12" width="9.1640625" style="39" customWidth="1"/>
    <col min="13" max="16384" width="9.1640625" style="39" hidden="1"/>
  </cols>
  <sheetData>
    <row r="1" spans="1:10" ht="12.75" customHeight="1">
      <c r="C1" s="212" t="s">
        <v>35</v>
      </c>
      <c r="H1" s="376" t="s">
        <v>66</v>
      </c>
    </row>
    <row r="2" spans="1:10">
      <c r="C2" s="41" t="s">
        <v>207</v>
      </c>
      <c r="H2" s="376"/>
    </row>
    <row r="3" spans="1:10">
      <c r="C3" s="41" t="s">
        <v>36</v>
      </c>
    </row>
    <row r="4" spans="1:10">
      <c r="J4" s="251" t="s">
        <v>215</v>
      </c>
    </row>
    <row r="5" spans="1:10">
      <c r="A5" s="213" t="s">
        <v>0</v>
      </c>
      <c r="B5" s="269"/>
      <c r="C5" s="377" t="str">
        <f>'[11]DATA SHEET'!C7</f>
        <v xml:space="preserve"> </v>
      </c>
      <c r="D5" s="377"/>
      <c r="E5" s="377"/>
      <c r="F5" s="377"/>
      <c r="G5" s="377"/>
      <c r="H5" s="378"/>
    </row>
    <row r="6" spans="1:10">
      <c r="A6" s="215" t="s">
        <v>31</v>
      </c>
      <c r="B6" s="216"/>
      <c r="C6" s="379" t="str">
        <f>VLOOKUP('DATA SHEET'!$C$10,' Glenview PL'!C6:G41,1,FALSE)</f>
        <v>GB</v>
      </c>
      <c r="D6" s="379"/>
      <c r="E6" s="379"/>
      <c r="F6" s="379"/>
      <c r="G6" s="379"/>
      <c r="H6" s="390"/>
    </row>
    <row r="7" spans="1:10">
      <c r="A7" s="215" t="s">
        <v>37</v>
      </c>
      <c r="B7" s="216"/>
      <c r="C7" s="380">
        <f>VLOOKUP('DATA SHEET'!C10,' Glenview PL'!C6:G41,3,0)</f>
        <v>67.900000000000006</v>
      </c>
      <c r="D7" s="380"/>
      <c r="E7" s="380"/>
      <c r="F7" s="380"/>
      <c r="G7" s="380"/>
      <c r="H7" s="381"/>
    </row>
    <row r="8" spans="1:10">
      <c r="A8" s="215" t="s">
        <v>194</v>
      </c>
      <c r="B8" s="216"/>
      <c r="C8" s="391" t="str">
        <f>VLOOKUP('DATA SHEET'!C10,' Glenview PL'!C6:G41,2,0)</f>
        <v>1-Bedroom Terrace Suite</v>
      </c>
      <c r="D8" s="391"/>
      <c r="E8" s="391"/>
      <c r="F8" s="391"/>
      <c r="G8" s="391"/>
      <c r="H8" s="392"/>
      <c r="I8" s="286">
        <v>0.1</v>
      </c>
    </row>
    <row r="9" spans="1:10">
      <c r="A9" s="222" t="s">
        <v>294</v>
      </c>
      <c r="B9" s="223"/>
      <c r="C9" s="382">
        <f>VLOOKUP('DATA SHEET'!C10,' Glenview PL'!C6:G41,4,0)</f>
        <v>8851760</v>
      </c>
      <c r="D9" s="382"/>
      <c r="E9" s="382"/>
      <c r="F9" s="382"/>
      <c r="G9" s="382"/>
      <c r="H9" s="383"/>
    </row>
    <row r="10" spans="1:10">
      <c r="A10" s="224" t="s">
        <v>33</v>
      </c>
      <c r="B10" s="225"/>
      <c r="C10" s="399" t="str">
        <f>+'DATA SHEET'!C24</f>
        <v>100% over 60 months</v>
      </c>
      <c r="D10" s="399"/>
      <c r="E10" s="399"/>
      <c r="F10" s="399"/>
      <c r="G10" s="399"/>
      <c r="H10" s="400"/>
    </row>
    <row r="11" spans="1:10"/>
    <row r="12" spans="1:10">
      <c r="A12" s="41" t="s">
        <v>55</v>
      </c>
      <c r="B12" s="41"/>
    </row>
    <row r="13" spans="1:10">
      <c r="A13" s="197" t="s">
        <v>295</v>
      </c>
      <c r="D13" s="42">
        <f>(C9-650000)</f>
        <v>8201760</v>
      </c>
      <c r="E13" s="40"/>
      <c r="F13" s="40"/>
      <c r="G13" s="277"/>
    </row>
    <row r="14" spans="1:10">
      <c r="A14" s="227" t="s">
        <v>325</v>
      </c>
      <c r="B14" s="228"/>
      <c r="C14" s="306">
        <v>0.01</v>
      </c>
      <c r="D14" s="229">
        <f>IF(C14&lt;=1%,D13*C14,"BEYOND MAX")</f>
        <v>82017.600000000006</v>
      </c>
      <c r="E14" s="294">
        <f>VLOOKUP(C6,' Glenview PL'!C:G,5,0)</f>
        <v>230000</v>
      </c>
      <c r="F14" s="294"/>
      <c r="G14" s="305"/>
      <c r="H14" s="281"/>
      <c r="I14" s="41"/>
    </row>
    <row r="15" spans="1:10">
      <c r="A15" s="227" t="s">
        <v>326</v>
      </c>
      <c r="B15" s="228"/>
      <c r="C15" s="196"/>
      <c r="D15" s="87">
        <f>VLOOKUP('DATA SHEET'!C10,' Glenview PL'!$C$6:$G$40,5,0)</f>
        <v>230000</v>
      </c>
      <c r="E15" s="294"/>
      <c r="F15" s="294"/>
      <c r="G15" s="305"/>
      <c r="H15" s="281"/>
      <c r="I15" s="41"/>
    </row>
    <row r="16" spans="1:10" s="280" customFormat="1" ht="15">
      <c r="A16" s="234" t="s">
        <v>311</v>
      </c>
      <c r="B16" s="228"/>
      <c r="C16" s="196"/>
      <c r="D16" s="235">
        <f>+D13-SUM(D14:D15)</f>
        <v>7889742.4000000004</v>
      </c>
      <c r="E16" s="231"/>
      <c r="F16" s="231"/>
      <c r="G16" s="278"/>
      <c r="H16" s="281"/>
      <c r="I16" s="282"/>
    </row>
    <row r="17" spans="1:9" s="280" customFormat="1" ht="15">
      <c r="A17" s="236" t="s">
        <v>285</v>
      </c>
      <c r="B17" s="39"/>
      <c r="C17" s="200">
        <v>0.05</v>
      </c>
      <c r="D17" s="237">
        <f>(D16/1.12)*C17</f>
        <v>352220.64285714284</v>
      </c>
      <c r="E17" s="231"/>
      <c r="F17" s="231"/>
      <c r="G17" s="278"/>
      <c r="H17" s="281"/>
      <c r="I17" s="282"/>
    </row>
    <row r="18" spans="1:9" s="280" customFormat="1" ht="16" thickBot="1">
      <c r="A18" s="198" t="s">
        <v>58</v>
      </c>
      <c r="B18" s="39"/>
      <c r="C18" s="39"/>
      <c r="D18" s="238">
        <f>+SUM(D16:D17)</f>
        <v>8241963.0428571431</v>
      </c>
      <c r="E18" s="231"/>
      <c r="F18" s="231"/>
      <c r="G18" s="278"/>
      <c r="H18" s="281"/>
      <c r="I18" s="282"/>
    </row>
    <row r="19" spans="1:9" ht="15" thickTop="1">
      <c r="D19" s="42"/>
      <c r="E19" s="40"/>
      <c r="F19" s="40"/>
      <c r="G19" s="277"/>
    </row>
    <row r="20" spans="1:9">
      <c r="A20" s="239" t="s">
        <v>34</v>
      </c>
      <c r="B20" s="239" t="s">
        <v>286</v>
      </c>
      <c r="C20" s="239" t="s">
        <v>2</v>
      </c>
      <c r="D20" s="239" t="s">
        <v>287</v>
      </c>
      <c r="E20" s="239" t="s">
        <v>310</v>
      </c>
      <c r="F20" s="240" t="s">
        <v>289</v>
      </c>
      <c r="G20" s="241" t="s">
        <v>290</v>
      </c>
      <c r="H20" s="239" t="s">
        <v>291</v>
      </c>
    </row>
    <row r="21" spans="1:9">
      <c r="A21" s="385" t="s">
        <v>292</v>
      </c>
      <c r="B21" s="385"/>
      <c r="C21" s="385"/>
      <c r="D21" s="385"/>
      <c r="E21" s="385"/>
      <c r="F21" s="385"/>
      <c r="G21" s="385"/>
      <c r="H21" s="242">
        <f>+D18</f>
        <v>8241963.0428571431</v>
      </c>
    </row>
    <row r="22" spans="1:9">
      <c r="A22" s="243">
        <v>0</v>
      </c>
      <c r="B22" s="243"/>
      <c r="C22" s="244">
        <f>'[11]DATA SHEET'!C9</f>
        <v>43781</v>
      </c>
      <c r="D22" s="243" t="s">
        <v>38</v>
      </c>
      <c r="E22" s="289">
        <f>IF(C8="1-Bedroom",50000,100000)</f>
        <v>100000</v>
      </c>
      <c r="F22" s="289"/>
      <c r="G22" s="298">
        <f>+SUM(E22:F22)</f>
        <v>100000</v>
      </c>
      <c r="H22" s="247">
        <f>$D$18-G22</f>
        <v>8141963.0428571431</v>
      </c>
    </row>
    <row r="23" spans="1:9">
      <c r="A23" s="243"/>
      <c r="B23" s="248">
        <v>1</v>
      </c>
      <c r="C23" s="244" t="s">
        <v>296</v>
      </c>
      <c r="D23" s="243"/>
      <c r="E23" s="289"/>
      <c r="F23" s="289"/>
      <c r="G23" s="298"/>
      <c r="H23" s="247"/>
    </row>
    <row r="24" spans="1:9">
      <c r="A24" s="243">
        <v>1</v>
      </c>
      <c r="B24" s="243"/>
      <c r="C24" s="244">
        <f>EDATE(C22,1)</f>
        <v>43811</v>
      </c>
      <c r="D24" s="243" t="s">
        <v>222</v>
      </c>
      <c r="E24" s="290">
        <f t="shared" ref="E24:E55" si="0">(($D$16*100%)-$E$22)/60</f>
        <v>129829.04000000001</v>
      </c>
      <c r="F24" s="290">
        <f>(($D$17*100%))/60</f>
        <v>5870.3440476190472</v>
      </c>
      <c r="G24" s="298">
        <f>+SUM(E24:F24)</f>
        <v>135699.38404761907</v>
      </c>
      <c r="H24" s="291">
        <f>H22-G24</f>
        <v>8006263.658809524</v>
      </c>
    </row>
    <row r="25" spans="1:9">
      <c r="A25" s="243">
        <f>+A24+1</f>
        <v>2</v>
      </c>
      <c r="B25" s="243"/>
      <c r="C25" s="244">
        <f t="shared" ref="C25:C83" si="1">EDATE(C24,1)</f>
        <v>43842</v>
      </c>
      <c r="D25" s="243" t="s">
        <v>223</v>
      </c>
      <c r="E25" s="290">
        <f t="shared" si="0"/>
        <v>129829.04000000001</v>
      </c>
      <c r="F25" s="290">
        <f t="shared" ref="F25:F83" si="2">(($D$17*100%))/60</f>
        <v>5870.3440476190472</v>
      </c>
      <c r="G25" s="298">
        <f t="shared" ref="G25:G83" si="3">+SUM(E25:F25)</f>
        <v>135699.38404761907</v>
      </c>
      <c r="H25" s="291">
        <f>H24-G25</f>
        <v>7870564.274761905</v>
      </c>
    </row>
    <row r="26" spans="1:9">
      <c r="A26" s="243">
        <f t="shared" ref="A26:A83" si="4">+A25+1</f>
        <v>3</v>
      </c>
      <c r="B26" s="243"/>
      <c r="C26" s="244">
        <f t="shared" si="1"/>
        <v>43873</v>
      </c>
      <c r="D26" s="243" t="s">
        <v>224</v>
      </c>
      <c r="E26" s="290">
        <f t="shared" si="0"/>
        <v>129829.04000000001</v>
      </c>
      <c r="F26" s="290">
        <f t="shared" si="2"/>
        <v>5870.3440476190472</v>
      </c>
      <c r="G26" s="298">
        <f t="shared" si="3"/>
        <v>135699.38404761907</v>
      </c>
      <c r="H26" s="291">
        <f t="shared" ref="H26:H83" si="5">H25-G26</f>
        <v>7734864.8907142859</v>
      </c>
    </row>
    <row r="27" spans="1:9">
      <c r="A27" s="243">
        <f t="shared" si="4"/>
        <v>4</v>
      </c>
      <c r="B27" s="243"/>
      <c r="C27" s="244">
        <f t="shared" si="1"/>
        <v>43902</v>
      </c>
      <c r="D27" s="243" t="s">
        <v>225</v>
      </c>
      <c r="E27" s="290">
        <f t="shared" si="0"/>
        <v>129829.04000000001</v>
      </c>
      <c r="F27" s="290">
        <f t="shared" si="2"/>
        <v>5870.3440476190472</v>
      </c>
      <c r="G27" s="298">
        <f t="shared" si="3"/>
        <v>135699.38404761907</v>
      </c>
      <c r="H27" s="291">
        <f t="shared" si="5"/>
        <v>7599165.5066666668</v>
      </c>
    </row>
    <row r="28" spans="1:9">
      <c r="A28" s="243">
        <f t="shared" si="4"/>
        <v>5</v>
      </c>
      <c r="B28" s="243"/>
      <c r="C28" s="244">
        <f t="shared" si="1"/>
        <v>43933</v>
      </c>
      <c r="D28" s="243" t="s">
        <v>226</v>
      </c>
      <c r="E28" s="290">
        <f t="shared" si="0"/>
        <v>129829.04000000001</v>
      </c>
      <c r="F28" s="290">
        <f t="shared" si="2"/>
        <v>5870.3440476190472</v>
      </c>
      <c r="G28" s="298">
        <f t="shared" si="3"/>
        <v>135699.38404761907</v>
      </c>
      <c r="H28" s="291">
        <f t="shared" si="5"/>
        <v>7463466.1226190478</v>
      </c>
    </row>
    <row r="29" spans="1:9">
      <c r="A29" s="243">
        <f t="shared" si="4"/>
        <v>6</v>
      </c>
      <c r="B29" s="243"/>
      <c r="C29" s="244">
        <f t="shared" si="1"/>
        <v>43963</v>
      </c>
      <c r="D29" s="243" t="s">
        <v>227</v>
      </c>
      <c r="E29" s="290">
        <f t="shared" si="0"/>
        <v>129829.04000000001</v>
      </c>
      <c r="F29" s="290">
        <f t="shared" si="2"/>
        <v>5870.3440476190472</v>
      </c>
      <c r="G29" s="298">
        <f t="shared" si="3"/>
        <v>135699.38404761907</v>
      </c>
      <c r="H29" s="291">
        <f t="shared" si="5"/>
        <v>7327766.7385714287</v>
      </c>
    </row>
    <row r="30" spans="1:9">
      <c r="A30" s="243">
        <f t="shared" si="4"/>
        <v>7</v>
      </c>
      <c r="B30" s="243"/>
      <c r="C30" s="244">
        <f t="shared" si="1"/>
        <v>43994</v>
      </c>
      <c r="D30" s="243" t="s">
        <v>228</v>
      </c>
      <c r="E30" s="290">
        <f t="shared" si="0"/>
        <v>129829.04000000001</v>
      </c>
      <c r="F30" s="290">
        <f t="shared" si="2"/>
        <v>5870.3440476190472</v>
      </c>
      <c r="G30" s="298">
        <f t="shared" si="3"/>
        <v>135699.38404761907</v>
      </c>
      <c r="H30" s="291">
        <f t="shared" si="5"/>
        <v>7192067.3545238096</v>
      </c>
    </row>
    <row r="31" spans="1:9">
      <c r="A31" s="243">
        <f t="shared" si="4"/>
        <v>8</v>
      </c>
      <c r="B31" s="243"/>
      <c r="C31" s="244">
        <f t="shared" si="1"/>
        <v>44024</v>
      </c>
      <c r="D31" s="243" t="s">
        <v>229</v>
      </c>
      <c r="E31" s="290">
        <f t="shared" si="0"/>
        <v>129829.04000000001</v>
      </c>
      <c r="F31" s="290">
        <f t="shared" si="2"/>
        <v>5870.3440476190472</v>
      </c>
      <c r="G31" s="298">
        <f t="shared" si="3"/>
        <v>135699.38404761907</v>
      </c>
      <c r="H31" s="291">
        <f t="shared" si="5"/>
        <v>7056367.9704761906</v>
      </c>
    </row>
    <row r="32" spans="1:9">
      <c r="A32" s="243">
        <f t="shared" si="4"/>
        <v>9</v>
      </c>
      <c r="B32" s="243"/>
      <c r="C32" s="244">
        <f t="shared" si="1"/>
        <v>44055</v>
      </c>
      <c r="D32" s="243" t="s">
        <v>230</v>
      </c>
      <c r="E32" s="290">
        <f t="shared" si="0"/>
        <v>129829.04000000001</v>
      </c>
      <c r="F32" s="290">
        <f t="shared" si="2"/>
        <v>5870.3440476190472</v>
      </c>
      <c r="G32" s="298">
        <f t="shared" si="3"/>
        <v>135699.38404761907</v>
      </c>
      <c r="H32" s="291">
        <f t="shared" si="5"/>
        <v>6920668.5864285715</v>
      </c>
    </row>
    <row r="33" spans="1:8">
      <c r="A33" s="243">
        <f t="shared" si="4"/>
        <v>10</v>
      </c>
      <c r="B33" s="243"/>
      <c r="C33" s="244">
        <f t="shared" si="1"/>
        <v>44086</v>
      </c>
      <c r="D33" s="243" t="s">
        <v>231</v>
      </c>
      <c r="E33" s="290">
        <f t="shared" si="0"/>
        <v>129829.04000000001</v>
      </c>
      <c r="F33" s="290">
        <f t="shared" si="2"/>
        <v>5870.3440476190472</v>
      </c>
      <c r="G33" s="298">
        <f t="shared" si="3"/>
        <v>135699.38404761907</v>
      </c>
      <c r="H33" s="291">
        <f t="shared" si="5"/>
        <v>6784969.2023809524</v>
      </c>
    </row>
    <row r="34" spans="1:8">
      <c r="A34" s="243">
        <f t="shared" si="4"/>
        <v>11</v>
      </c>
      <c r="B34" s="243"/>
      <c r="C34" s="244">
        <f t="shared" si="1"/>
        <v>44116</v>
      </c>
      <c r="D34" s="243" t="s">
        <v>232</v>
      </c>
      <c r="E34" s="290">
        <f t="shared" si="0"/>
        <v>129829.04000000001</v>
      </c>
      <c r="F34" s="290">
        <f t="shared" si="2"/>
        <v>5870.3440476190472</v>
      </c>
      <c r="G34" s="298">
        <f t="shared" si="3"/>
        <v>135699.38404761907</v>
      </c>
      <c r="H34" s="291">
        <f t="shared" si="5"/>
        <v>6649269.8183333334</v>
      </c>
    </row>
    <row r="35" spans="1:8">
      <c r="A35" s="243">
        <f t="shared" si="4"/>
        <v>12</v>
      </c>
      <c r="B35" s="243"/>
      <c r="C35" s="244">
        <f t="shared" si="1"/>
        <v>44147</v>
      </c>
      <c r="D35" s="243" t="s">
        <v>233</v>
      </c>
      <c r="E35" s="290">
        <f t="shared" si="0"/>
        <v>129829.04000000001</v>
      </c>
      <c r="F35" s="290">
        <f t="shared" si="2"/>
        <v>5870.3440476190472</v>
      </c>
      <c r="G35" s="298">
        <f t="shared" si="3"/>
        <v>135699.38404761907</v>
      </c>
      <c r="H35" s="291">
        <f t="shared" si="5"/>
        <v>6513570.4342857143</v>
      </c>
    </row>
    <row r="36" spans="1:8">
      <c r="A36" s="243">
        <f t="shared" si="4"/>
        <v>13</v>
      </c>
      <c r="B36" s="243"/>
      <c r="C36" s="244">
        <f t="shared" si="1"/>
        <v>44177</v>
      </c>
      <c r="D36" s="243" t="s">
        <v>234</v>
      </c>
      <c r="E36" s="290">
        <f t="shared" si="0"/>
        <v>129829.04000000001</v>
      </c>
      <c r="F36" s="290">
        <f t="shared" si="2"/>
        <v>5870.3440476190472</v>
      </c>
      <c r="G36" s="298">
        <f t="shared" si="3"/>
        <v>135699.38404761907</v>
      </c>
      <c r="H36" s="291">
        <f t="shared" si="5"/>
        <v>6377871.0502380952</v>
      </c>
    </row>
    <row r="37" spans="1:8">
      <c r="A37" s="243">
        <f t="shared" si="4"/>
        <v>14</v>
      </c>
      <c r="B37" s="243"/>
      <c r="C37" s="244">
        <f t="shared" si="1"/>
        <v>44208</v>
      </c>
      <c r="D37" s="243" t="s">
        <v>235</v>
      </c>
      <c r="E37" s="290">
        <f t="shared" si="0"/>
        <v>129829.04000000001</v>
      </c>
      <c r="F37" s="290">
        <f t="shared" si="2"/>
        <v>5870.3440476190472</v>
      </c>
      <c r="G37" s="298">
        <f t="shared" si="3"/>
        <v>135699.38404761907</v>
      </c>
      <c r="H37" s="291">
        <f t="shared" si="5"/>
        <v>6242171.6661904762</v>
      </c>
    </row>
    <row r="38" spans="1:8">
      <c r="A38" s="243">
        <f t="shared" si="4"/>
        <v>15</v>
      </c>
      <c r="B38" s="243"/>
      <c r="C38" s="244">
        <f t="shared" si="1"/>
        <v>44239</v>
      </c>
      <c r="D38" s="243" t="s">
        <v>236</v>
      </c>
      <c r="E38" s="290">
        <f t="shared" si="0"/>
        <v>129829.04000000001</v>
      </c>
      <c r="F38" s="290">
        <f t="shared" si="2"/>
        <v>5870.3440476190472</v>
      </c>
      <c r="G38" s="298">
        <f t="shared" si="3"/>
        <v>135699.38404761907</v>
      </c>
      <c r="H38" s="291">
        <f t="shared" si="5"/>
        <v>6106472.2821428571</v>
      </c>
    </row>
    <row r="39" spans="1:8">
      <c r="A39" s="243">
        <f t="shared" si="4"/>
        <v>16</v>
      </c>
      <c r="B39" s="243"/>
      <c r="C39" s="244">
        <f t="shared" si="1"/>
        <v>44267</v>
      </c>
      <c r="D39" s="243" t="s">
        <v>237</v>
      </c>
      <c r="E39" s="290">
        <f t="shared" si="0"/>
        <v>129829.04000000001</v>
      </c>
      <c r="F39" s="290">
        <f t="shared" si="2"/>
        <v>5870.3440476190472</v>
      </c>
      <c r="G39" s="298">
        <f t="shared" si="3"/>
        <v>135699.38404761907</v>
      </c>
      <c r="H39" s="291">
        <f t="shared" si="5"/>
        <v>5970772.898095238</v>
      </c>
    </row>
    <row r="40" spans="1:8">
      <c r="A40" s="243">
        <f t="shared" si="4"/>
        <v>17</v>
      </c>
      <c r="B40" s="243"/>
      <c r="C40" s="244">
        <f t="shared" si="1"/>
        <v>44298</v>
      </c>
      <c r="D40" s="243" t="s">
        <v>238</v>
      </c>
      <c r="E40" s="290">
        <f t="shared" si="0"/>
        <v>129829.04000000001</v>
      </c>
      <c r="F40" s="290">
        <f t="shared" si="2"/>
        <v>5870.3440476190472</v>
      </c>
      <c r="G40" s="298">
        <f t="shared" si="3"/>
        <v>135699.38404761907</v>
      </c>
      <c r="H40" s="291">
        <f t="shared" si="5"/>
        <v>5835073.514047619</v>
      </c>
    </row>
    <row r="41" spans="1:8">
      <c r="A41" s="243">
        <f t="shared" si="4"/>
        <v>18</v>
      </c>
      <c r="B41" s="243"/>
      <c r="C41" s="244">
        <f t="shared" si="1"/>
        <v>44328</v>
      </c>
      <c r="D41" s="243" t="s">
        <v>239</v>
      </c>
      <c r="E41" s="290">
        <f t="shared" si="0"/>
        <v>129829.04000000001</v>
      </c>
      <c r="F41" s="290">
        <f t="shared" si="2"/>
        <v>5870.3440476190472</v>
      </c>
      <c r="G41" s="298">
        <f t="shared" si="3"/>
        <v>135699.38404761907</v>
      </c>
      <c r="H41" s="291">
        <f t="shared" si="5"/>
        <v>5699374.1299999999</v>
      </c>
    </row>
    <row r="42" spans="1:8">
      <c r="A42" s="243">
        <f t="shared" si="4"/>
        <v>19</v>
      </c>
      <c r="B42" s="243"/>
      <c r="C42" s="244">
        <f t="shared" si="1"/>
        <v>44359</v>
      </c>
      <c r="D42" s="243" t="s">
        <v>240</v>
      </c>
      <c r="E42" s="290">
        <f t="shared" si="0"/>
        <v>129829.04000000001</v>
      </c>
      <c r="F42" s="290">
        <f t="shared" si="2"/>
        <v>5870.3440476190472</v>
      </c>
      <c r="G42" s="298">
        <f t="shared" si="3"/>
        <v>135699.38404761907</v>
      </c>
      <c r="H42" s="291">
        <f t="shared" si="5"/>
        <v>5563674.7459523808</v>
      </c>
    </row>
    <row r="43" spans="1:8">
      <c r="A43" s="243">
        <f t="shared" si="4"/>
        <v>20</v>
      </c>
      <c r="B43" s="243"/>
      <c r="C43" s="244">
        <f t="shared" si="1"/>
        <v>44389</v>
      </c>
      <c r="D43" s="243" t="s">
        <v>241</v>
      </c>
      <c r="E43" s="290">
        <f t="shared" si="0"/>
        <v>129829.04000000001</v>
      </c>
      <c r="F43" s="290">
        <f t="shared" si="2"/>
        <v>5870.3440476190472</v>
      </c>
      <c r="G43" s="298">
        <f t="shared" si="3"/>
        <v>135699.38404761907</v>
      </c>
      <c r="H43" s="291">
        <f t="shared" si="5"/>
        <v>5427975.3619047618</v>
      </c>
    </row>
    <row r="44" spans="1:8">
      <c r="A44" s="243">
        <f t="shared" si="4"/>
        <v>21</v>
      </c>
      <c r="B44" s="243"/>
      <c r="C44" s="244">
        <f t="shared" si="1"/>
        <v>44420</v>
      </c>
      <c r="D44" s="243" t="s">
        <v>242</v>
      </c>
      <c r="E44" s="290">
        <f t="shared" si="0"/>
        <v>129829.04000000001</v>
      </c>
      <c r="F44" s="290">
        <f t="shared" si="2"/>
        <v>5870.3440476190472</v>
      </c>
      <c r="G44" s="298">
        <f t="shared" si="3"/>
        <v>135699.38404761907</v>
      </c>
      <c r="H44" s="291">
        <f t="shared" si="5"/>
        <v>5292275.9778571427</v>
      </c>
    </row>
    <row r="45" spans="1:8">
      <c r="A45" s="243">
        <f t="shared" si="4"/>
        <v>22</v>
      </c>
      <c r="B45" s="243"/>
      <c r="C45" s="244">
        <f t="shared" si="1"/>
        <v>44451</v>
      </c>
      <c r="D45" s="243" t="s">
        <v>243</v>
      </c>
      <c r="E45" s="290">
        <f t="shared" si="0"/>
        <v>129829.04000000001</v>
      </c>
      <c r="F45" s="290">
        <f t="shared" si="2"/>
        <v>5870.3440476190472</v>
      </c>
      <c r="G45" s="298">
        <f t="shared" si="3"/>
        <v>135699.38404761907</v>
      </c>
      <c r="H45" s="291">
        <f t="shared" si="5"/>
        <v>5156576.5938095236</v>
      </c>
    </row>
    <row r="46" spans="1:8">
      <c r="A46" s="243">
        <f t="shared" si="4"/>
        <v>23</v>
      </c>
      <c r="B46" s="243"/>
      <c r="C46" s="244">
        <f t="shared" si="1"/>
        <v>44481</v>
      </c>
      <c r="D46" s="243" t="s">
        <v>244</v>
      </c>
      <c r="E46" s="290">
        <f t="shared" si="0"/>
        <v>129829.04000000001</v>
      </c>
      <c r="F46" s="290">
        <f t="shared" si="2"/>
        <v>5870.3440476190472</v>
      </c>
      <c r="G46" s="298">
        <f t="shared" si="3"/>
        <v>135699.38404761907</v>
      </c>
      <c r="H46" s="291">
        <f t="shared" si="5"/>
        <v>5020877.2097619046</v>
      </c>
    </row>
    <row r="47" spans="1:8">
      <c r="A47" s="243">
        <f t="shared" si="4"/>
        <v>24</v>
      </c>
      <c r="B47" s="243"/>
      <c r="C47" s="244">
        <f t="shared" si="1"/>
        <v>44512</v>
      </c>
      <c r="D47" s="243" t="s">
        <v>245</v>
      </c>
      <c r="E47" s="290">
        <f t="shared" si="0"/>
        <v>129829.04000000001</v>
      </c>
      <c r="F47" s="290">
        <f t="shared" si="2"/>
        <v>5870.3440476190472</v>
      </c>
      <c r="G47" s="298">
        <f t="shared" si="3"/>
        <v>135699.38404761907</v>
      </c>
      <c r="H47" s="291">
        <f t="shared" si="5"/>
        <v>4885177.8257142855</v>
      </c>
    </row>
    <row r="48" spans="1:8">
      <c r="A48" s="243">
        <f t="shared" si="4"/>
        <v>25</v>
      </c>
      <c r="B48" s="243"/>
      <c r="C48" s="244">
        <f t="shared" si="1"/>
        <v>44542</v>
      </c>
      <c r="D48" s="243" t="s">
        <v>246</v>
      </c>
      <c r="E48" s="290">
        <f t="shared" si="0"/>
        <v>129829.04000000001</v>
      </c>
      <c r="F48" s="290">
        <f t="shared" si="2"/>
        <v>5870.3440476190472</v>
      </c>
      <c r="G48" s="298">
        <f t="shared" si="3"/>
        <v>135699.38404761907</v>
      </c>
      <c r="H48" s="291">
        <f t="shared" si="5"/>
        <v>4749478.4416666664</v>
      </c>
    </row>
    <row r="49" spans="1:8">
      <c r="A49" s="243">
        <f t="shared" si="4"/>
        <v>26</v>
      </c>
      <c r="B49" s="243"/>
      <c r="C49" s="244">
        <f t="shared" si="1"/>
        <v>44573</v>
      </c>
      <c r="D49" s="243" t="s">
        <v>247</v>
      </c>
      <c r="E49" s="290">
        <f t="shared" si="0"/>
        <v>129829.04000000001</v>
      </c>
      <c r="F49" s="290">
        <f t="shared" si="2"/>
        <v>5870.3440476190472</v>
      </c>
      <c r="G49" s="298">
        <f t="shared" si="3"/>
        <v>135699.38404761907</v>
      </c>
      <c r="H49" s="291">
        <f t="shared" si="5"/>
        <v>4613779.0576190474</v>
      </c>
    </row>
    <row r="50" spans="1:8">
      <c r="A50" s="243">
        <f t="shared" si="4"/>
        <v>27</v>
      </c>
      <c r="B50" s="243"/>
      <c r="C50" s="244">
        <f t="shared" si="1"/>
        <v>44604</v>
      </c>
      <c r="D50" s="243" t="s">
        <v>248</v>
      </c>
      <c r="E50" s="290">
        <f t="shared" si="0"/>
        <v>129829.04000000001</v>
      </c>
      <c r="F50" s="290">
        <f t="shared" si="2"/>
        <v>5870.3440476190472</v>
      </c>
      <c r="G50" s="298">
        <f t="shared" si="3"/>
        <v>135699.38404761907</v>
      </c>
      <c r="H50" s="291">
        <f t="shared" si="5"/>
        <v>4478079.6735714283</v>
      </c>
    </row>
    <row r="51" spans="1:8">
      <c r="A51" s="243">
        <f t="shared" si="4"/>
        <v>28</v>
      </c>
      <c r="B51" s="243"/>
      <c r="C51" s="244">
        <f t="shared" si="1"/>
        <v>44632</v>
      </c>
      <c r="D51" s="243" t="s">
        <v>249</v>
      </c>
      <c r="E51" s="290">
        <f t="shared" si="0"/>
        <v>129829.04000000001</v>
      </c>
      <c r="F51" s="290">
        <f t="shared" si="2"/>
        <v>5870.3440476190472</v>
      </c>
      <c r="G51" s="298">
        <f t="shared" si="3"/>
        <v>135699.38404761907</v>
      </c>
      <c r="H51" s="291">
        <f t="shared" si="5"/>
        <v>4342380.2895238092</v>
      </c>
    </row>
    <row r="52" spans="1:8">
      <c r="A52" s="243">
        <f t="shared" si="4"/>
        <v>29</v>
      </c>
      <c r="B52" s="243"/>
      <c r="C52" s="244">
        <f t="shared" si="1"/>
        <v>44663</v>
      </c>
      <c r="D52" s="243" t="s">
        <v>250</v>
      </c>
      <c r="E52" s="290">
        <f t="shared" si="0"/>
        <v>129829.04000000001</v>
      </c>
      <c r="F52" s="290">
        <f t="shared" si="2"/>
        <v>5870.3440476190472</v>
      </c>
      <c r="G52" s="298">
        <f t="shared" si="3"/>
        <v>135699.38404761907</v>
      </c>
      <c r="H52" s="291">
        <f t="shared" si="5"/>
        <v>4206680.9054761901</v>
      </c>
    </row>
    <row r="53" spans="1:8">
      <c r="A53" s="243">
        <f t="shared" si="4"/>
        <v>30</v>
      </c>
      <c r="B53" s="243"/>
      <c r="C53" s="244">
        <f t="shared" si="1"/>
        <v>44693</v>
      </c>
      <c r="D53" s="243" t="s">
        <v>251</v>
      </c>
      <c r="E53" s="290">
        <f t="shared" si="0"/>
        <v>129829.04000000001</v>
      </c>
      <c r="F53" s="290">
        <f t="shared" si="2"/>
        <v>5870.3440476190472</v>
      </c>
      <c r="G53" s="298">
        <f t="shared" si="3"/>
        <v>135699.38404761907</v>
      </c>
      <c r="H53" s="291">
        <f t="shared" si="5"/>
        <v>4070981.5214285711</v>
      </c>
    </row>
    <row r="54" spans="1:8">
      <c r="A54" s="243">
        <f t="shared" si="4"/>
        <v>31</v>
      </c>
      <c r="B54" s="243"/>
      <c r="C54" s="244">
        <f t="shared" si="1"/>
        <v>44724</v>
      </c>
      <c r="D54" s="243" t="s">
        <v>252</v>
      </c>
      <c r="E54" s="290">
        <f t="shared" si="0"/>
        <v>129829.04000000001</v>
      </c>
      <c r="F54" s="290">
        <f t="shared" si="2"/>
        <v>5870.3440476190472</v>
      </c>
      <c r="G54" s="298">
        <f t="shared" si="3"/>
        <v>135699.38404761907</v>
      </c>
      <c r="H54" s="291">
        <f t="shared" si="5"/>
        <v>3935282.137380952</v>
      </c>
    </row>
    <row r="55" spans="1:8">
      <c r="A55" s="243">
        <f t="shared" si="4"/>
        <v>32</v>
      </c>
      <c r="B55" s="243"/>
      <c r="C55" s="244">
        <f t="shared" si="1"/>
        <v>44754</v>
      </c>
      <c r="D55" s="243" t="s">
        <v>253</v>
      </c>
      <c r="E55" s="290">
        <f t="shared" si="0"/>
        <v>129829.04000000001</v>
      </c>
      <c r="F55" s="290">
        <f t="shared" si="2"/>
        <v>5870.3440476190472</v>
      </c>
      <c r="G55" s="298">
        <f t="shared" si="3"/>
        <v>135699.38404761907</v>
      </c>
      <c r="H55" s="291">
        <f t="shared" si="5"/>
        <v>3799582.7533333329</v>
      </c>
    </row>
    <row r="56" spans="1:8">
      <c r="A56" s="243">
        <f t="shared" si="4"/>
        <v>33</v>
      </c>
      <c r="B56" s="243"/>
      <c r="C56" s="244">
        <f t="shared" si="1"/>
        <v>44785</v>
      </c>
      <c r="D56" s="243" t="s">
        <v>254</v>
      </c>
      <c r="E56" s="290">
        <f t="shared" ref="E56:E83" si="6">(($D$16*100%)-$E$22)/60</f>
        <v>129829.04000000001</v>
      </c>
      <c r="F56" s="290">
        <f t="shared" si="2"/>
        <v>5870.3440476190472</v>
      </c>
      <c r="G56" s="298">
        <f t="shared" si="3"/>
        <v>135699.38404761907</v>
      </c>
      <c r="H56" s="291">
        <f t="shared" si="5"/>
        <v>3663883.3692857139</v>
      </c>
    </row>
    <row r="57" spans="1:8">
      <c r="A57" s="243">
        <f t="shared" si="4"/>
        <v>34</v>
      </c>
      <c r="B57" s="243"/>
      <c r="C57" s="244">
        <f t="shared" si="1"/>
        <v>44816</v>
      </c>
      <c r="D57" s="243" t="s">
        <v>255</v>
      </c>
      <c r="E57" s="290">
        <f t="shared" si="6"/>
        <v>129829.04000000001</v>
      </c>
      <c r="F57" s="290">
        <f t="shared" si="2"/>
        <v>5870.3440476190472</v>
      </c>
      <c r="G57" s="298">
        <f t="shared" si="3"/>
        <v>135699.38404761907</v>
      </c>
      <c r="H57" s="291">
        <f t="shared" si="5"/>
        <v>3528183.9852380948</v>
      </c>
    </row>
    <row r="58" spans="1:8">
      <c r="A58" s="243">
        <f t="shared" si="4"/>
        <v>35</v>
      </c>
      <c r="B58" s="243"/>
      <c r="C58" s="244">
        <f t="shared" si="1"/>
        <v>44846</v>
      </c>
      <c r="D58" s="243" t="s">
        <v>256</v>
      </c>
      <c r="E58" s="290">
        <f t="shared" si="6"/>
        <v>129829.04000000001</v>
      </c>
      <c r="F58" s="290">
        <f t="shared" si="2"/>
        <v>5870.3440476190472</v>
      </c>
      <c r="G58" s="298">
        <f t="shared" si="3"/>
        <v>135699.38404761907</v>
      </c>
      <c r="H58" s="291">
        <f t="shared" si="5"/>
        <v>3392484.6011904757</v>
      </c>
    </row>
    <row r="59" spans="1:8">
      <c r="A59" s="243">
        <f t="shared" si="4"/>
        <v>36</v>
      </c>
      <c r="B59" s="243"/>
      <c r="C59" s="244">
        <f t="shared" si="1"/>
        <v>44877</v>
      </c>
      <c r="D59" s="243" t="s">
        <v>257</v>
      </c>
      <c r="E59" s="290">
        <f t="shared" si="6"/>
        <v>129829.04000000001</v>
      </c>
      <c r="F59" s="290">
        <f t="shared" si="2"/>
        <v>5870.3440476190472</v>
      </c>
      <c r="G59" s="298">
        <f t="shared" si="3"/>
        <v>135699.38404761907</v>
      </c>
      <c r="H59" s="291">
        <f t="shared" si="5"/>
        <v>3256785.2171428567</v>
      </c>
    </row>
    <row r="60" spans="1:8">
      <c r="A60" s="243">
        <f t="shared" si="4"/>
        <v>37</v>
      </c>
      <c r="B60" s="243"/>
      <c r="C60" s="244">
        <f t="shared" si="1"/>
        <v>44907</v>
      </c>
      <c r="D60" s="243" t="s">
        <v>258</v>
      </c>
      <c r="E60" s="290">
        <f t="shared" si="6"/>
        <v>129829.04000000001</v>
      </c>
      <c r="F60" s="290">
        <f t="shared" si="2"/>
        <v>5870.3440476190472</v>
      </c>
      <c r="G60" s="298">
        <f t="shared" si="3"/>
        <v>135699.38404761907</v>
      </c>
      <c r="H60" s="291">
        <f t="shared" si="5"/>
        <v>3121085.8330952376</v>
      </c>
    </row>
    <row r="61" spans="1:8">
      <c r="A61" s="243">
        <f t="shared" si="4"/>
        <v>38</v>
      </c>
      <c r="B61" s="243"/>
      <c r="C61" s="244">
        <f t="shared" si="1"/>
        <v>44938</v>
      </c>
      <c r="D61" s="243" t="s">
        <v>259</v>
      </c>
      <c r="E61" s="290">
        <f t="shared" si="6"/>
        <v>129829.04000000001</v>
      </c>
      <c r="F61" s="290">
        <f t="shared" si="2"/>
        <v>5870.3440476190472</v>
      </c>
      <c r="G61" s="298">
        <f t="shared" si="3"/>
        <v>135699.38404761907</v>
      </c>
      <c r="H61" s="291">
        <f t="shared" si="5"/>
        <v>2985386.4490476185</v>
      </c>
    </row>
    <row r="62" spans="1:8">
      <c r="A62" s="243">
        <f t="shared" si="4"/>
        <v>39</v>
      </c>
      <c r="B62" s="243"/>
      <c r="C62" s="244">
        <f t="shared" si="1"/>
        <v>44969</v>
      </c>
      <c r="D62" s="243" t="s">
        <v>260</v>
      </c>
      <c r="E62" s="290">
        <f t="shared" si="6"/>
        <v>129829.04000000001</v>
      </c>
      <c r="F62" s="290">
        <f t="shared" si="2"/>
        <v>5870.3440476190472</v>
      </c>
      <c r="G62" s="298">
        <f t="shared" si="3"/>
        <v>135699.38404761907</v>
      </c>
      <c r="H62" s="291">
        <f t="shared" si="5"/>
        <v>2849687.0649999995</v>
      </c>
    </row>
    <row r="63" spans="1:8">
      <c r="A63" s="243">
        <f t="shared" si="4"/>
        <v>40</v>
      </c>
      <c r="B63" s="243"/>
      <c r="C63" s="244">
        <f t="shared" si="1"/>
        <v>44997</v>
      </c>
      <c r="D63" s="243" t="s">
        <v>261</v>
      </c>
      <c r="E63" s="290">
        <f t="shared" si="6"/>
        <v>129829.04000000001</v>
      </c>
      <c r="F63" s="290">
        <f t="shared" si="2"/>
        <v>5870.3440476190472</v>
      </c>
      <c r="G63" s="298">
        <f t="shared" si="3"/>
        <v>135699.38404761907</v>
      </c>
      <c r="H63" s="291">
        <f t="shared" si="5"/>
        <v>2713987.6809523804</v>
      </c>
    </row>
    <row r="64" spans="1:8">
      <c r="A64" s="243">
        <f t="shared" si="4"/>
        <v>41</v>
      </c>
      <c r="B64" s="243"/>
      <c r="C64" s="244">
        <f t="shared" si="1"/>
        <v>45028</v>
      </c>
      <c r="D64" s="243" t="s">
        <v>262</v>
      </c>
      <c r="E64" s="290">
        <f t="shared" si="6"/>
        <v>129829.04000000001</v>
      </c>
      <c r="F64" s="290">
        <f t="shared" si="2"/>
        <v>5870.3440476190472</v>
      </c>
      <c r="G64" s="298">
        <f t="shared" si="3"/>
        <v>135699.38404761907</v>
      </c>
      <c r="H64" s="291">
        <f t="shared" si="5"/>
        <v>2578288.2969047613</v>
      </c>
    </row>
    <row r="65" spans="1:8">
      <c r="A65" s="243">
        <f t="shared" si="4"/>
        <v>42</v>
      </c>
      <c r="B65" s="243"/>
      <c r="C65" s="244">
        <f t="shared" si="1"/>
        <v>45058</v>
      </c>
      <c r="D65" s="243" t="s">
        <v>263</v>
      </c>
      <c r="E65" s="290">
        <f t="shared" si="6"/>
        <v>129829.04000000001</v>
      </c>
      <c r="F65" s="290">
        <f t="shared" si="2"/>
        <v>5870.3440476190472</v>
      </c>
      <c r="G65" s="298">
        <f t="shared" si="3"/>
        <v>135699.38404761907</v>
      </c>
      <c r="H65" s="291">
        <f t="shared" si="5"/>
        <v>2442588.9128571423</v>
      </c>
    </row>
    <row r="66" spans="1:8">
      <c r="A66" s="243">
        <f t="shared" si="4"/>
        <v>43</v>
      </c>
      <c r="B66" s="243"/>
      <c r="C66" s="244">
        <f t="shared" si="1"/>
        <v>45089</v>
      </c>
      <c r="D66" s="243" t="s">
        <v>264</v>
      </c>
      <c r="E66" s="290">
        <f t="shared" si="6"/>
        <v>129829.04000000001</v>
      </c>
      <c r="F66" s="290">
        <f t="shared" si="2"/>
        <v>5870.3440476190472</v>
      </c>
      <c r="G66" s="298">
        <f t="shared" si="3"/>
        <v>135699.38404761907</v>
      </c>
      <c r="H66" s="291">
        <f t="shared" si="5"/>
        <v>2306889.5288095232</v>
      </c>
    </row>
    <row r="67" spans="1:8">
      <c r="A67" s="243">
        <f t="shared" si="4"/>
        <v>44</v>
      </c>
      <c r="B67" s="243"/>
      <c r="C67" s="244">
        <f t="shared" si="1"/>
        <v>45119</v>
      </c>
      <c r="D67" s="243" t="s">
        <v>265</v>
      </c>
      <c r="E67" s="290">
        <f t="shared" si="6"/>
        <v>129829.04000000001</v>
      </c>
      <c r="F67" s="290">
        <f t="shared" si="2"/>
        <v>5870.3440476190472</v>
      </c>
      <c r="G67" s="298">
        <f t="shared" si="3"/>
        <v>135699.38404761907</v>
      </c>
      <c r="H67" s="291">
        <f t="shared" si="5"/>
        <v>2171190.1447619041</v>
      </c>
    </row>
    <row r="68" spans="1:8">
      <c r="A68" s="243">
        <f t="shared" si="4"/>
        <v>45</v>
      </c>
      <c r="B68" s="243"/>
      <c r="C68" s="244">
        <f t="shared" si="1"/>
        <v>45150</v>
      </c>
      <c r="D68" s="243" t="s">
        <v>266</v>
      </c>
      <c r="E68" s="290">
        <f t="shared" si="6"/>
        <v>129829.04000000001</v>
      </c>
      <c r="F68" s="290">
        <f t="shared" si="2"/>
        <v>5870.3440476190472</v>
      </c>
      <c r="G68" s="298">
        <f t="shared" si="3"/>
        <v>135699.38404761907</v>
      </c>
      <c r="H68" s="291">
        <f t="shared" si="5"/>
        <v>2035490.7607142851</v>
      </c>
    </row>
    <row r="69" spans="1:8">
      <c r="A69" s="243">
        <f t="shared" si="4"/>
        <v>46</v>
      </c>
      <c r="B69" s="243"/>
      <c r="C69" s="244">
        <f t="shared" si="1"/>
        <v>45181</v>
      </c>
      <c r="D69" s="243" t="s">
        <v>267</v>
      </c>
      <c r="E69" s="290">
        <f t="shared" si="6"/>
        <v>129829.04000000001</v>
      </c>
      <c r="F69" s="290">
        <f t="shared" si="2"/>
        <v>5870.3440476190472</v>
      </c>
      <c r="G69" s="298">
        <f t="shared" si="3"/>
        <v>135699.38404761907</v>
      </c>
      <c r="H69" s="291">
        <f t="shared" si="5"/>
        <v>1899791.376666666</v>
      </c>
    </row>
    <row r="70" spans="1:8">
      <c r="A70" s="243">
        <f t="shared" si="4"/>
        <v>47</v>
      </c>
      <c r="B70" s="243"/>
      <c r="C70" s="244">
        <f t="shared" si="1"/>
        <v>45211</v>
      </c>
      <c r="D70" s="243" t="s">
        <v>268</v>
      </c>
      <c r="E70" s="290">
        <f t="shared" si="6"/>
        <v>129829.04000000001</v>
      </c>
      <c r="F70" s="290">
        <f t="shared" si="2"/>
        <v>5870.3440476190472</v>
      </c>
      <c r="G70" s="298">
        <f t="shared" si="3"/>
        <v>135699.38404761907</v>
      </c>
      <c r="H70" s="291">
        <f t="shared" si="5"/>
        <v>1764091.9926190469</v>
      </c>
    </row>
    <row r="71" spans="1:8">
      <c r="A71" s="243">
        <f t="shared" si="4"/>
        <v>48</v>
      </c>
      <c r="B71" s="243"/>
      <c r="C71" s="244">
        <f t="shared" si="1"/>
        <v>45242</v>
      </c>
      <c r="D71" s="243" t="s">
        <v>269</v>
      </c>
      <c r="E71" s="290">
        <f t="shared" si="6"/>
        <v>129829.04000000001</v>
      </c>
      <c r="F71" s="290">
        <f t="shared" si="2"/>
        <v>5870.3440476190472</v>
      </c>
      <c r="G71" s="298">
        <f t="shared" si="3"/>
        <v>135699.38404761907</v>
      </c>
      <c r="H71" s="291">
        <f t="shared" si="5"/>
        <v>1628392.6085714279</v>
      </c>
    </row>
    <row r="72" spans="1:8">
      <c r="A72" s="243">
        <f t="shared" si="4"/>
        <v>49</v>
      </c>
      <c r="B72" s="243"/>
      <c r="C72" s="244">
        <f t="shared" si="1"/>
        <v>45272</v>
      </c>
      <c r="D72" s="243" t="s">
        <v>270</v>
      </c>
      <c r="E72" s="290">
        <f t="shared" si="6"/>
        <v>129829.04000000001</v>
      </c>
      <c r="F72" s="290">
        <f t="shared" si="2"/>
        <v>5870.3440476190472</v>
      </c>
      <c r="G72" s="298">
        <f t="shared" si="3"/>
        <v>135699.38404761907</v>
      </c>
      <c r="H72" s="291">
        <f t="shared" si="5"/>
        <v>1492693.2245238088</v>
      </c>
    </row>
    <row r="73" spans="1:8">
      <c r="A73" s="243">
        <f t="shared" si="4"/>
        <v>50</v>
      </c>
      <c r="B73" s="243"/>
      <c r="C73" s="244">
        <f t="shared" si="1"/>
        <v>45303</v>
      </c>
      <c r="D73" s="243" t="s">
        <v>271</v>
      </c>
      <c r="E73" s="290">
        <f t="shared" si="6"/>
        <v>129829.04000000001</v>
      </c>
      <c r="F73" s="290">
        <f t="shared" si="2"/>
        <v>5870.3440476190472</v>
      </c>
      <c r="G73" s="298">
        <f t="shared" si="3"/>
        <v>135699.38404761907</v>
      </c>
      <c r="H73" s="291">
        <f t="shared" si="5"/>
        <v>1356993.8404761897</v>
      </c>
    </row>
    <row r="74" spans="1:8">
      <c r="A74" s="243">
        <f t="shared" si="4"/>
        <v>51</v>
      </c>
      <c r="B74" s="243"/>
      <c r="C74" s="244">
        <f t="shared" si="1"/>
        <v>45334</v>
      </c>
      <c r="D74" s="243" t="s">
        <v>272</v>
      </c>
      <c r="E74" s="290">
        <f t="shared" si="6"/>
        <v>129829.04000000001</v>
      </c>
      <c r="F74" s="290">
        <f t="shared" si="2"/>
        <v>5870.3440476190472</v>
      </c>
      <c r="G74" s="298">
        <f t="shared" si="3"/>
        <v>135699.38404761907</v>
      </c>
      <c r="H74" s="291">
        <f t="shared" si="5"/>
        <v>1221294.4564285707</v>
      </c>
    </row>
    <row r="75" spans="1:8">
      <c r="A75" s="243">
        <f t="shared" si="4"/>
        <v>52</v>
      </c>
      <c r="B75" s="243"/>
      <c r="C75" s="244">
        <f t="shared" si="1"/>
        <v>45363</v>
      </c>
      <c r="D75" s="243" t="s">
        <v>273</v>
      </c>
      <c r="E75" s="290">
        <f t="shared" si="6"/>
        <v>129829.04000000001</v>
      </c>
      <c r="F75" s="290">
        <f t="shared" si="2"/>
        <v>5870.3440476190472</v>
      </c>
      <c r="G75" s="298">
        <f t="shared" si="3"/>
        <v>135699.38404761907</v>
      </c>
      <c r="H75" s="291">
        <f t="shared" si="5"/>
        <v>1085595.0723809516</v>
      </c>
    </row>
    <row r="76" spans="1:8">
      <c r="A76" s="243">
        <f t="shared" si="4"/>
        <v>53</v>
      </c>
      <c r="B76" s="243"/>
      <c r="C76" s="244">
        <f t="shared" si="1"/>
        <v>45394</v>
      </c>
      <c r="D76" s="243" t="s">
        <v>274</v>
      </c>
      <c r="E76" s="290">
        <f t="shared" si="6"/>
        <v>129829.04000000001</v>
      </c>
      <c r="F76" s="290">
        <f t="shared" si="2"/>
        <v>5870.3440476190472</v>
      </c>
      <c r="G76" s="298">
        <f t="shared" si="3"/>
        <v>135699.38404761907</v>
      </c>
      <c r="H76" s="291">
        <f t="shared" si="5"/>
        <v>949895.68833333254</v>
      </c>
    </row>
    <row r="77" spans="1:8">
      <c r="A77" s="243">
        <f t="shared" si="4"/>
        <v>54</v>
      </c>
      <c r="B77" s="243"/>
      <c r="C77" s="244">
        <f t="shared" si="1"/>
        <v>45424</v>
      </c>
      <c r="D77" s="243" t="s">
        <v>275</v>
      </c>
      <c r="E77" s="290">
        <f t="shared" si="6"/>
        <v>129829.04000000001</v>
      </c>
      <c r="F77" s="290">
        <f t="shared" si="2"/>
        <v>5870.3440476190472</v>
      </c>
      <c r="G77" s="298">
        <f t="shared" si="3"/>
        <v>135699.38404761907</v>
      </c>
      <c r="H77" s="291">
        <f t="shared" si="5"/>
        <v>814196.30428571347</v>
      </c>
    </row>
    <row r="78" spans="1:8">
      <c r="A78" s="243">
        <f t="shared" si="4"/>
        <v>55</v>
      </c>
      <c r="B78" s="243"/>
      <c r="C78" s="244">
        <f t="shared" si="1"/>
        <v>45455</v>
      </c>
      <c r="D78" s="243" t="s">
        <v>276</v>
      </c>
      <c r="E78" s="290">
        <f t="shared" si="6"/>
        <v>129829.04000000001</v>
      </c>
      <c r="F78" s="290">
        <f t="shared" si="2"/>
        <v>5870.3440476190472</v>
      </c>
      <c r="G78" s="298">
        <f t="shared" si="3"/>
        <v>135699.38404761907</v>
      </c>
      <c r="H78" s="291">
        <f t="shared" si="5"/>
        <v>678496.9202380944</v>
      </c>
    </row>
    <row r="79" spans="1:8">
      <c r="A79" s="243">
        <f t="shared" si="4"/>
        <v>56</v>
      </c>
      <c r="B79" s="243"/>
      <c r="C79" s="244">
        <f t="shared" si="1"/>
        <v>45485</v>
      </c>
      <c r="D79" s="243" t="s">
        <v>277</v>
      </c>
      <c r="E79" s="290">
        <f t="shared" si="6"/>
        <v>129829.04000000001</v>
      </c>
      <c r="F79" s="290">
        <f t="shared" si="2"/>
        <v>5870.3440476190472</v>
      </c>
      <c r="G79" s="298">
        <f t="shared" si="3"/>
        <v>135699.38404761907</v>
      </c>
      <c r="H79" s="291">
        <f t="shared" si="5"/>
        <v>542797.53619047534</v>
      </c>
    </row>
    <row r="80" spans="1:8">
      <c r="A80" s="243">
        <f t="shared" si="4"/>
        <v>57</v>
      </c>
      <c r="B80" s="243"/>
      <c r="C80" s="244">
        <f t="shared" si="1"/>
        <v>45516</v>
      </c>
      <c r="D80" s="243" t="s">
        <v>278</v>
      </c>
      <c r="E80" s="290">
        <f t="shared" si="6"/>
        <v>129829.04000000001</v>
      </c>
      <c r="F80" s="290">
        <f t="shared" si="2"/>
        <v>5870.3440476190472</v>
      </c>
      <c r="G80" s="298">
        <f t="shared" si="3"/>
        <v>135699.38404761907</v>
      </c>
      <c r="H80" s="291">
        <f t="shared" si="5"/>
        <v>407098.15214285627</v>
      </c>
    </row>
    <row r="81" spans="1:8">
      <c r="A81" s="243">
        <f t="shared" si="4"/>
        <v>58</v>
      </c>
      <c r="B81" s="243"/>
      <c r="C81" s="244">
        <f t="shared" si="1"/>
        <v>45547</v>
      </c>
      <c r="D81" s="243" t="s">
        <v>279</v>
      </c>
      <c r="E81" s="290">
        <f t="shared" si="6"/>
        <v>129829.04000000001</v>
      </c>
      <c r="F81" s="290">
        <f t="shared" si="2"/>
        <v>5870.3440476190472</v>
      </c>
      <c r="G81" s="298">
        <f t="shared" si="3"/>
        <v>135699.38404761907</v>
      </c>
      <c r="H81" s="291">
        <f t="shared" si="5"/>
        <v>271398.7680952372</v>
      </c>
    </row>
    <row r="82" spans="1:8">
      <c r="A82" s="243">
        <f t="shared" si="4"/>
        <v>59</v>
      </c>
      <c r="B82" s="243"/>
      <c r="C82" s="244">
        <f t="shared" si="1"/>
        <v>45577</v>
      </c>
      <c r="D82" s="243" t="s">
        <v>280</v>
      </c>
      <c r="E82" s="290">
        <f t="shared" si="6"/>
        <v>129829.04000000001</v>
      </c>
      <c r="F82" s="290">
        <f t="shared" si="2"/>
        <v>5870.3440476190472</v>
      </c>
      <c r="G82" s="298">
        <f t="shared" si="3"/>
        <v>135699.38404761907</v>
      </c>
      <c r="H82" s="291">
        <f t="shared" si="5"/>
        <v>135699.38404761814</v>
      </c>
    </row>
    <row r="83" spans="1:8">
      <c r="A83" s="243">
        <f t="shared" si="4"/>
        <v>60</v>
      </c>
      <c r="B83" s="243"/>
      <c r="C83" s="244">
        <f t="shared" si="1"/>
        <v>45608</v>
      </c>
      <c r="D83" s="243" t="s">
        <v>281</v>
      </c>
      <c r="E83" s="290">
        <f t="shared" si="6"/>
        <v>129829.04000000001</v>
      </c>
      <c r="F83" s="290">
        <f t="shared" si="2"/>
        <v>5870.3440476190472</v>
      </c>
      <c r="G83" s="298">
        <f t="shared" si="3"/>
        <v>135699.38404761907</v>
      </c>
      <c r="H83" s="291">
        <f t="shared" si="5"/>
        <v>-9.3132257461547852E-10</v>
      </c>
    </row>
    <row r="84" spans="1:8">
      <c r="A84" s="384" t="s">
        <v>16</v>
      </c>
      <c r="B84" s="384"/>
      <c r="C84" s="384"/>
      <c r="D84" s="384"/>
      <c r="E84" s="249">
        <f>SUM(E22:E83)</f>
        <v>7889742.4000000013</v>
      </c>
      <c r="F84" s="249">
        <f t="shared" ref="F84:G84" si="7">SUM(F22:F83)</f>
        <v>352220.64285714278</v>
      </c>
      <c r="G84" s="249">
        <f t="shared" si="7"/>
        <v>8241963.042857144</v>
      </c>
      <c r="H84" s="279"/>
    </row>
    <row r="85" spans="1:8" s="197" customFormat="1">
      <c r="C85" s="206"/>
      <c r="D85" s="207"/>
      <c r="E85" s="208"/>
      <c r="F85" s="208"/>
      <c r="G85" s="208"/>
    </row>
    <row r="86" spans="1:8" s="197" customFormat="1">
      <c r="A86" s="374" t="s">
        <v>313</v>
      </c>
      <c r="B86" s="374"/>
      <c r="C86" s="374"/>
      <c r="D86" s="374"/>
      <c r="E86" s="374"/>
      <c r="F86" s="374"/>
      <c r="G86" s="374"/>
      <c r="H86" s="374"/>
    </row>
    <row r="87" spans="1:8" s="197" customFormat="1" ht="29.25" customHeight="1">
      <c r="A87" s="388" t="s">
        <v>314</v>
      </c>
      <c r="B87" s="388"/>
      <c r="C87" s="388"/>
      <c r="D87" s="388"/>
      <c r="E87" s="388"/>
      <c r="F87" s="388"/>
      <c r="G87" s="388"/>
      <c r="H87" s="388"/>
    </row>
    <row r="88" spans="1:8" s="197" customFormat="1" ht="16.5" customHeight="1">
      <c r="A88" s="374" t="s">
        <v>315</v>
      </c>
      <c r="B88" s="374"/>
      <c r="C88" s="374"/>
      <c r="D88" s="374"/>
      <c r="E88" s="374"/>
      <c r="F88" s="374"/>
      <c r="G88" s="374"/>
      <c r="H88" s="374"/>
    </row>
    <row r="89" spans="1:8" s="197" customFormat="1" ht="16.5" customHeight="1">
      <c r="A89" s="374" t="s">
        <v>316</v>
      </c>
      <c r="B89" s="374"/>
      <c r="C89" s="374"/>
      <c r="D89" s="374"/>
      <c r="E89" s="374"/>
      <c r="F89" s="374"/>
      <c r="G89" s="374"/>
      <c r="H89" s="374"/>
    </row>
    <row r="90" spans="1:8" s="197" customFormat="1" ht="16.5" customHeight="1">
      <c r="A90" s="374" t="s">
        <v>317</v>
      </c>
      <c r="B90" s="374"/>
      <c r="C90" s="374"/>
      <c r="D90" s="374"/>
      <c r="E90" s="374"/>
      <c r="F90" s="374"/>
      <c r="G90" s="374"/>
      <c r="H90" s="374"/>
    </row>
    <row r="91" spans="1:8" s="197" customFormat="1" ht="106.5" customHeight="1">
      <c r="A91" s="374" t="s">
        <v>318</v>
      </c>
      <c r="B91" s="374"/>
      <c r="C91" s="374"/>
      <c r="D91" s="374"/>
      <c r="E91" s="374"/>
      <c r="F91" s="374"/>
      <c r="G91" s="374"/>
      <c r="H91" s="374"/>
    </row>
    <row r="92" spans="1:8" s="197" customFormat="1" ht="43.5" customHeight="1">
      <c r="A92" s="374" t="s">
        <v>319</v>
      </c>
      <c r="B92" s="374"/>
      <c r="C92" s="374"/>
      <c r="D92" s="374"/>
      <c r="E92" s="374"/>
      <c r="F92" s="374"/>
      <c r="G92" s="374"/>
      <c r="H92" s="374"/>
    </row>
    <row r="93" spans="1:8" s="197" customFormat="1" ht="21" customHeight="1">
      <c r="A93" s="374" t="s">
        <v>320</v>
      </c>
      <c r="B93" s="374"/>
      <c r="C93" s="374"/>
      <c r="D93" s="374"/>
      <c r="E93" s="374"/>
      <c r="F93" s="374"/>
      <c r="G93" s="374"/>
      <c r="H93" s="374"/>
    </row>
    <row r="94" spans="1:8" s="197" customFormat="1">
      <c r="A94" s="374"/>
      <c r="B94" s="374"/>
      <c r="C94" s="374"/>
      <c r="D94" s="374"/>
      <c r="E94" s="374"/>
      <c r="F94" s="374"/>
      <c r="G94" s="374"/>
      <c r="H94" s="374"/>
    </row>
    <row r="95" spans="1:8" s="197" customFormat="1">
      <c r="A95" s="197" t="s">
        <v>17</v>
      </c>
      <c r="D95" s="209"/>
      <c r="G95" s="198"/>
    </row>
    <row r="96" spans="1:8" s="197" customFormat="1">
      <c r="D96" s="209"/>
      <c r="G96" s="198"/>
    </row>
    <row r="97" spans="1:7" s="197" customFormat="1" ht="15" customHeight="1">
      <c r="A97" s="210"/>
      <c r="B97" s="210"/>
      <c r="C97" s="210"/>
      <c r="D97" s="209"/>
      <c r="E97" s="210"/>
      <c r="F97" s="210"/>
      <c r="G97" s="211"/>
    </row>
    <row r="98" spans="1:7" s="197" customFormat="1">
      <c r="A98" s="375" t="s">
        <v>293</v>
      </c>
      <c r="B98" s="375"/>
      <c r="C98" s="375"/>
      <c r="D98" s="209"/>
      <c r="E98" s="375" t="s">
        <v>18</v>
      </c>
      <c r="F98" s="375"/>
      <c r="G98" s="375"/>
    </row>
    <row r="99" spans="1:7" s="280" customFormat="1" ht="15">
      <c r="A99" s="39"/>
      <c r="B99" s="39"/>
      <c r="C99" s="39"/>
      <c r="D99" s="40"/>
      <c r="E99" s="39"/>
      <c r="F99" s="281"/>
    </row>
  </sheetData>
  <sheetProtection password="CAF1" sheet="1" selectLockedCells="1"/>
  <mergeCells count="20">
    <mergeCell ref="A91:H91"/>
    <mergeCell ref="A92:H92"/>
    <mergeCell ref="A93:H93"/>
    <mergeCell ref="A94:H94"/>
    <mergeCell ref="A98:C98"/>
    <mergeCell ref="E98:G98"/>
    <mergeCell ref="H1:H2"/>
    <mergeCell ref="C5:H5"/>
    <mergeCell ref="A21:G21"/>
    <mergeCell ref="A84:D84"/>
    <mergeCell ref="C6:H6"/>
    <mergeCell ref="C7:H7"/>
    <mergeCell ref="C8:H8"/>
    <mergeCell ref="C9:H9"/>
    <mergeCell ref="C10:H10"/>
    <mergeCell ref="A86:H86"/>
    <mergeCell ref="A87:H87"/>
    <mergeCell ref="A88:H88"/>
    <mergeCell ref="A89:H89"/>
    <mergeCell ref="A90:H90"/>
  </mergeCells>
  <hyperlinks>
    <hyperlink ref="C1" location="'DATA SHEET'!A1" display="HIGHLANDS PRIME, INC." xr:uid="{00000000-0004-0000-2100-000000000000}"/>
    <hyperlink ref="J4" location="'DATA SHEET'!A1" display="Return to Data Sheet" xr:uid="{00000000-0004-0000-2100-000001000000}"/>
  </hyperlinks>
  <printOptions horizontalCentered="1"/>
  <pageMargins left="0.7" right="0.7" top="0.75" bottom="0.5" header="0.3" footer="0.3"/>
  <pageSetup scale="70" orientation="portrait" r:id="rId1"/>
  <headerFooter>
    <oddFooter>&amp;L&amp;8A project of HIGHLANDS PRIME, INC. 
Woodridge Place at Tagaytay Highlands,  Tagaytay Highlands, Tagaytay City
HLURB License To Sell No. 22459&amp;RPage &amp;P of &amp;N</oddFooter>
  </headerFooter>
  <ignoredErrors>
    <ignoredError sqref="D15" unlockedFormula="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389E8F"/>
  </sheetPr>
  <dimension ref="A1:L101"/>
  <sheetViews>
    <sheetView showGridLines="0" zoomScaleNormal="100" workbookViewId="0">
      <selection activeCell="J4" sqref="J4"/>
    </sheetView>
  </sheetViews>
  <sheetFormatPr baseColWidth="10" defaultColWidth="0" defaultRowHeight="12.75" customHeight="1" zeroHeight="1"/>
  <cols>
    <col min="1" max="1" width="12.33203125" style="39" customWidth="1"/>
    <col min="2" max="2" width="10.6640625" style="39" customWidth="1"/>
    <col min="3" max="3" width="23.6640625" style="39" customWidth="1"/>
    <col min="4" max="4" width="13.5" style="40" bestFit="1" customWidth="1"/>
    <col min="5" max="5" width="13.5" style="39" bestFit="1" customWidth="1"/>
    <col min="6" max="6" width="14.83203125" style="39" bestFit="1" customWidth="1"/>
    <col min="7" max="7" width="13.5" style="41" bestFit="1" customWidth="1"/>
    <col min="8" max="8" width="16.5" style="39" bestFit="1" customWidth="1"/>
    <col min="9" max="12" width="9.1640625" style="39" customWidth="1"/>
    <col min="13" max="16384" width="9.1640625" style="39" hidden="1"/>
  </cols>
  <sheetData>
    <row r="1" spans="1:10" ht="12.75" customHeight="1">
      <c r="C1" s="212" t="s">
        <v>35</v>
      </c>
      <c r="H1" s="376" t="s">
        <v>66</v>
      </c>
    </row>
    <row r="2" spans="1:10" ht="14">
      <c r="C2" s="41" t="s">
        <v>207</v>
      </c>
      <c r="H2" s="376"/>
    </row>
    <row r="3" spans="1:10" ht="14">
      <c r="C3" s="41" t="s">
        <v>36</v>
      </c>
    </row>
    <row r="4" spans="1:10" ht="14">
      <c r="J4" s="251" t="s">
        <v>215</v>
      </c>
    </row>
    <row r="5" spans="1:10" ht="14">
      <c r="A5" s="213" t="s">
        <v>0</v>
      </c>
      <c r="B5" s="307"/>
      <c r="C5" s="377" t="str">
        <f>'[11]DATA SHEET'!C7</f>
        <v xml:space="preserve"> </v>
      </c>
      <c r="D5" s="377"/>
      <c r="E5" s="377"/>
      <c r="F5" s="377"/>
      <c r="G5" s="377"/>
      <c r="H5" s="378"/>
    </row>
    <row r="6" spans="1:10" ht="14">
      <c r="A6" s="215" t="s">
        <v>31</v>
      </c>
      <c r="B6" s="216"/>
      <c r="C6" s="379" t="str">
        <f>VLOOKUP('DATA SHEET'!$C$10,' Glenview PL'!C6:G41,1,FALSE)</f>
        <v>GB</v>
      </c>
      <c r="D6" s="379"/>
      <c r="E6" s="379"/>
      <c r="F6" s="379"/>
      <c r="G6" s="379"/>
      <c r="H6" s="390"/>
    </row>
    <row r="7" spans="1:10" ht="14">
      <c r="A7" s="215" t="s">
        <v>37</v>
      </c>
      <c r="B7" s="216"/>
      <c r="C7" s="380">
        <f>VLOOKUP('DATA SHEET'!C10,' Glenview PL'!C6:G41,3,0)</f>
        <v>67.900000000000006</v>
      </c>
      <c r="D7" s="380"/>
      <c r="E7" s="380"/>
      <c r="F7" s="380"/>
      <c r="G7" s="380"/>
      <c r="H7" s="381"/>
    </row>
    <row r="8" spans="1:10" ht="14">
      <c r="A8" s="215" t="s">
        <v>194</v>
      </c>
      <c r="B8" s="216"/>
      <c r="C8" s="391" t="str">
        <f>VLOOKUP('DATA SHEET'!C10,' Glenview PL'!C6:G41,2,0)</f>
        <v>1-Bedroom Terrace Suite</v>
      </c>
      <c r="D8" s="391"/>
      <c r="E8" s="391"/>
      <c r="F8" s="391"/>
      <c r="G8" s="391"/>
      <c r="H8" s="392"/>
      <c r="I8" s="286">
        <v>0.1</v>
      </c>
    </row>
    <row r="9" spans="1:10" ht="14">
      <c r="A9" s="222" t="s">
        <v>294</v>
      </c>
      <c r="B9" s="223"/>
      <c r="C9" s="382">
        <f>VLOOKUP('DATA SHEET'!C10,' Glenview PL'!C6:G41,4,0)</f>
        <v>8851760</v>
      </c>
      <c r="D9" s="382"/>
      <c r="E9" s="382"/>
      <c r="F9" s="382"/>
      <c r="G9" s="382"/>
      <c r="H9" s="383"/>
    </row>
    <row r="10" spans="1:10" ht="14">
      <c r="A10" s="224" t="s">
        <v>33</v>
      </c>
      <c r="B10" s="225"/>
      <c r="C10" s="399" t="str">
        <f>'DATA SHEET'!C25</f>
        <v>6% in 12 months, 7% in 12 months, 8% in 12 months, Lumpsum</v>
      </c>
      <c r="D10" s="399"/>
      <c r="E10" s="399"/>
      <c r="F10" s="399"/>
      <c r="G10" s="399"/>
      <c r="H10" s="400"/>
    </row>
    <row r="11" spans="1:10" ht="14"/>
    <row r="12" spans="1:10" ht="14">
      <c r="A12" s="41" t="s">
        <v>55</v>
      </c>
      <c r="B12" s="41"/>
    </row>
    <row r="13" spans="1:10" ht="14">
      <c r="A13" s="197" t="s">
        <v>295</v>
      </c>
      <c r="D13" s="42">
        <f>(C9-650000)</f>
        <v>8201760</v>
      </c>
      <c r="E13" s="40"/>
      <c r="F13" s="40"/>
      <c r="G13" s="277"/>
    </row>
    <row r="14" spans="1:10" ht="14">
      <c r="A14" s="227" t="s">
        <v>325</v>
      </c>
      <c r="B14" s="228"/>
      <c r="C14" s="306">
        <v>0.01</v>
      </c>
      <c r="D14" s="229">
        <f>IF(C14&lt;=1%,D13*C14,"BEYOND MAX")</f>
        <v>82017.600000000006</v>
      </c>
      <c r="E14" s="294">
        <f>VLOOKUP(C6,' Glenview PL'!C:G,5,0)</f>
        <v>230000</v>
      </c>
      <c r="F14" s="294"/>
      <c r="G14" s="305"/>
      <c r="H14" s="281"/>
      <c r="I14" s="41"/>
    </row>
    <row r="15" spans="1:10" ht="14">
      <c r="A15" s="227" t="s">
        <v>326</v>
      </c>
      <c r="B15" s="228"/>
      <c r="C15" s="196"/>
      <c r="D15" s="87">
        <f>VLOOKUP('DATA SHEET'!C10,' Glenview PL'!$C$6:$G$40,5,0)</f>
        <v>230000</v>
      </c>
      <c r="E15" s="294"/>
      <c r="F15" s="294"/>
      <c r="G15" s="305"/>
      <c r="H15" s="281"/>
      <c r="I15" s="41"/>
    </row>
    <row r="16" spans="1:10" s="280" customFormat="1" ht="15">
      <c r="A16" s="234" t="s">
        <v>311</v>
      </c>
      <c r="B16" s="228"/>
      <c r="C16" s="196"/>
      <c r="D16" s="235">
        <f>+D13-SUM(D14:D15)</f>
        <v>7889742.4000000004</v>
      </c>
      <c r="E16" s="231"/>
      <c r="F16" s="231"/>
      <c r="G16" s="278"/>
      <c r="H16" s="281"/>
      <c r="I16" s="282"/>
    </row>
    <row r="17" spans="1:9" s="280" customFormat="1" ht="15">
      <c r="A17" s="236" t="s">
        <v>285</v>
      </c>
      <c r="B17" s="39"/>
      <c r="C17" s="200">
        <v>0.05</v>
      </c>
      <c r="D17" s="237">
        <f>(D16/1.12)*C17</f>
        <v>352220.64285714284</v>
      </c>
      <c r="E17" s="231"/>
      <c r="F17" s="231"/>
      <c r="G17" s="278"/>
      <c r="H17" s="281"/>
      <c r="I17" s="282"/>
    </row>
    <row r="18" spans="1:9" s="280" customFormat="1" ht="16" thickBot="1">
      <c r="A18" s="198" t="s">
        <v>58</v>
      </c>
      <c r="B18" s="39"/>
      <c r="C18" s="39"/>
      <c r="D18" s="238">
        <f>+SUM(D16:D17)</f>
        <v>8241963.0428571431</v>
      </c>
      <c r="E18" s="231"/>
      <c r="F18" s="231"/>
      <c r="G18" s="278"/>
      <c r="H18" s="281"/>
      <c r="I18" s="282"/>
    </row>
    <row r="19" spans="1:9" ht="15" thickTop="1">
      <c r="D19" s="42"/>
      <c r="E19" s="40"/>
      <c r="F19" s="40"/>
      <c r="G19" s="277"/>
    </row>
    <row r="20" spans="1:9" ht="14">
      <c r="A20" s="239" t="s">
        <v>34</v>
      </c>
      <c r="B20" s="239" t="s">
        <v>286</v>
      </c>
      <c r="C20" s="239" t="s">
        <v>2</v>
      </c>
      <c r="D20" s="239" t="s">
        <v>287</v>
      </c>
      <c r="E20" s="239" t="s">
        <v>310</v>
      </c>
      <c r="F20" s="240" t="s">
        <v>289</v>
      </c>
      <c r="G20" s="241" t="s">
        <v>290</v>
      </c>
      <c r="H20" s="239" t="s">
        <v>291</v>
      </c>
    </row>
    <row r="21" spans="1:9" ht="14">
      <c r="A21" s="385" t="s">
        <v>292</v>
      </c>
      <c r="B21" s="385"/>
      <c r="C21" s="385"/>
      <c r="D21" s="385"/>
      <c r="E21" s="385"/>
      <c r="F21" s="385"/>
      <c r="G21" s="385"/>
      <c r="H21" s="242">
        <f>+D18</f>
        <v>8241963.0428571431</v>
      </c>
    </row>
    <row r="22" spans="1:9" ht="14">
      <c r="A22" s="243">
        <v>0</v>
      </c>
      <c r="B22" s="243"/>
      <c r="C22" s="244">
        <f>'[11]DATA SHEET'!C9</f>
        <v>43781</v>
      </c>
      <c r="D22" s="243" t="s">
        <v>38</v>
      </c>
      <c r="E22" s="289">
        <f>IF(C8="1-Bedroom",50000,100000)</f>
        <v>100000</v>
      </c>
      <c r="F22" s="289"/>
      <c r="G22" s="298">
        <f>+SUM(E22:F22)</f>
        <v>100000</v>
      </c>
      <c r="H22" s="247">
        <f>$D$18-G22</f>
        <v>8141963.0428571431</v>
      </c>
    </row>
    <row r="23" spans="1:9" ht="14">
      <c r="A23" s="243"/>
      <c r="B23" s="248">
        <v>0.06</v>
      </c>
      <c r="C23" s="244" t="s">
        <v>324</v>
      </c>
      <c r="D23" s="243"/>
      <c r="E23" s="289"/>
      <c r="F23" s="289"/>
      <c r="G23" s="298"/>
      <c r="H23" s="247"/>
    </row>
    <row r="24" spans="1:9" ht="14">
      <c r="A24" s="243">
        <v>1</v>
      </c>
      <c r="B24" s="243"/>
      <c r="C24" s="244">
        <f>EDATE(C22,1)</f>
        <v>43811</v>
      </c>
      <c r="D24" s="243" t="s">
        <v>222</v>
      </c>
      <c r="E24" s="290">
        <f>(($D$16*$B$23)-$E$22)/12</f>
        <v>31115.378666666667</v>
      </c>
      <c r="F24" s="290">
        <f>(($D$17*$B$23))/12</f>
        <v>1761.1032142857141</v>
      </c>
      <c r="G24" s="298">
        <f>+SUM(E24:F24)</f>
        <v>32876.481880952379</v>
      </c>
      <c r="H24" s="291">
        <f>H22-G24</f>
        <v>8109086.5609761905</v>
      </c>
    </row>
    <row r="25" spans="1:9" ht="14">
      <c r="A25" s="243">
        <f>+A24+1</f>
        <v>2</v>
      </c>
      <c r="B25" s="243"/>
      <c r="C25" s="244">
        <f t="shared" ref="C25:C62" si="0">EDATE(C24,1)</f>
        <v>43842</v>
      </c>
      <c r="D25" s="243" t="s">
        <v>223</v>
      </c>
      <c r="E25" s="290">
        <f t="shared" ref="E25:E35" si="1">(($D$16*$B$23)-$E$22)/12</f>
        <v>31115.378666666667</v>
      </c>
      <c r="F25" s="290">
        <f t="shared" ref="F25:F35" si="2">(($D$17*$B$23))/12</f>
        <v>1761.1032142857141</v>
      </c>
      <c r="G25" s="298">
        <f t="shared" ref="G25:G62" si="3">+SUM(E25:F25)</f>
        <v>32876.481880952379</v>
      </c>
      <c r="H25" s="291">
        <f>H24-G25</f>
        <v>8076210.0790952379</v>
      </c>
    </row>
    <row r="26" spans="1:9" ht="14">
      <c r="A26" s="243">
        <f t="shared" ref="A26:A62" si="4">+A25+1</f>
        <v>3</v>
      </c>
      <c r="B26" s="243"/>
      <c r="C26" s="244">
        <f t="shared" si="0"/>
        <v>43873</v>
      </c>
      <c r="D26" s="243" t="s">
        <v>224</v>
      </c>
      <c r="E26" s="290">
        <f t="shared" si="1"/>
        <v>31115.378666666667</v>
      </c>
      <c r="F26" s="290">
        <f t="shared" si="2"/>
        <v>1761.1032142857141</v>
      </c>
      <c r="G26" s="298">
        <f t="shared" si="3"/>
        <v>32876.481880952379</v>
      </c>
      <c r="H26" s="291">
        <f t="shared" ref="H26:H62" si="5">H25-G26</f>
        <v>8043333.5972142853</v>
      </c>
    </row>
    <row r="27" spans="1:9" ht="14">
      <c r="A27" s="243">
        <f t="shared" si="4"/>
        <v>4</v>
      </c>
      <c r="B27" s="243"/>
      <c r="C27" s="244">
        <f t="shared" si="0"/>
        <v>43902</v>
      </c>
      <c r="D27" s="243" t="s">
        <v>225</v>
      </c>
      <c r="E27" s="290">
        <f t="shared" si="1"/>
        <v>31115.378666666667</v>
      </c>
      <c r="F27" s="290">
        <f t="shared" si="2"/>
        <v>1761.1032142857141</v>
      </c>
      <c r="G27" s="298">
        <f t="shared" si="3"/>
        <v>32876.481880952379</v>
      </c>
      <c r="H27" s="291">
        <f t="shared" si="5"/>
        <v>8010457.1153333327</v>
      </c>
    </row>
    <row r="28" spans="1:9" ht="14">
      <c r="A28" s="243">
        <f t="shared" si="4"/>
        <v>5</v>
      </c>
      <c r="B28" s="243"/>
      <c r="C28" s="244">
        <f t="shared" si="0"/>
        <v>43933</v>
      </c>
      <c r="D28" s="243" t="s">
        <v>226</v>
      </c>
      <c r="E28" s="290">
        <f t="shared" si="1"/>
        <v>31115.378666666667</v>
      </c>
      <c r="F28" s="290">
        <f t="shared" si="2"/>
        <v>1761.1032142857141</v>
      </c>
      <c r="G28" s="298">
        <f t="shared" si="3"/>
        <v>32876.481880952379</v>
      </c>
      <c r="H28" s="291">
        <f t="shared" si="5"/>
        <v>7977580.6334523801</v>
      </c>
    </row>
    <row r="29" spans="1:9" ht="14">
      <c r="A29" s="243">
        <f t="shared" si="4"/>
        <v>6</v>
      </c>
      <c r="B29" s="243"/>
      <c r="C29" s="244">
        <f t="shared" si="0"/>
        <v>43963</v>
      </c>
      <c r="D29" s="243" t="s">
        <v>227</v>
      </c>
      <c r="E29" s="290">
        <f t="shared" si="1"/>
        <v>31115.378666666667</v>
      </c>
      <c r="F29" s="290">
        <f t="shared" si="2"/>
        <v>1761.1032142857141</v>
      </c>
      <c r="G29" s="298">
        <f t="shared" si="3"/>
        <v>32876.481880952379</v>
      </c>
      <c r="H29" s="291">
        <f t="shared" si="5"/>
        <v>7944704.1515714275</v>
      </c>
    </row>
    <row r="30" spans="1:9" ht="14">
      <c r="A30" s="243">
        <f t="shared" si="4"/>
        <v>7</v>
      </c>
      <c r="B30" s="243"/>
      <c r="C30" s="244">
        <f t="shared" si="0"/>
        <v>43994</v>
      </c>
      <c r="D30" s="243" t="s">
        <v>228</v>
      </c>
      <c r="E30" s="290">
        <f t="shared" si="1"/>
        <v>31115.378666666667</v>
      </c>
      <c r="F30" s="290">
        <f t="shared" si="2"/>
        <v>1761.1032142857141</v>
      </c>
      <c r="G30" s="298">
        <f t="shared" si="3"/>
        <v>32876.481880952379</v>
      </c>
      <c r="H30" s="291">
        <f t="shared" si="5"/>
        <v>7911827.6696904749</v>
      </c>
    </row>
    <row r="31" spans="1:9" ht="14">
      <c r="A31" s="243">
        <f t="shared" si="4"/>
        <v>8</v>
      </c>
      <c r="B31" s="243"/>
      <c r="C31" s="244">
        <f t="shared" si="0"/>
        <v>44024</v>
      </c>
      <c r="D31" s="243" t="s">
        <v>229</v>
      </c>
      <c r="E31" s="290">
        <f t="shared" si="1"/>
        <v>31115.378666666667</v>
      </c>
      <c r="F31" s="290">
        <f t="shared" si="2"/>
        <v>1761.1032142857141</v>
      </c>
      <c r="G31" s="298">
        <f t="shared" si="3"/>
        <v>32876.481880952379</v>
      </c>
      <c r="H31" s="291">
        <f t="shared" si="5"/>
        <v>7878951.1878095223</v>
      </c>
    </row>
    <row r="32" spans="1:9" ht="14">
      <c r="A32" s="243">
        <f t="shared" si="4"/>
        <v>9</v>
      </c>
      <c r="B32" s="243"/>
      <c r="C32" s="244">
        <f t="shared" si="0"/>
        <v>44055</v>
      </c>
      <c r="D32" s="243" t="s">
        <v>230</v>
      </c>
      <c r="E32" s="290">
        <f t="shared" si="1"/>
        <v>31115.378666666667</v>
      </c>
      <c r="F32" s="290">
        <f t="shared" si="2"/>
        <v>1761.1032142857141</v>
      </c>
      <c r="G32" s="298">
        <f t="shared" si="3"/>
        <v>32876.481880952379</v>
      </c>
      <c r="H32" s="291">
        <f t="shared" si="5"/>
        <v>7846074.7059285697</v>
      </c>
    </row>
    <row r="33" spans="1:8" ht="14">
      <c r="A33" s="243">
        <f t="shared" si="4"/>
        <v>10</v>
      </c>
      <c r="B33" s="243"/>
      <c r="C33" s="244">
        <f t="shared" si="0"/>
        <v>44086</v>
      </c>
      <c r="D33" s="243" t="s">
        <v>231</v>
      </c>
      <c r="E33" s="290">
        <f t="shared" si="1"/>
        <v>31115.378666666667</v>
      </c>
      <c r="F33" s="290">
        <f t="shared" si="2"/>
        <v>1761.1032142857141</v>
      </c>
      <c r="G33" s="298">
        <f t="shared" si="3"/>
        <v>32876.481880952379</v>
      </c>
      <c r="H33" s="291">
        <f t="shared" si="5"/>
        <v>7813198.2240476171</v>
      </c>
    </row>
    <row r="34" spans="1:8" ht="14">
      <c r="A34" s="243">
        <f t="shared" si="4"/>
        <v>11</v>
      </c>
      <c r="B34" s="243"/>
      <c r="C34" s="244">
        <f t="shared" si="0"/>
        <v>44116</v>
      </c>
      <c r="D34" s="243" t="s">
        <v>232</v>
      </c>
      <c r="E34" s="290">
        <f t="shared" si="1"/>
        <v>31115.378666666667</v>
      </c>
      <c r="F34" s="290">
        <f t="shared" si="2"/>
        <v>1761.1032142857141</v>
      </c>
      <c r="G34" s="298">
        <f t="shared" si="3"/>
        <v>32876.481880952379</v>
      </c>
      <c r="H34" s="291">
        <f t="shared" si="5"/>
        <v>7780321.7421666645</v>
      </c>
    </row>
    <row r="35" spans="1:8" ht="14">
      <c r="A35" s="243">
        <f t="shared" si="4"/>
        <v>12</v>
      </c>
      <c r="B35" s="243"/>
      <c r="C35" s="244">
        <f t="shared" si="0"/>
        <v>44147</v>
      </c>
      <c r="D35" s="243" t="s">
        <v>233</v>
      </c>
      <c r="E35" s="290">
        <f t="shared" si="1"/>
        <v>31115.378666666667</v>
      </c>
      <c r="F35" s="290">
        <f t="shared" si="2"/>
        <v>1761.1032142857141</v>
      </c>
      <c r="G35" s="298">
        <f t="shared" si="3"/>
        <v>32876.481880952379</v>
      </c>
      <c r="H35" s="291">
        <f t="shared" si="5"/>
        <v>7747445.2602857118</v>
      </c>
    </row>
    <row r="36" spans="1:8" ht="14">
      <c r="A36" s="243"/>
      <c r="B36" s="248">
        <v>7.0000000000000007E-2</v>
      </c>
      <c r="C36" s="244" t="s">
        <v>324</v>
      </c>
      <c r="D36" s="243"/>
      <c r="E36" s="290"/>
      <c r="F36" s="290"/>
      <c r="G36" s="298"/>
      <c r="H36" s="291"/>
    </row>
    <row r="37" spans="1:8" ht="14">
      <c r="A37" s="243">
        <f>+A35+1</f>
        <v>13</v>
      </c>
      <c r="B37" s="243"/>
      <c r="C37" s="244">
        <f>EDATE(C35,1)</f>
        <v>44177</v>
      </c>
      <c r="D37" s="243" t="s">
        <v>234</v>
      </c>
      <c r="E37" s="290">
        <f>($D$16*$B$36)/12</f>
        <v>46023.49733333334</v>
      </c>
      <c r="F37" s="290">
        <f>(($D$17*$B$36))/12</f>
        <v>2054.6204166666666</v>
      </c>
      <c r="G37" s="298">
        <f t="shared" si="3"/>
        <v>48078.117750000005</v>
      </c>
      <c r="H37" s="291">
        <f>H35-G37</f>
        <v>7699367.1425357116</v>
      </c>
    </row>
    <row r="38" spans="1:8" ht="14">
      <c r="A38" s="243">
        <f t="shared" si="4"/>
        <v>14</v>
      </c>
      <c r="B38" s="243"/>
      <c r="C38" s="244">
        <f t="shared" si="0"/>
        <v>44208</v>
      </c>
      <c r="D38" s="243" t="s">
        <v>235</v>
      </c>
      <c r="E38" s="290">
        <f t="shared" ref="E38:E48" si="6">($D$16*$B$36)/12</f>
        <v>46023.49733333334</v>
      </c>
      <c r="F38" s="290">
        <f t="shared" ref="F38:F48" si="7">(($D$17*$B$36))/12</f>
        <v>2054.6204166666666</v>
      </c>
      <c r="G38" s="298">
        <f t="shared" si="3"/>
        <v>48078.117750000005</v>
      </c>
      <c r="H38" s="291">
        <f t="shared" si="5"/>
        <v>7651289.0247857114</v>
      </c>
    </row>
    <row r="39" spans="1:8" ht="14">
      <c r="A39" s="243">
        <f t="shared" si="4"/>
        <v>15</v>
      </c>
      <c r="B39" s="243"/>
      <c r="C39" s="244">
        <f t="shared" si="0"/>
        <v>44239</v>
      </c>
      <c r="D39" s="243" t="s">
        <v>236</v>
      </c>
      <c r="E39" s="290">
        <f t="shared" si="6"/>
        <v>46023.49733333334</v>
      </c>
      <c r="F39" s="290">
        <f t="shared" si="7"/>
        <v>2054.6204166666666</v>
      </c>
      <c r="G39" s="298">
        <f t="shared" si="3"/>
        <v>48078.117750000005</v>
      </c>
      <c r="H39" s="291">
        <f t="shared" si="5"/>
        <v>7603210.9070357112</v>
      </c>
    </row>
    <row r="40" spans="1:8" ht="14">
      <c r="A40" s="243">
        <f t="shared" si="4"/>
        <v>16</v>
      </c>
      <c r="B40" s="243"/>
      <c r="C40" s="244">
        <f t="shared" si="0"/>
        <v>44267</v>
      </c>
      <c r="D40" s="243" t="s">
        <v>237</v>
      </c>
      <c r="E40" s="290">
        <f t="shared" si="6"/>
        <v>46023.49733333334</v>
      </c>
      <c r="F40" s="290">
        <f t="shared" si="7"/>
        <v>2054.6204166666666</v>
      </c>
      <c r="G40" s="298">
        <f t="shared" si="3"/>
        <v>48078.117750000005</v>
      </c>
      <c r="H40" s="291">
        <f t="shared" si="5"/>
        <v>7555132.789285711</v>
      </c>
    </row>
    <row r="41" spans="1:8" ht="14">
      <c r="A41" s="243">
        <f t="shared" si="4"/>
        <v>17</v>
      </c>
      <c r="B41" s="243"/>
      <c r="C41" s="244">
        <f t="shared" si="0"/>
        <v>44298</v>
      </c>
      <c r="D41" s="243" t="s">
        <v>238</v>
      </c>
      <c r="E41" s="290">
        <f t="shared" si="6"/>
        <v>46023.49733333334</v>
      </c>
      <c r="F41" s="290">
        <f t="shared" si="7"/>
        <v>2054.6204166666666</v>
      </c>
      <c r="G41" s="298">
        <f t="shared" si="3"/>
        <v>48078.117750000005</v>
      </c>
      <c r="H41" s="291">
        <f t="shared" si="5"/>
        <v>7507054.6715357108</v>
      </c>
    </row>
    <row r="42" spans="1:8" ht="14">
      <c r="A42" s="243">
        <f t="shared" si="4"/>
        <v>18</v>
      </c>
      <c r="B42" s="243"/>
      <c r="C42" s="244">
        <f t="shared" si="0"/>
        <v>44328</v>
      </c>
      <c r="D42" s="243" t="s">
        <v>239</v>
      </c>
      <c r="E42" s="290">
        <f t="shared" si="6"/>
        <v>46023.49733333334</v>
      </c>
      <c r="F42" s="290">
        <f t="shared" si="7"/>
        <v>2054.6204166666666</v>
      </c>
      <c r="G42" s="298">
        <f t="shared" si="3"/>
        <v>48078.117750000005</v>
      </c>
      <c r="H42" s="291">
        <f t="shared" si="5"/>
        <v>7458976.5537857106</v>
      </c>
    </row>
    <row r="43" spans="1:8" ht="14">
      <c r="A43" s="243">
        <f t="shared" si="4"/>
        <v>19</v>
      </c>
      <c r="B43" s="243"/>
      <c r="C43" s="244">
        <f t="shared" si="0"/>
        <v>44359</v>
      </c>
      <c r="D43" s="243" t="s">
        <v>240</v>
      </c>
      <c r="E43" s="290">
        <f t="shared" si="6"/>
        <v>46023.49733333334</v>
      </c>
      <c r="F43" s="290">
        <f t="shared" si="7"/>
        <v>2054.6204166666666</v>
      </c>
      <c r="G43" s="298">
        <f t="shared" si="3"/>
        <v>48078.117750000005</v>
      </c>
      <c r="H43" s="291">
        <f t="shared" si="5"/>
        <v>7410898.4360357104</v>
      </c>
    </row>
    <row r="44" spans="1:8" ht="14">
      <c r="A44" s="243">
        <f t="shared" si="4"/>
        <v>20</v>
      </c>
      <c r="B44" s="243"/>
      <c r="C44" s="244">
        <f t="shared" si="0"/>
        <v>44389</v>
      </c>
      <c r="D44" s="243" t="s">
        <v>241</v>
      </c>
      <c r="E44" s="290">
        <f t="shared" si="6"/>
        <v>46023.49733333334</v>
      </c>
      <c r="F44" s="290">
        <f t="shared" si="7"/>
        <v>2054.6204166666666</v>
      </c>
      <c r="G44" s="298">
        <f t="shared" si="3"/>
        <v>48078.117750000005</v>
      </c>
      <c r="H44" s="291">
        <f t="shared" si="5"/>
        <v>7362820.3182857102</v>
      </c>
    </row>
    <row r="45" spans="1:8" ht="14">
      <c r="A45" s="243">
        <f t="shared" si="4"/>
        <v>21</v>
      </c>
      <c r="B45" s="243"/>
      <c r="C45" s="244">
        <f t="shared" si="0"/>
        <v>44420</v>
      </c>
      <c r="D45" s="243" t="s">
        <v>242</v>
      </c>
      <c r="E45" s="290">
        <f t="shared" si="6"/>
        <v>46023.49733333334</v>
      </c>
      <c r="F45" s="290">
        <f t="shared" si="7"/>
        <v>2054.6204166666666</v>
      </c>
      <c r="G45" s="298">
        <f t="shared" si="3"/>
        <v>48078.117750000005</v>
      </c>
      <c r="H45" s="291">
        <f t="shared" si="5"/>
        <v>7314742.20053571</v>
      </c>
    </row>
    <row r="46" spans="1:8" ht="14">
      <c r="A46" s="243">
        <f t="shared" si="4"/>
        <v>22</v>
      </c>
      <c r="B46" s="243"/>
      <c r="C46" s="244">
        <f t="shared" si="0"/>
        <v>44451</v>
      </c>
      <c r="D46" s="243" t="s">
        <v>243</v>
      </c>
      <c r="E46" s="290">
        <f t="shared" si="6"/>
        <v>46023.49733333334</v>
      </c>
      <c r="F46" s="290">
        <f t="shared" si="7"/>
        <v>2054.6204166666666</v>
      </c>
      <c r="G46" s="298">
        <f t="shared" si="3"/>
        <v>48078.117750000005</v>
      </c>
      <c r="H46" s="291">
        <f t="shared" si="5"/>
        <v>7266664.0827857098</v>
      </c>
    </row>
    <row r="47" spans="1:8" ht="14">
      <c r="A47" s="243">
        <f t="shared" si="4"/>
        <v>23</v>
      </c>
      <c r="B47" s="243"/>
      <c r="C47" s="244">
        <f t="shared" si="0"/>
        <v>44481</v>
      </c>
      <c r="D47" s="243" t="s">
        <v>244</v>
      </c>
      <c r="E47" s="290">
        <f t="shared" si="6"/>
        <v>46023.49733333334</v>
      </c>
      <c r="F47" s="290">
        <f t="shared" si="7"/>
        <v>2054.6204166666666</v>
      </c>
      <c r="G47" s="298">
        <f t="shared" si="3"/>
        <v>48078.117750000005</v>
      </c>
      <c r="H47" s="291">
        <f t="shared" si="5"/>
        <v>7218585.9650357096</v>
      </c>
    </row>
    <row r="48" spans="1:8" ht="14">
      <c r="A48" s="243">
        <f t="shared" si="4"/>
        <v>24</v>
      </c>
      <c r="B48" s="243"/>
      <c r="C48" s="244">
        <f t="shared" si="0"/>
        <v>44512</v>
      </c>
      <c r="D48" s="243" t="s">
        <v>245</v>
      </c>
      <c r="E48" s="290">
        <f t="shared" si="6"/>
        <v>46023.49733333334</v>
      </c>
      <c r="F48" s="290">
        <f t="shared" si="7"/>
        <v>2054.6204166666666</v>
      </c>
      <c r="G48" s="298">
        <f t="shared" si="3"/>
        <v>48078.117750000005</v>
      </c>
      <c r="H48" s="291">
        <f t="shared" si="5"/>
        <v>7170507.8472857093</v>
      </c>
    </row>
    <row r="49" spans="1:8" ht="14">
      <c r="A49" s="243"/>
      <c r="B49" s="248">
        <v>0.08</v>
      </c>
      <c r="C49" s="244" t="s">
        <v>324</v>
      </c>
      <c r="D49" s="243"/>
      <c r="E49" s="290"/>
      <c r="F49" s="290"/>
      <c r="G49" s="298"/>
      <c r="H49" s="291"/>
    </row>
    <row r="50" spans="1:8" ht="14">
      <c r="A50" s="243">
        <f>+A48+1</f>
        <v>25</v>
      </c>
      <c r="B50" s="243"/>
      <c r="C50" s="244">
        <f>EDATE(C48,1)</f>
        <v>44542</v>
      </c>
      <c r="D50" s="243" t="s">
        <v>246</v>
      </c>
      <c r="E50" s="290">
        <f>($D$16*$B$49)/12</f>
        <v>52598.282666666666</v>
      </c>
      <c r="F50" s="290">
        <f>(($D$17*$B$49))/12</f>
        <v>2348.137619047619</v>
      </c>
      <c r="G50" s="298">
        <f t="shared" si="3"/>
        <v>54946.420285714288</v>
      </c>
      <c r="H50" s="291">
        <f>H48-G50</f>
        <v>7115561.4269999955</v>
      </c>
    </row>
    <row r="51" spans="1:8" ht="14">
      <c r="A51" s="243">
        <f t="shared" si="4"/>
        <v>26</v>
      </c>
      <c r="B51" s="243"/>
      <c r="C51" s="244">
        <f t="shared" si="0"/>
        <v>44573</v>
      </c>
      <c r="D51" s="243" t="s">
        <v>247</v>
      </c>
      <c r="E51" s="290">
        <f t="shared" ref="E51:E61" si="8">($D$16*$B$49)/12</f>
        <v>52598.282666666666</v>
      </c>
      <c r="F51" s="290">
        <f t="shared" ref="F51:F61" si="9">(($D$17*$B$49))/12</f>
        <v>2348.137619047619</v>
      </c>
      <c r="G51" s="298">
        <f t="shared" si="3"/>
        <v>54946.420285714288</v>
      </c>
      <c r="H51" s="291">
        <f t="shared" si="5"/>
        <v>7060615.0067142816</v>
      </c>
    </row>
    <row r="52" spans="1:8" ht="14">
      <c r="A52" s="243">
        <f t="shared" si="4"/>
        <v>27</v>
      </c>
      <c r="B52" s="243"/>
      <c r="C52" s="244">
        <f t="shared" si="0"/>
        <v>44604</v>
      </c>
      <c r="D52" s="243" t="s">
        <v>248</v>
      </c>
      <c r="E52" s="290">
        <f t="shared" si="8"/>
        <v>52598.282666666666</v>
      </c>
      <c r="F52" s="290">
        <f t="shared" si="9"/>
        <v>2348.137619047619</v>
      </c>
      <c r="G52" s="298">
        <f t="shared" si="3"/>
        <v>54946.420285714288</v>
      </c>
      <c r="H52" s="291">
        <f t="shared" si="5"/>
        <v>7005668.5864285678</v>
      </c>
    </row>
    <row r="53" spans="1:8" ht="14">
      <c r="A53" s="243">
        <f t="shared" si="4"/>
        <v>28</v>
      </c>
      <c r="B53" s="243"/>
      <c r="C53" s="244">
        <f t="shared" si="0"/>
        <v>44632</v>
      </c>
      <c r="D53" s="243" t="s">
        <v>249</v>
      </c>
      <c r="E53" s="290">
        <f t="shared" si="8"/>
        <v>52598.282666666666</v>
      </c>
      <c r="F53" s="290">
        <f t="shared" si="9"/>
        <v>2348.137619047619</v>
      </c>
      <c r="G53" s="298">
        <f t="shared" si="3"/>
        <v>54946.420285714288</v>
      </c>
      <c r="H53" s="291">
        <f t="shared" si="5"/>
        <v>6950722.1661428539</v>
      </c>
    </row>
    <row r="54" spans="1:8" ht="14">
      <c r="A54" s="243">
        <f t="shared" si="4"/>
        <v>29</v>
      </c>
      <c r="B54" s="243"/>
      <c r="C54" s="244">
        <f t="shared" si="0"/>
        <v>44663</v>
      </c>
      <c r="D54" s="243" t="s">
        <v>250</v>
      </c>
      <c r="E54" s="290">
        <f t="shared" si="8"/>
        <v>52598.282666666666</v>
      </c>
      <c r="F54" s="290">
        <f t="shared" si="9"/>
        <v>2348.137619047619</v>
      </c>
      <c r="G54" s="298">
        <f t="shared" si="3"/>
        <v>54946.420285714288</v>
      </c>
      <c r="H54" s="291">
        <f t="shared" si="5"/>
        <v>6895775.74585714</v>
      </c>
    </row>
    <row r="55" spans="1:8" ht="14">
      <c r="A55" s="243">
        <f t="shared" si="4"/>
        <v>30</v>
      </c>
      <c r="B55" s="243"/>
      <c r="C55" s="244">
        <f t="shared" si="0"/>
        <v>44693</v>
      </c>
      <c r="D55" s="243" t="s">
        <v>251</v>
      </c>
      <c r="E55" s="290">
        <f t="shared" si="8"/>
        <v>52598.282666666666</v>
      </c>
      <c r="F55" s="290">
        <f t="shared" si="9"/>
        <v>2348.137619047619</v>
      </c>
      <c r="G55" s="298">
        <f t="shared" si="3"/>
        <v>54946.420285714288</v>
      </c>
      <c r="H55" s="291">
        <f t="shared" si="5"/>
        <v>6840829.3255714262</v>
      </c>
    </row>
    <row r="56" spans="1:8" ht="14">
      <c r="A56" s="243">
        <f t="shared" si="4"/>
        <v>31</v>
      </c>
      <c r="B56" s="243"/>
      <c r="C56" s="244">
        <f t="shared" si="0"/>
        <v>44724</v>
      </c>
      <c r="D56" s="243" t="s">
        <v>252</v>
      </c>
      <c r="E56" s="290">
        <f t="shared" si="8"/>
        <v>52598.282666666666</v>
      </c>
      <c r="F56" s="290">
        <f t="shared" si="9"/>
        <v>2348.137619047619</v>
      </c>
      <c r="G56" s="298">
        <f t="shared" si="3"/>
        <v>54946.420285714288</v>
      </c>
      <c r="H56" s="291">
        <f t="shared" si="5"/>
        <v>6785882.9052857123</v>
      </c>
    </row>
    <row r="57" spans="1:8" ht="14">
      <c r="A57" s="243">
        <f t="shared" si="4"/>
        <v>32</v>
      </c>
      <c r="B57" s="243"/>
      <c r="C57" s="244">
        <f t="shared" si="0"/>
        <v>44754</v>
      </c>
      <c r="D57" s="243" t="s">
        <v>253</v>
      </c>
      <c r="E57" s="290">
        <f t="shared" si="8"/>
        <v>52598.282666666666</v>
      </c>
      <c r="F57" s="290">
        <f t="shared" si="9"/>
        <v>2348.137619047619</v>
      </c>
      <c r="G57" s="298">
        <f t="shared" si="3"/>
        <v>54946.420285714288</v>
      </c>
      <c r="H57" s="291">
        <f t="shared" si="5"/>
        <v>6730936.4849999985</v>
      </c>
    </row>
    <row r="58" spans="1:8" ht="14">
      <c r="A58" s="243">
        <f t="shared" si="4"/>
        <v>33</v>
      </c>
      <c r="B58" s="243"/>
      <c r="C58" s="244">
        <f t="shared" si="0"/>
        <v>44785</v>
      </c>
      <c r="D58" s="243" t="s">
        <v>254</v>
      </c>
      <c r="E58" s="290">
        <f t="shared" si="8"/>
        <v>52598.282666666666</v>
      </c>
      <c r="F58" s="290">
        <f t="shared" si="9"/>
        <v>2348.137619047619</v>
      </c>
      <c r="G58" s="298">
        <f t="shared" si="3"/>
        <v>54946.420285714288</v>
      </c>
      <c r="H58" s="291">
        <f t="shared" si="5"/>
        <v>6675990.0647142846</v>
      </c>
    </row>
    <row r="59" spans="1:8" ht="14">
      <c r="A59" s="243">
        <f t="shared" si="4"/>
        <v>34</v>
      </c>
      <c r="B59" s="243"/>
      <c r="C59" s="244">
        <f t="shared" si="0"/>
        <v>44816</v>
      </c>
      <c r="D59" s="243" t="s">
        <v>255</v>
      </c>
      <c r="E59" s="290">
        <f t="shared" si="8"/>
        <v>52598.282666666666</v>
      </c>
      <c r="F59" s="290">
        <f t="shared" si="9"/>
        <v>2348.137619047619</v>
      </c>
      <c r="G59" s="298">
        <f t="shared" si="3"/>
        <v>54946.420285714288</v>
      </c>
      <c r="H59" s="291">
        <f t="shared" si="5"/>
        <v>6621043.6444285708</v>
      </c>
    </row>
    <row r="60" spans="1:8" ht="14">
      <c r="A60" s="243">
        <f t="shared" si="4"/>
        <v>35</v>
      </c>
      <c r="B60" s="243"/>
      <c r="C60" s="244">
        <f t="shared" si="0"/>
        <v>44846</v>
      </c>
      <c r="D60" s="243" t="s">
        <v>256</v>
      </c>
      <c r="E60" s="290">
        <f t="shared" si="8"/>
        <v>52598.282666666666</v>
      </c>
      <c r="F60" s="290">
        <f t="shared" si="9"/>
        <v>2348.137619047619</v>
      </c>
      <c r="G60" s="298">
        <f t="shared" si="3"/>
        <v>54946.420285714288</v>
      </c>
      <c r="H60" s="291">
        <f t="shared" si="5"/>
        <v>6566097.2241428569</v>
      </c>
    </row>
    <row r="61" spans="1:8" ht="14">
      <c r="A61" s="243">
        <f t="shared" si="4"/>
        <v>36</v>
      </c>
      <c r="B61" s="243"/>
      <c r="C61" s="244">
        <f t="shared" si="0"/>
        <v>44877</v>
      </c>
      <c r="D61" s="243" t="s">
        <v>257</v>
      </c>
      <c r="E61" s="290">
        <f t="shared" si="8"/>
        <v>52598.282666666666</v>
      </c>
      <c r="F61" s="290">
        <f t="shared" si="9"/>
        <v>2348.137619047619</v>
      </c>
      <c r="G61" s="298">
        <f t="shared" si="3"/>
        <v>54946.420285714288</v>
      </c>
      <c r="H61" s="291">
        <f t="shared" si="5"/>
        <v>6511150.803857143</v>
      </c>
    </row>
    <row r="62" spans="1:8" ht="14">
      <c r="A62" s="243">
        <f t="shared" si="4"/>
        <v>37</v>
      </c>
      <c r="B62" s="243"/>
      <c r="C62" s="244">
        <f t="shared" si="0"/>
        <v>44907</v>
      </c>
      <c r="D62" s="243" t="s">
        <v>196</v>
      </c>
      <c r="E62" s="290">
        <f>D16-SUM($E$22:$E$61)</f>
        <v>6232896.4960000003</v>
      </c>
      <c r="F62" s="290">
        <f>D17-SUM($F$22:$F$61)</f>
        <v>278254.30785714288</v>
      </c>
      <c r="G62" s="298">
        <f t="shared" si="3"/>
        <v>6511150.803857143</v>
      </c>
      <c r="H62" s="291">
        <f t="shared" si="5"/>
        <v>0</v>
      </c>
    </row>
    <row r="63" spans="1:8" ht="14">
      <c r="A63" s="384" t="s">
        <v>16</v>
      </c>
      <c r="B63" s="384"/>
      <c r="C63" s="384"/>
      <c r="D63" s="384"/>
      <c r="E63" s="249">
        <f>SUM(E22:E62)</f>
        <v>7889742.4000000004</v>
      </c>
      <c r="F63" s="249">
        <f>SUM(F22:F62)</f>
        <v>352220.64285714284</v>
      </c>
      <c r="G63" s="249">
        <f>SUM(G22:G62)</f>
        <v>8241963.0428571431</v>
      </c>
      <c r="H63" s="279"/>
    </row>
    <row r="64" spans="1:8" s="197" customFormat="1" ht="14">
      <c r="C64" s="206"/>
      <c r="D64" s="207"/>
      <c r="E64" s="208"/>
      <c r="F64" s="208"/>
      <c r="G64" s="208"/>
    </row>
    <row r="65" spans="1:8" s="197" customFormat="1" ht="14">
      <c r="A65" s="374" t="s">
        <v>313</v>
      </c>
      <c r="B65" s="374"/>
      <c r="C65" s="374"/>
      <c r="D65" s="374"/>
      <c r="E65" s="374"/>
      <c r="F65" s="374"/>
      <c r="G65" s="374"/>
      <c r="H65" s="374"/>
    </row>
    <row r="66" spans="1:8" s="197" customFormat="1" ht="29.25" customHeight="1">
      <c r="A66" s="388" t="s">
        <v>314</v>
      </c>
      <c r="B66" s="388"/>
      <c r="C66" s="388"/>
      <c r="D66" s="388"/>
      <c r="E66" s="388"/>
      <c r="F66" s="388"/>
      <c r="G66" s="388"/>
      <c r="H66" s="388"/>
    </row>
    <row r="67" spans="1:8" s="197" customFormat="1" ht="16.5" customHeight="1">
      <c r="A67" s="374" t="s">
        <v>315</v>
      </c>
      <c r="B67" s="374"/>
      <c r="C67" s="374"/>
      <c r="D67" s="374"/>
      <c r="E67" s="374"/>
      <c r="F67" s="374"/>
      <c r="G67" s="374"/>
      <c r="H67" s="374"/>
    </row>
    <row r="68" spans="1:8" s="197" customFormat="1" ht="16.5" customHeight="1">
      <c r="A68" s="374" t="s">
        <v>316</v>
      </c>
      <c r="B68" s="374"/>
      <c r="C68" s="374"/>
      <c r="D68" s="374"/>
      <c r="E68" s="374"/>
      <c r="F68" s="374"/>
      <c r="G68" s="374"/>
      <c r="H68" s="374"/>
    </row>
    <row r="69" spans="1:8" s="197" customFormat="1" ht="16.5" customHeight="1">
      <c r="A69" s="374" t="s">
        <v>317</v>
      </c>
      <c r="B69" s="374"/>
      <c r="C69" s="374"/>
      <c r="D69" s="374"/>
      <c r="E69" s="374"/>
      <c r="F69" s="374"/>
      <c r="G69" s="374"/>
      <c r="H69" s="374"/>
    </row>
    <row r="70" spans="1:8" s="197" customFormat="1" ht="106.5" customHeight="1">
      <c r="A70" s="374" t="s">
        <v>318</v>
      </c>
      <c r="B70" s="374"/>
      <c r="C70" s="374"/>
      <c r="D70" s="374"/>
      <c r="E70" s="374"/>
      <c r="F70" s="374"/>
      <c r="G70" s="374"/>
      <c r="H70" s="374"/>
    </row>
    <row r="71" spans="1:8" s="197" customFormat="1" ht="43.5" customHeight="1">
      <c r="A71" s="374" t="s">
        <v>319</v>
      </c>
      <c r="B71" s="374"/>
      <c r="C71" s="374"/>
      <c r="D71" s="374"/>
      <c r="E71" s="374"/>
      <c r="F71" s="374"/>
      <c r="G71" s="374"/>
      <c r="H71" s="374"/>
    </row>
    <row r="72" spans="1:8" s="197" customFormat="1" ht="21" customHeight="1">
      <c r="A72" s="374" t="s">
        <v>320</v>
      </c>
      <c r="B72" s="374"/>
      <c r="C72" s="374"/>
      <c r="D72" s="374"/>
      <c r="E72" s="374"/>
      <c r="F72" s="374"/>
      <c r="G72" s="374"/>
      <c r="H72" s="374"/>
    </row>
    <row r="73" spans="1:8" s="197" customFormat="1" ht="14">
      <c r="A73" s="374"/>
      <c r="B73" s="374"/>
      <c r="C73" s="374"/>
      <c r="D73" s="374"/>
      <c r="E73" s="374"/>
      <c r="F73" s="374"/>
      <c r="G73" s="374"/>
      <c r="H73" s="374"/>
    </row>
    <row r="74" spans="1:8" s="197" customFormat="1" ht="14">
      <c r="A74" s="197" t="s">
        <v>17</v>
      </c>
      <c r="D74" s="209"/>
      <c r="G74" s="198"/>
    </row>
    <row r="75" spans="1:8" s="197" customFormat="1" ht="14">
      <c r="D75" s="209"/>
      <c r="G75" s="198"/>
    </row>
    <row r="76" spans="1:8" s="197" customFormat="1" ht="15" customHeight="1">
      <c r="A76" s="210"/>
      <c r="B76" s="210"/>
      <c r="C76" s="210"/>
      <c r="D76" s="209"/>
      <c r="E76" s="210"/>
      <c r="F76" s="210"/>
      <c r="G76" s="211"/>
    </row>
    <row r="77" spans="1:8" s="197" customFormat="1" ht="14">
      <c r="A77" s="375" t="s">
        <v>293</v>
      </c>
      <c r="B77" s="375"/>
      <c r="C77" s="375"/>
      <c r="D77" s="209"/>
      <c r="E77" s="375" t="s">
        <v>18</v>
      </c>
      <c r="F77" s="375"/>
      <c r="G77" s="375"/>
    </row>
    <row r="78" spans="1:8" s="280" customFormat="1" ht="15">
      <c r="A78" s="39"/>
      <c r="B78" s="39"/>
      <c r="C78" s="39"/>
      <c r="D78" s="40"/>
      <c r="E78" s="39"/>
      <c r="F78" s="281"/>
    </row>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password="CAF1" sheet="1" selectLockedCells="1"/>
  <mergeCells count="20">
    <mergeCell ref="A67:H67"/>
    <mergeCell ref="H1:H2"/>
    <mergeCell ref="C5:H5"/>
    <mergeCell ref="C6:H6"/>
    <mergeCell ref="C7:H7"/>
    <mergeCell ref="C8:H8"/>
    <mergeCell ref="C9:H9"/>
    <mergeCell ref="C10:H10"/>
    <mergeCell ref="A21:G21"/>
    <mergeCell ref="A63:D63"/>
    <mergeCell ref="A65:H65"/>
    <mergeCell ref="A66:H66"/>
    <mergeCell ref="A77:C77"/>
    <mergeCell ref="E77:G77"/>
    <mergeCell ref="A68:H68"/>
    <mergeCell ref="A69:H69"/>
    <mergeCell ref="A70:H70"/>
    <mergeCell ref="A71:H71"/>
    <mergeCell ref="A72:H72"/>
    <mergeCell ref="A73:H73"/>
  </mergeCells>
  <hyperlinks>
    <hyperlink ref="C1" location="'DATA SHEET'!A1" display="HIGHLANDS PRIME, INC." xr:uid="{00000000-0004-0000-2200-000000000000}"/>
    <hyperlink ref="J4" location="'DATA SHEET'!A1" display="Return to Data Sheet" xr:uid="{00000000-0004-0000-2200-000001000000}"/>
  </hyperlinks>
  <printOptions horizontalCentered="1"/>
  <pageMargins left="0.7" right="0.7" top="0.75" bottom="0.5" header="0.3" footer="0.3"/>
  <pageSetup scale="70" orientation="portrait" r:id="rId1"/>
  <headerFooter>
    <oddFooter>&amp;L&amp;8A project of HIGHLANDS PRIME, INC. 
Woodridge Place at Tagaytay Highlands,  Tagaytay Highlands, Tagaytay City
HLURB License To Sell No. 22459&amp;RPage &amp;P of &amp;N</oddFooter>
  </headerFooter>
  <ignoredErrors>
    <ignoredError sqref="D15" unlockedFormula="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1"/>
  <dimension ref="B1:F12"/>
  <sheetViews>
    <sheetView showGridLines="0" workbookViewId="0"/>
  </sheetViews>
  <sheetFormatPr baseColWidth="10" defaultColWidth="8.83203125" defaultRowHeight="15"/>
  <cols>
    <col min="1" max="1" width="1.1640625" customWidth="1"/>
    <col min="2" max="2" width="64.5" customWidth="1"/>
    <col min="3" max="3" width="1.5" customWidth="1"/>
    <col min="4" max="4" width="5.5" customWidth="1"/>
    <col min="5" max="6" width="16" customWidth="1"/>
  </cols>
  <sheetData>
    <row r="1" spans="2:6" ht="32">
      <c r="B1" s="106" t="s">
        <v>127</v>
      </c>
      <c r="C1" s="106"/>
      <c r="D1" s="110"/>
      <c r="E1" s="110"/>
      <c r="F1" s="110"/>
    </row>
    <row r="2" spans="2:6" ht="16">
      <c r="B2" s="106" t="s">
        <v>128</v>
      </c>
      <c r="C2" s="106"/>
      <c r="D2" s="110"/>
      <c r="E2" s="110"/>
      <c r="F2" s="110"/>
    </row>
    <row r="3" spans="2:6">
      <c r="B3" s="107"/>
      <c r="C3" s="107"/>
      <c r="D3" s="111"/>
      <c r="E3" s="111"/>
      <c r="F3" s="111"/>
    </row>
    <row r="4" spans="2:6" ht="48">
      <c r="B4" s="107" t="s">
        <v>129</v>
      </c>
      <c r="C4" s="107"/>
      <c r="D4" s="111"/>
      <c r="E4" s="111"/>
      <c r="F4" s="111"/>
    </row>
    <row r="5" spans="2:6">
      <c r="B5" s="107"/>
      <c r="C5" s="107"/>
      <c r="D5" s="111"/>
      <c r="E5" s="111"/>
      <c r="F5" s="111"/>
    </row>
    <row r="6" spans="2:6" ht="16">
      <c r="B6" s="106" t="s">
        <v>130</v>
      </c>
      <c r="C6" s="106"/>
      <c r="D6" s="110"/>
      <c r="E6" s="110" t="s">
        <v>131</v>
      </c>
      <c r="F6" s="110" t="s">
        <v>132</v>
      </c>
    </row>
    <row r="7" spans="2:6" ht="16" thickBot="1">
      <c r="B7" s="107"/>
      <c r="C7" s="107"/>
      <c r="D7" s="111"/>
      <c r="E7" s="111"/>
      <c r="F7" s="111"/>
    </row>
    <row r="8" spans="2:6" ht="65" thickBot="1">
      <c r="B8" s="108" t="s">
        <v>133</v>
      </c>
      <c r="C8" s="109"/>
      <c r="D8" s="112"/>
      <c r="E8" s="112" t="s">
        <v>135</v>
      </c>
      <c r="F8" s="113" t="s">
        <v>134</v>
      </c>
    </row>
    <row r="9" spans="2:6" ht="16" thickBot="1">
      <c r="B9" s="107"/>
      <c r="C9" s="107"/>
      <c r="D9" s="111"/>
      <c r="E9" s="111"/>
      <c r="F9" s="111"/>
    </row>
    <row r="10" spans="2:6" ht="49" thickBot="1">
      <c r="B10" s="108" t="s">
        <v>136</v>
      </c>
      <c r="C10" s="109"/>
      <c r="D10" s="112"/>
      <c r="E10" s="112">
        <v>22</v>
      </c>
      <c r="F10" s="113" t="s">
        <v>134</v>
      </c>
    </row>
    <row r="11" spans="2:6">
      <c r="B11" s="107"/>
      <c r="C11" s="107"/>
      <c r="D11" s="111"/>
      <c r="E11" s="111"/>
      <c r="F11" s="111"/>
    </row>
    <row r="12" spans="2:6">
      <c r="B12" s="107"/>
      <c r="C12" s="107"/>
      <c r="D12" s="111"/>
      <c r="E12" s="111"/>
      <c r="F12" s="1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E34"/>
  <sheetViews>
    <sheetView showGridLines="0" workbookViewId="0">
      <selection activeCell="B6" sqref="B6:C6"/>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2"/>
    </row>
    <row r="6" spans="1:5" s="43" customFormat="1">
      <c r="A6" s="48" t="s">
        <v>31</v>
      </c>
      <c r="B6" s="353" t="e">
        <f>VLOOKUP('DATA SHEET'!C10,#REF!, 1, FALSE)</f>
        <v>#REF!</v>
      </c>
      <c r="C6" s="354"/>
    </row>
    <row r="7" spans="1:5" s="43" customFormat="1">
      <c r="A7" s="48" t="s">
        <v>37</v>
      </c>
      <c r="B7" s="355" t="e">
        <f>VLOOKUP('DATA SHEET'!C10,#REF!, 3, FALSE)</f>
        <v>#REF!</v>
      </c>
      <c r="C7" s="356"/>
    </row>
    <row r="8" spans="1:5" s="43" customFormat="1">
      <c r="A8" s="48" t="s">
        <v>57</v>
      </c>
      <c r="B8" s="357" t="e">
        <f>VLOOKUP('DATA SHEET'!C10,#REF!, 5, FALSE)</f>
        <v>#REF!</v>
      </c>
      <c r="C8" s="358"/>
    </row>
    <row r="9" spans="1:5" s="43" customFormat="1">
      <c r="A9" s="49" t="s">
        <v>33</v>
      </c>
      <c r="B9" s="348" t="s">
        <v>73</v>
      </c>
      <c r="C9" s="349"/>
    </row>
    <row r="10" spans="1:5" s="43" customFormat="1">
      <c r="C10" s="45"/>
    </row>
    <row r="11" spans="1:5" s="43" customFormat="1">
      <c r="A11" s="46" t="s">
        <v>55</v>
      </c>
      <c r="C11" s="45"/>
    </row>
    <row r="12" spans="1:5" s="43" customFormat="1">
      <c r="A12" s="43" t="s">
        <v>61</v>
      </c>
      <c r="C12" s="50" t="e">
        <f>B8-750000</f>
        <v>#REF!</v>
      </c>
      <c r="D12" s="45"/>
    </row>
    <row r="13" spans="1:5" s="43" customFormat="1" hidden="1">
      <c r="A13" s="43" t="s">
        <v>125</v>
      </c>
      <c r="B13" s="51">
        <v>0</v>
      </c>
      <c r="C13" s="52" t="e">
        <f>C12*B13</f>
        <v>#REF!</v>
      </c>
      <c r="D13" s="45"/>
    </row>
    <row r="14" spans="1:5" s="43" customFormat="1" hidden="1">
      <c r="C14" s="50" t="e">
        <f>C12-C13</f>
        <v>#REF!</v>
      </c>
      <c r="D14" s="45"/>
    </row>
    <row r="15" spans="1:5" s="43" customFormat="1">
      <c r="A15" s="43" t="s">
        <v>72</v>
      </c>
      <c r="B15" s="51">
        <v>0.15</v>
      </c>
      <c r="C15" s="52" t="e">
        <f>IF(B15&lt;=15%,C14*B15,"BEYOND MAX DISC.")</f>
        <v>#REF!</v>
      </c>
      <c r="D15" s="45"/>
    </row>
    <row r="16" spans="1:5">
      <c r="C16" s="23" t="e">
        <f>C14-C15</f>
        <v>#REF!</v>
      </c>
      <c r="D16" s="2"/>
    </row>
    <row r="17" spans="1:5">
      <c r="A17" s="1" t="s">
        <v>56</v>
      </c>
      <c r="C17" s="24">
        <v>750000</v>
      </c>
      <c r="D17" s="2"/>
    </row>
    <row r="18" spans="1:5" ht="15" thickBot="1">
      <c r="A18" s="6" t="s">
        <v>58</v>
      </c>
      <c r="B18" s="6"/>
      <c r="C18" s="25" t="e">
        <f>C16+C17</f>
        <v>#REF!</v>
      </c>
      <c r="D18" s="2"/>
    </row>
    <row r="19" spans="1:5" ht="15" thickTop="1"/>
    <row r="20" spans="1:5">
      <c r="A20" s="9" t="s">
        <v>34</v>
      </c>
      <c r="B20" s="9" t="s">
        <v>32</v>
      </c>
      <c r="C20" s="9" t="s">
        <v>2</v>
      </c>
      <c r="D20" s="9" t="s">
        <v>3</v>
      </c>
      <c r="E20" s="9" t="s">
        <v>68</v>
      </c>
    </row>
    <row r="21" spans="1:5">
      <c r="A21" s="8">
        <v>0</v>
      </c>
      <c r="B21" s="10">
        <f ca="1">'DATA SHEET'!C8</f>
        <v>43973</v>
      </c>
      <c r="C21" s="8" t="s">
        <v>38</v>
      </c>
      <c r="D21" s="11">
        <v>100000</v>
      </c>
      <c r="E21" s="12" t="e">
        <f>C18-D21</f>
        <v>#REF!</v>
      </c>
    </row>
    <row r="22" spans="1:5">
      <c r="A22" s="14">
        <v>1</v>
      </c>
      <c r="B22" s="15">
        <f ca="1">EDATE(B21,1)</f>
        <v>44004</v>
      </c>
      <c r="C22" s="14" t="s">
        <v>74</v>
      </c>
      <c r="D22" s="16" t="e">
        <f>C18-D21</f>
        <v>#REF!</v>
      </c>
      <c r="E22" s="38" t="e">
        <f>E21-D22</f>
        <v>#REF!</v>
      </c>
    </row>
    <row r="23" spans="1:5">
      <c r="A23" s="17"/>
      <c r="B23" s="18"/>
      <c r="C23" s="19" t="s">
        <v>16</v>
      </c>
      <c r="D23" s="20" t="e">
        <f>SUM(D21:D22)</f>
        <v>#REF!</v>
      </c>
      <c r="E23" s="17"/>
    </row>
    <row r="24" spans="1:5">
      <c r="A24" s="3" t="s">
        <v>62</v>
      </c>
      <c r="B24" s="27"/>
      <c r="C24" s="28"/>
      <c r="D24" s="29"/>
      <c r="E24" s="30"/>
    </row>
    <row r="25" spans="1:5">
      <c r="A25" s="4" t="s">
        <v>70</v>
      </c>
      <c r="B25" s="30"/>
      <c r="C25" s="28"/>
      <c r="D25" s="29"/>
      <c r="E25" s="30"/>
    </row>
    <row r="26" spans="1:5">
      <c r="A26" s="4" t="s">
        <v>71</v>
      </c>
      <c r="B26" s="30"/>
      <c r="C26" s="28"/>
      <c r="D26" s="29"/>
      <c r="E26" s="30"/>
    </row>
    <row r="27" spans="1:5">
      <c r="A27" s="4" t="s">
        <v>89</v>
      </c>
      <c r="B27" s="30"/>
      <c r="C27" s="28"/>
      <c r="D27" s="30"/>
      <c r="E27" s="30"/>
    </row>
    <row r="28" spans="1:5">
      <c r="A28" s="4" t="s">
        <v>75</v>
      </c>
      <c r="B28" s="30"/>
      <c r="C28" s="28"/>
      <c r="D28" s="30"/>
      <c r="E28" s="30"/>
    </row>
    <row r="29" spans="1:5">
      <c r="A29" s="4" t="s">
        <v>63</v>
      </c>
      <c r="B29" s="30"/>
      <c r="C29" s="28"/>
      <c r="D29" s="30"/>
      <c r="E29" s="30"/>
    </row>
    <row r="31" spans="1:5">
      <c r="A31" s="1" t="s">
        <v>17</v>
      </c>
    </row>
    <row r="33" spans="1:4">
      <c r="A33" s="5"/>
      <c r="D33" s="5"/>
    </row>
    <row r="34" spans="1:4">
      <c r="A34" s="2" t="s">
        <v>18</v>
      </c>
      <c r="D34" s="2" t="s">
        <v>18</v>
      </c>
    </row>
  </sheetData>
  <sheetProtection password="CAF1" sheet="1" selectLockedCells="1"/>
  <mergeCells count="6">
    <mergeCell ref="B9:C9"/>
    <mergeCell ref="E1:E2"/>
    <mergeCell ref="B5:C5"/>
    <mergeCell ref="B6:C6"/>
    <mergeCell ref="B7:C7"/>
    <mergeCell ref="B8:C8"/>
  </mergeCells>
  <hyperlinks>
    <hyperlink ref="B1" location="'DATA SHEET'!A1" display="HIGHLANDS PRIME, INC." xr:uid="{00000000-0004-0000-0300-000000000000}"/>
  </hyperlinks>
  <printOptions horizontalCentered="1"/>
  <pageMargins left="0.7" right="0.7" top="1" bottom="0.5" header="0.3" footer="0.3"/>
  <pageSetup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249977111117893"/>
    <pageSetUpPr fitToPage="1"/>
  </sheetPr>
  <dimension ref="A1:E34"/>
  <sheetViews>
    <sheetView showGridLines="0" zoomScaleNormal="100" workbookViewId="0">
      <selection activeCell="B17" sqref="B17"/>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2"/>
      <c r="D5" s="54"/>
    </row>
    <row r="6" spans="1:5" s="43" customFormat="1">
      <c r="A6" s="48" t="s">
        <v>31</v>
      </c>
      <c r="B6" s="353" t="e">
        <f>VLOOKUP('DATA SHEET'!C10,#REF!, 1, FALSE)</f>
        <v>#REF!</v>
      </c>
      <c r="C6" s="354"/>
    </row>
    <row r="7" spans="1:5" s="43" customFormat="1">
      <c r="A7" s="48" t="s">
        <v>37</v>
      </c>
      <c r="B7" s="355" t="e">
        <f>VLOOKUP('DATA SHEET'!C10,#REF!, 3, FALSE)</f>
        <v>#REF!</v>
      </c>
      <c r="C7" s="356"/>
    </row>
    <row r="8" spans="1:5" s="43" customFormat="1">
      <c r="A8" s="48" t="s">
        <v>57</v>
      </c>
      <c r="B8" s="357" t="e">
        <f>VLOOKUP('DATA SHEET'!C10,#REF!, 5, FALSE)</f>
        <v>#REF!</v>
      </c>
      <c r="C8" s="358"/>
    </row>
    <row r="9" spans="1:5" s="43" customFormat="1">
      <c r="A9" s="49" t="s">
        <v>33</v>
      </c>
      <c r="B9" s="348" t="s">
        <v>73</v>
      </c>
      <c r="C9" s="349"/>
    </row>
    <row r="10" spans="1:5" s="43" customFormat="1">
      <c r="C10" s="45"/>
    </row>
    <row r="11" spans="1:5" s="43" customFormat="1">
      <c r="A11" s="46" t="s">
        <v>55</v>
      </c>
      <c r="C11" s="45"/>
    </row>
    <row r="12" spans="1:5" s="43" customFormat="1">
      <c r="A12" s="78" t="s">
        <v>57</v>
      </c>
      <c r="B12" s="78"/>
      <c r="C12" s="50" t="e">
        <f>B8</f>
        <v>#REF!</v>
      </c>
      <c r="D12" s="45"/>
    </row>
    <row r="13" spans="1:5" s="43" customFormat="1">
      <c r="A13" s="43" t="s">
        <v>59</v>
      </c>
      <c r="C13" s="55">
        <v>750000</v>
      </c>
      <c r="D13" s="45"/>
    </row>
    <row r="14" spans="1:5" s="43" customFormat="1">
      <c r="C14" s="56" t="e">
        <f>C12-C13</f>
        <v>#REF!</v>
      </c>
      <c r="D14" s="45"/>
    </row>
    <row r="15" spans="1:5" s="43" customFormat="1" hidden="1">
      <c r="A15" s="43" t="s">
        <v>123</v>
      </c>
      <c r="B15" s="51">
        <v>0</v>
      </c>
      <c r="C15" s="55" t="e">
        <f>C14*B15</f>
        <v>#REF!</v>
      </c>
      <c r="D15" s="45"/>
    </row>
    <row r="16" spans="1:5" s="43" customFormat="1" hidden="1">
      <c r="C16" s="56" t="e">
        <f>C14-C15</f>
        <v>#REF!</v>
      </c>
      <c r="D16" s="45"/>
    </row>
    <row r="17" spans="1:5" s="43" customFormat="1">
      <c r="A17" s="43" t="s">
        <v>72</v>
      </c>
      <c r="B17" s="51">
        <v>0.15</v>
      </c>
      <c r="C17" s="56" t="e">
        <f>IF(B17&lt;=15%,C16*B17,"BEYOND MAX DISC.")</f>
        <v>#REF!</v>
      </c>
      <c r="D17" s="45"/>
    </row>
    <row r="18" spans="1:5" ht="15" thickBot="1">
      <c r="A18" s="6" t="s">
        <v>60</v>
      </c>
      <c r="B18" s="6"/>
      <c r="C18" s="26" t="e">
        <f>C16-C17</f>
        <v>#REF!</v>
      </c>
      <c r="D18" s="2"/>
    </row>
    <row r="19" spans="1:5" ht="15" thickTop="1"/>
    <row r="20" spans="1:5">
      <c r="A20" s="9" t="s">
        <v>34</v>
      </c>
      <c r="B20" s="9" t="s">
        <v>32</v>
      </c>
      <c r="C20" s="9" t="s">
        <v>2</v>
      </c>
      <c r="D20" s="9" t="s">
        <v>3</v>
      </c>
      <c r="E20" s="9" t="s">
        <v>68</v>
      </c>
    </row>
    <row r="21" spans="1:5">
      <c r="A21" s="8">
        <v>0</v>
      </c>
      <c r="B21" s="10">
        <f ca="1">'DATA SHEET'!C8</f>
        <v>43973</v>
      </c>
      <c r="C21" s="8" t="s">
        <v>38</v>
      </c>
      <c r="D21" s="11">
        <v>100000</v>
      </c>
      <c r="E21" s="12" t="e">
        <f>C18-D21</f>
        <v>#REF!</v>
      </c>
    </row>
    <row r="22" spans="1:5">
      <c r="A22" s="14">
        <v>1</v>
      </c>
      <c r="B22" s="15">
        <f ca="1">EDATE(B21,1)</f>
        <v>44004</v>
      </c>
      <c r="C22" s="14" t="s">
        <v>74</v>
      </c>
      <c r="D22" s="16" t="e">
        <f>C18-D21</f>
        <v>#REF!</v>
      </c>
      <c r="E22" s="38" t="e">
        <f>E21-D22</f>
        <v>#REF!</v>
      </c>
    </row>
    <row r="23" spans="1:5">
      <c r="A23" s="17"/>
      <c r="B23" s="18"/>
      <c r="C23" s="19" t="s">
        <v>16</v>
      </c>
      <c r="D23" s="20" t="e">
        <f>SUM(D21:D22)</f>
        <v>#REF!</v>
      </c>
      <c r="E23" s="17"/>
    </row>
    <row r="24" spans="1:5">
      <c r="A24" s="3" t="s">
        <v>62</v>
      </c>
      <c r="B24" s="21"/>
      <c r="D24" s="22"/>
    </row>
    <row r="25" spans="1:5">
      <c r="A25" s="4" t="s">
        <v>70</v>
      </c>
      <c r="D25" s="22"/>
    </row>
    <row r="26" spans="1:5">
      <c r="A26" s="4" t="s">
        <v>71</v>
      </c>
      <c r="D26" s="22"/>
    </row>
    <row r="27" spans="1:5">
      <c r="A27" s="4" t="s">
        <v>89</v>
      </c>
    </row>
    <row r="28" spans="1:5">
      <c r="A28" s="4" t="s">
        <v>75</v>
      </c>
    </row>
    <row r="29" spans="1:5">
      <c r="A29" s="4" t="s">
        <v>63</v>
      </c>
    </row>
    <row r="31" spans="1:5">
      <c r="A31" s="1" t="s">
        <v>17</v>
      </c>
    </row>
    <row r="33" spans="1:4">
      <c r="A33" s="5"/>
      <c r="D33" s="5"/>
    </row>
    <row r="34" spans="1:4">
      <c r="A34" s="2" t="s">
        <v>18</v>
      </c>
      <c r="D34" s="2" t="s">
        <v>18</v>
      </c>
    </row>
  </sheetData>
  <sheetProtection password="CAF1" sheet="1" selectLockedCells="1"/>
  <mergeCells count="6">
    <mergeCell ref="B9:C9"/>
    <mergeCell ref="E1:E2"/>
    <mergeCell ref="B5:C5"/>
    <mergeCell ref="B6:C6"/>
    <mergeCell ref="B7:C7"/>
    <mergeCell ref="B8:C8"/>
  </mergeCells>
  <hyperlinks>
    <hyperlink ref="B1" location="'DATA SHEET'!A1" display="HIGHLANDS PRIME, INC." xr:uid="{00000000-0004-0000-0400-000000000000}"/>
  </hyperlinks>
  <printOptions horizontalCentered="1"/>
  <pageMargins left="0.7" right="0.7" top="1" bottom="0.5" header="0.3" footer="0.3"/>
  <pageSetup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000"/>
    <pageSetUpPr fitToPage="1"/>
  </sheetPr>
  <dimension ref="A1:E47"/>
  <sheetViews>
    <sheetView showGridLines="0" workbookViewId="0">
      <selection activeCell="B15" sqref="B15"/>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2"/>
    </row>
    <row r="6" spans="1:5" s="43" customFormat="1">
      <c r="A6" s="48" t="s">
        <v>31</v>
      </c>
      <c r="B6" s="353" t="e">
        <f>VLOOKUP('DATA SHEET'!C10,#REF!, 1, FALSE)</f>
        <v>#REF!</v>
      </c>
      <c r="C6" s="353"/>
      <c r="D6" s="354"/>
    </row>
    <row r="7" spans="1:5" s="43" customFormat="1">
      <c r="A7" s="48" t="s">
        <v>37</v>
      </c>
      <c r="B7" s="355" t="e">
        <f>VLOOKUP('DATA SHEET'!C10,#REF!, 3, FALSE)</f>
        <v>#REF!</v>
      </c>
      <c r="C7" s="355"/>
      <c r="D7" s="356"/>
    </row>
    <row r="8" spans="1:5" s="43" customFormat="1">
      <c r="A8" s="48" t="s">
        <v>57</v>
      </c>
      <c r="B8" s="357" t="e">
        <f>VLOOKUP('DATA SHEET'!C10,#REF!, 5, FALSE)</f>
        <v>#REF!</v>
      </c>
      <c r="C8" s="357"/>
      <c r="D8" s="358"/>
    </row>
    <row r="9" spans="1:5" s="43" customFormat="1">
      <c r="A9" s="49" t="s">
        <v>33</v>
      </c>
      <c r="B9" s="348" t="s">
        <v>76</v>
      </c>
      <c r="C9" s="348"/>
      <c r="D9" s="349"/>
    </row>
    <row r="10" spans="1:5" s="43" customFormat="1">
      <c r="C10" s="45"/>
    </row>
    <row r="11" spans="1:5" s="43" customFormat="1">
      <c r="A11" s="46" t="s">
        <v>55</v>
      </c>
      <c r="C11" s="45"/>
    </row>
    <row r="12" spans="1:5" s="43" customFormat="1">
      <c r="A12" s="43" t="s">
        <v>61</v>
      </c>
      <c r="C12" s="50" t="e">
        <f>B8-750000</f>
        <v>#REF!</v>
      </c>
      <c r="D12" s="105"/>
    </row>
    <row r="13" spans="1:5" s="43" customFormat="1" hidden="1">
      <c r="A13" s="43" t="s">
        <v>123</v>
      </c>
      <c r="B13" s="51">
        <v>0</v>
      </c>
      <c r="C13" s="52" t="e">
        <f>C12*B13</f>
        <v>#REF!</v>
      </c>
      <c r="D13" s="45"/>
    </row>
    <row r="14" spans="1:5" s="43" customFormat="1" hidden="1">
      <c r="C14" s="50" t="e">
        <f>C12-C13</f>
        <v>#REF!</v>
      </c>
      <c r="D14" s="45"/>
    </row>
    <row r="15" spans="1:5" s="43" customFormat="1">
      <c r="A15" s="43" t="s">
        <v>72</v>
      </c>
      <c r="B15" s="51">
        <v>3.5000000000000003E-2</v>
      </c>
      <c r="C15" s="52" t="e">
        <f>IF(B15&lt;=3.5%,C14*B15,"BEYOND MAX DISC.")</f>
        <v>#REF!</v>
      </c>
      <c r="D15" s="45"/>
    </row>
    <row r="16" spans="1:5">
      <c r="C16" s="23" t="e">
        <f>C14-C15</f>
        <v>#REF!</v>
      </c>
      <c r="D16" s="2"/>
    </row>
    <row r="17" spans="1:5">
      <c r="A17" s="1" t="s">
        <v>56</v>
      </c>
      <c r="C17" s="24">
        <v>750000</v>
      </c>
      <c r="D17" s="2"/>
    </row>
    <row r="18" spans="1:5" ht="15" thickBot="1">
      <c r="A18" s="6" t="s">
        <v>58</v>
      </c>
      <c r="B18" s="6"/>
      <c r="C18" s="25" t="e">
        <f>C16+C17</f>
        <v>#REF!</v>
      </c>
      <c r="D18" s="2"/>
    </row>
    <row r="19" spans="1:5" ht="15" thickTop="1"/>
    <row r="20" spans="1:5">
      <c r="A20" s="9" t="s">
        <v>34</v>
      </c>
      <c r="B20" s="9" t="s">
        <v>32</v>
      </c>
      <c r="C20" s="9" t="s">
        <v>2</v>
      </c>
      <c r="D20" s="9" t="s">
        <v>3</v>
      </c>
      <c r="E20" s="9" t="s">
        <v>68</v>
      </c>
    </row>
    <row r="21" spans="1:5">
      <c r="A21" s="8">
        <v>0</v>
      </c>
      <c r="B21" s="10">
        <f ca="1">'DATA SHEET'!C8</f>
        <v>43973</v>
      </c>
      <c r="C21" s="8" t="s">
        <v>38</v>
      </c>
      <c r="D21" s="11">
        <v>100000</v>
      </c>
      <c r="E21" s="12" t="e">
        <f>C18-D21</f>
        <v>#REF!</v>
      </c>
    </row>
    <row r="22" spans="1:5">
      <c r="A22" s="8">
        <v>1</v>
      </c>
      <c r="B22" s="10">
        <f ca="1">EDATE(B21,1)</f>
        <v>44004</v>
      </c>
      <c r="C22" s="8" t="s">
        <v>69</v>
      </c>
      <c r="D22" s="11" t="e">
        <f>(C18*0.1)-D21</f>
        <v>#REF!</v>
      </c>
      <c r="E22" s="12" t="e">
        <f>E21-D22</f>
        <v>#REF!</v>
      </c>
    </row>
    <row r="23" spans="1:5">
      <c r="A23" s="7">
        <v>2</v>
      </c>
      <c r="B23" s="10">
        <f t="shared" ref="B23:B35" ca="1" si="0">EDATE(B22,1)</f>
        <v>44034</v>
      </c>
      <c r="C23" s="7" t="s">
        <v>4</v>
      </c>
      <c r="D23" s="13" t="e">
        <f>(C18*0.1)/12</f>
        <v>#REF!</v>
      </c>
      <c r="E23" s="12" t="e">
        <f t="shared" ref="E23:E35" si="1">E22-D23</f>
        <v>#REF!</v>
      </c>
    </row>
    <row r="24" spans="1:5">
      <c r="A24" s="7">
        <v>3</v>
      </c>
      <c r="B24" s="10">
        <f t="shared" ca="1" si="0"/>
        <v>44065</v>
      </c>
      <c r="C24" s="7" t="s">
        <v>5</v>
      </c>
      <c r="D24" s="13" t="e">
        <f>D23</f>
        <v>#REF!</v>
      </c>
      <c r="E24" s="12" t="e">
        <f t="shared" si="1"/>
        <v>#REF!</v>
      </c>
    </row>
    <row r="25" spans="1:5">
      <c r="A25" s="8">
        <v>4</v>
      </c>
      <c r="B25" s="10">
        <f t="shared" ca="1" si="0"/>
        <v>44096</v>
      </c>
      <c r="C25" s="7" t="s">
        <v>6</v>
      </c>
      <c r="D25" s="13" t="e">
        <f t="shared" ref="D25:D34" si="2">D24</f>
        <v>#REF!</v>
      </c>
      <c r="E25" s="12" t="e">
        <f t="shared" si="1"/>
        <v>#REF!</v>
      </c>
    </row>
    <row r="26" spans="1:5">
      <c r="A26" s="7">
        <v>5</v>
      </c>
      <c r="B26" s="10">
        <f t="shared" ca="1" si="0"/>
        <v>44126</v>
      </c>
      <c r="C26" s="7" t="s">
        <v>7</v>
      </c>
      <c r="D26" s="13" t="e">
        <f t="shared" si="2"/>
        <v>#REF!</v>
      </c>
      <c r="E26" s="12" t="e">
        <f t="shared" si="1"/>
        <v>#REF!</v>
      </c>
    </row>
    <row r="27" spans="1:5">
      <c r="A27" s="7">
        <v>6</v>
      </c>
      <c r="B27" s="10">
        <f t="shared" ca="1" si="0"/>
        <v>44157</v>
      </c>
      <c r="C27" s="7" t="s">
        <v>8</v>
      </c>
      <c r="D27" s="13" t="e">
        <f t="shared" si="2"/>
        <v>#REF!</v>
      </c>
      <c r="E27" s="12" t="e">
        <f t="shared" si="1"/>
        <v>#REF!</v>
      </c>
    </row>
    <row r="28" spans="1:5">
      <c r="A28" s="8">
        <v>7</v>
      </c>
      <c r="B28" s="10">
        <f t="shared" ca="1" si="0"/>
        <v>44187</v>
      </c>
      <c r="C28" s="7" t="s">
        <v>9</v>
      </c>
      <c r="D28" s="13" t="e">
        <f t="shared" si="2"/>
        <v>#REF!</v>
      </c>
      <c r="E28" s="12" t="e">
        <f t="shared" si="1"/>
        <v>#REF!</v>
      </c>
    </row>
    <row r="29" spans="1:5">
      <c r="A29" s="7">
        <v>8</v>
      </c>
      <c r="B29" s="10">
        <f t="shared" ca="1" si="0"/>
        <v>44218</v>
      </c>
      <c r="C29" s="7" t="s">
        <v>10</v>
      </c>
      <c r="D29" s="13" t="e">
        <f t="shared" si="2"/>
        <v>#REF!</v>
      </c>
      <c r="E29" s="12" t="e">
        <f t="shared" si="1"/>
        <v>#REF!</v>
      </c>
    </row>
    <row r="30" spans="1:5">
      <c r="A30" s="7">
        <v>9</v>
      </c>
      <c r="B30" s="10">
        <f t="shared" ca="1" si="0"/>
        <v>44249</v>
      </c>
      <c r="C30" s="7" t="s">
        <v>11</v>
      </c>
      <c r="D30" s="13" t="e">
        <f t="shared" si="2"/>
        <v>#REF!</v>
      </c>
      <c r="E30" s="12" t="e">
        <f t="shared" si="1"/>
        <v>#REF!</v>
      </c>
    </row>
    <row r="31" spans="1:5">
      <c r="A31" s="8">
        <v>10</v>
      </c>
      <c r="B31" s="10">
        <f t="shared" ca="1" si="0"/>
        <v>44277</v>
      </c>
      <c r="C31" s="7" t="s">
        <v>12</v>
      </c>
      <c r="D31" s="13" t="e">
        <f t="shared" si="2"/>
        <v>#REF!</v>
      </c>
      <c r="E31" s="12" t="e">
        <f t="shared" si="1"/>
        <v>#REF!</v>
      </c>
    </row>
    <row r="32" spans="1:5">
      <c r="A32" s="7">
        <v>11</v>
      </c>
      <c r="B32" s="10">
        <f t="shared" ca="1" si="0"/>
        <v>44308</v>
      </c>
      <c r="C32" s="7" t="s">
        <v>13</v>
      </c>
      <c r="D32" s="13" t="e">
        <f t="shared" si="2"/>
        <v>#REF!</v>
      </c>
      <c r="E32" s="12" t="e">
        <f t="shared" si="1"/>
        <v>#REF!</v>
      </c>
    </row>
    <row r="33" spans="1:5">
      <c r="A33" s="7">
        <v>12</v>
      </c>
      <c r="B33" s="10">
        <f t="shared" ca="1" si="0"/>
        <v>44338</v>
      </c>
      <c r="C33" s="7" t="s">
        <v>14</v>
      </c>
      <c r="D33" s="13" t="e">
        <f t="shared" si="2"/>
        <v>#REF!</v>
      </c>
      <c r="E33" s="12" t="e">
        <f t="shared" si="1"/>
        <v>#REF!</v>
      </c>
    </row>
    <row r="34" spans="1:5">
      <c r="A34" s="8">
        <v>13</v>
      </c>
      <c r="B34" s="10">
        <f t="shared" ca="1" si="0"/>
        <v>44369</v>
      </c>
      <c r="C34" s="7" t="s">
        <v>15</v>
      </c>
      <c r="D34" s="13" t="e">
        <f t="shared" si="2"/>
        <v>#REF!</v>
      </c>
      <c r="E34" s="12" t="e">
        <f t="shared" si="1"/>
        <v>#REF!</v>
      </c>
    </row>
    <row r="35" spans="1:5">
      <c r="A35" s="14">
        <v>14</v>
      </c>
      <c r="B35" s="15">
        <f t="shared" ca="1" si="0"/>
        <v>44399</v>
      </c>
      <c r="C35" s="14" t="s">
        <v>39</v>
      </c>
      <c r="D35" s="16" t="e">
        <f>C18*0.8</f>
        <v>#REF!</v>
      </c>
      <c r="E35" s="38" t="e">
        <f t="shared" si="1"/>
        <v>#REF!</v>
      </c>
    </row>
    <row r="36" spans="1:5">
      <c r="A36" s="17"/>
      <c r="B36" s="18"/>
      <c r="C36" s="19" t="s">
        <v>16</v>
      </c>
      <c r="D36" s="20" t="e">
        <f>SUM(D21:D35)</f>
        <v>#REF!</v>
      </c>
      <c r="E36" s="17"/>
    </row>
    <row r="37" spans="1:5">
      <c r="A37" s="3" t="s">
        <v>62</v>
      </c>
      <c r="B37" s="27"/>
      <c r="C37" s="28"/>
      <c r="D37" s="29"/>
      <c r="E37" s="30"/>
    </row>
    <row r="38" spans="1:5">
      <c r="A38" s="4" t="s">
        <v>70</v>
      </c>
      <c r="B38" s="30"/>
      <c r="C38" s="28"/>
      <c r="D38" s="29"/>
      <c r="E38" s="30"/>
    </row>
    <row r="39" spans="1:5">
      <c r="A39" s="4" t="s">
        <v>71</v>
      </c>
      <c r="B39" s="30"/>
      <c r="C39" s="28"/>
      <c r="D39" s="29"/>
      <c r="E39" s="30"/>
    </row>
    <row r="40" spans="1:5">
      <c r="A40" s="4" t="s">
        <v>89</v>
      </c>
      <c r="B40" s="30"/>
      <c r="C40" s="28"/>
      <c r="D40" s="30"/>
      <c r="E40" s="30"/>
    </row>
    <row r="41" spans="1:5">
      <c r="A41" s="4" t="s">
        <v>75</v>
      </c>
      <c r="B41" s="30"/>
      <c r="C41" s="28"/>
      <c r="D41" s="30"/>
      <c r="E41" s="30"/>
    </row>
    <row r="42" spans="1:5">
      <c r="A42" s="4" t="s">
        <v>63</v>
      </c>
      <c r="B42" s="30"/>
      <c r="C42" s="28"/>
      <c r="D42" s="30"/>
      <c r="E42" s="30"/>
    </row>
    <row r="44" spans="1:5">
      <c r="A44" s="1" t="s">
        <v>17</v>
      </c>
    </row>
    <row r="46" spans="1:5">
      <c r="A46" s="5"/>
      <c r="D46" s="5"/>
    </row>
    <row r="47" spans="1:5">
      <c r="A47" s="2" t="s">
        <v>18</v>
      </c>
      <c r="D47" s="2" t="s">
        <v>18</v>
      </c>
    </row>
  </sheetData>
  <sheetProtection password="CAF1" sheet="1" selectLockedCells="1"/>
  <mergeCells count="6">
    <mergeCell ref="B9:D9"/>
    <mergeCell ref="E1:E2"/>
    <mergeCell ref="B5:D5"/>
    <mergeCell ref="B6:D6"/>
    <mergeCell ref="B7:D7"/>
    <mergeCell ref="B8:D8"/>
  </mergeCells>
  <hyperlinks>
    <hyperlink ref="B1" location="'DATA SHEET'!A1" display="HIGHLANDS PRIME, INC." xr:uid="{00000000-0004-0000-0500-000000000000}"/>
  </hyperlinks>
  <printOptions horizontalCentered="1"/>
  <pageMargins left="0.7" right="0.7" top="1" bottom="0.5" header="0.3" footer="0.3"/>
  <pageSetup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6" tint="-0.499984740745262"/>
    <pageSetUpPr fitToPage="1"/>
  </sheetPr>
  <dimension ref="A1:E47"/>
  <sheetViews>
    <sheetView showGridLines="0" workbookViewId="0">
      <selection activeCell="B17" sqref="B17"/>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2"/>
    </row>
    <row r="6" spans="1:5" s="43" customFormat="1">
      <c r="A6" s="48" t="s">
        <v>31</v>
      </c>
      <c r="B6" s="353" t="e">
        <f>VLOOKUP('DATA SHEET'!C10,#REF!, 1, FALSE)</f>
        <v>#REF!</v>
      </c>
      <c r="C6" s="353"/>
      <c r="D6" s="354"/>
    </row>
    <row r="7" spans="1:5" s="43" customFormat="1">
      <c r="A7" s="48" t="s">
        <v>37</v>
      </c>
      <c r="B7" s="355" t="e">
        <f>VLOOKUP('DATA SHEET'!C10,#REF!, 3, FALSE)</f>
        <v>#REF!</v>
      </c>
      <c r="C7" s="355"/>
      <c r="D7" s="356"/>
    </row>
    <row r="8" spans="1:5" s="43" customFormat="1">
      <c r="A8" s="48" t="s">
        <v>57</v>
      </c>
      <c r="B8" s="357" t="e">
        <f>VLOOKUP('DATA SHEET'!C10,#REF!, 5, FALSE)</f>
        <v>#REF!</v>
      </c>
      <c r="C8" s="357"/>
      <c r="D8" s="358"/>
    </row>
    <row r="9" spans="1:5" s="43" customFormat="1">
      <c r="A9" s="49" t="s">
        <v>33</v>
      </c>
      <c r="B9" s="348" t="s">
        <v>76</v>
      </c>
      <c r="C9" s="348"/>
      <c r="D9" s="349"/>
    </row>
    <row r="10" spans="1:5" s="43" customFormat="1">
      <c r="C10" s="45"/>
    </row>
    <row r="11" spans="1:5" s="43" customFormat="1">
      <c r="A11" s="46" t="s">
        <v>55</v>
      </c>
      <c r="C11" s="45"/>
    </row>
    <row r="12" spans="1:5" s="43" customFormat="1">
      <c r="A12" s="43" t="s">
        <v>77</v>
      </c>
      <c r="C12" s="50" t="e">
        <f>B8</f>
        <v>#REF!</v>
      </c>
      <c r="D12" s="45"/>
    </row>
    <row r="13" spans="1:5">
      <c r="A13" s="1" t="s">
        <v>59</v>
      </c>
      <c r="C13" s="24">
        <v>750000</v>
      </c>
      <c r="D13" s="2"/>
    </row>
    <row r="14" spans="1:5">
      <c r="C14" s="79" t="e">
        <f>C12-C13</f>
        <v>#REF!</v>
      </c>
      <c r="D14" s="2"/>
    </row>
    <row r="15" spans="1:5">
      <c r="A15" s="1" t="s">
        <v>123</v>
      </c>
      <c r="B15" s="51">
        <v>0.01</v>
      </c>
      <c r="C15" s="24" t="e">
        <f>C14*B15</f>
        <v>#REF!</v>
      </c>
      <c r="D15" s="2"/>
    </row>
    <row r="16" spans="1:5">
      <c r="C16" s="79" t="e">
        <f>C14-C15</f>
        <v>#REF!</v>
      </c>
      <c r="D16" s="2"/>
    </row>
    <row r="17" spans="1:5" s="43" customFormat="1">
      <c r="A17" s="43" t="s">
        <v>72</v>
      </c>
      <c r="B17" s="51">
        <v>3.5000000000000003E-2</v>
      </c>
      <c r="C17" s="52" t="e">
        <f>IF(B17&lt;=3.5%,C16*B17,"BEYOND MAX DISC.")</f>
        <v>#REF!</v>
      </c>
      <c r="D17" s="45"/>
    </row>
    <row r="18" spans="1:5" ht="15" thickBot="1">
      <c r="A18" s="6" t="s">
        <v>78</v>
      </c>
      <c r="B18" s="6"/>
      <c r="C18" s="25" t="e">
        <f>C16-C17</f>
        <v>#REF!</v>
      </c>
      <c r="D18" s="2"/>
    </row>
    <row r="19" spans="1:5" ht="15" thickTop="1"/>
    <row r="20" spans="1:5">
      <c r="A20" s="9" t="s">
        <v>34</v>
      </c>
      <c r="B20" s="9" t="s">
        <v>32</v>
      </c>
      <c r="C20" s="9" t="s">
        <v>2</v>
      </c>
      <c r="D20" s="9" t="s">
        <v>3</v>
      </c>
      <c r="E20" s="9" t="s">
        <v>68</v>
      </c>
    </row>
    <row r="21" spans="1:5">
      <c r="A21" s="8">
        <v>0</v>
      </c>
      <c r="B21" s="10">
        <f ca="1">'DATA SHEET'!C8</f>
        <v>43973</v>
      </c>
      <c r="C21" s="8" t="s">
        <v>38</v>
      </c>
      <c r="D21" s="11">
        <v>100000</v>
      </c>
      <c r="E21" s="12" t="e">
        <f>C18-D21</f>
        <v>#REF!</v>
      </c>
    </row>
    <row r="22" spans="1:5">
      <c r="A22" s="7">
        <v>1</v>
      </c>
      <c r="B22" s="10">
        <f ca="1">EDATE(B21,1)</f>
        <v>44004</v>
      </c>
      <c r="C22" s="8" t="s">
        <v>69</v>
      </c>
      <c r="D22" s="11" t="e">
        <f>(C18*0.1)-D21</f>
        <v>#REF!</v>
      </c>
      <c r="E22" s="12" t="e">
        <f>E21-D22</f>
        <v>#REF!</v>
      </c>
    </row>
    <row r="23" spans="1:5">
      <c r="A23" s="7">
        <v>2</v>
      </c>
      <c r="B23" s="10">
        <f t="shared" ref="B23:B35" ca="1" si="0">EDATE(B22,1)</f>
        <v>44034</v>
      </c>
      <c r="C23" s="7" t="s">
        <v>4</v>
      </c>
      <c r="D23" s="13" t="e">
        <f>(C18*0.1)/12</f>
        <v>#REF!</v>
      </c>
      <c r="E23" s="12" t="e">
        <f t="shared" ref="E23:E35" si="1">E22-D23</f>
        <v>#REF!</v>
      </c>
    </row>
    <row r="24" spans="1:5">
      <c r="A24" s="7">
        <v>3</v>
      </c>
      <c r="B24" s="10">
        <f t="shared" ca="1" si="0"/>
        <v>44065</v>
      </c>
      <c r="C24" s="7" t="s">
        <v>5</v>
      </c>
      <c r="D24" s="13" t="e">
        <f>D23</f>
        <v>#REF!</v>
      </c>
      <c r="E24" s="12" t="e">
        <f t="shared" si="1"/>
        <v>#REF!</v>
      </c>
    </row>
    <row r="25" spans="1:5">
      <c r="A25" s="7">
        <v>4</v>
      </c>
      <c r="B25" s="10">
        <f t="shared" ca="1" si="0"/>
        <v>44096</v>
      </c>
      <c r="C25" s="7" t="s">
        <v>6</v>
      </c>
      <c r="D25" s="13" t="e">
        <f t="shared" ref="D25:D34" si="2">D24</f>
        <v>#REF!</v>
      </c>
      <c r="E25" s="12" t="e">
        <f t="shared" si="1"/>
        <v>#REF!</v>
      </c>
    </row>
    <row r="26" spans="1:5">
      <c r="A26" s="7">
        <v>5</v>
      </c>
      <c r="B26" s="10">
        <f t="shared" ca="1" si="0"/>
        <v>44126</v>
      </c>
      <c r="C26" s="7" t="s">
        <v>7</v>
      </c>
      <c r="D26" s="13" t="e">
        <f t="shared" si="2"/>
        <v>#REF!</v>
      </c>
      <c r="E26" s="12" t="e">
        <f t="shared" si="1"/>
        <v>#REF!</v>
      </c>
    </row>
    <row r="27" spans="1:5">
      <c r="A27" s="7">
        <v>6</v>
      </c>
      <c r="B27" s="10">
        <f t="shared" ca="1" si="0"/>
        <v>44157</v>
      </c>
      <c r="C27" s="7" t="s">
        <v>8</v>
      </c>
      <c r="D27" s="13" t="e">
        <f t="shared" si="2"/>
        <v>#REF!</v>
      </c>
      <c r="E27" s="12" t="e">
        <f t="shared" si="1"/>
        <v>#REF!</v>
      </c>
    </row>
    <row r="28" spans="1:5">
      <c r="A28" s="7">
        <v>7</v>
      </c>
      <c r="B28" s="10">
        <f t="shared" ca="1" si="0"/>
        <v>44187</v>
      </c>
      <c r="C28" s="7" t="s">
        <v>9</v>
      </c>
      <c r="D28" s="13" t="e">
        <f t="shared" si="2"/>
        <v>#REF!</v>
      </c>
      <c r="E28" s="12" t="e">
        <f t="shared" si="1"/>
        <v>#REF!</v>
      </c>
    </row>
    <row r="29" spans="1:5">
      <c r="A29" s="7">
        <v>8</v>
      </c>
      <c r="B29" s="10">
        <f t="shared" ca="1" si="0"/>
        <v>44218</v>
      </c>
      <c r="C29" s="7" t="s">
        <v>10</v>
      </c>
      <c r="D29" s="13" t="e">
        <f t="shared" si="2"/>
        <v>#REF!</v>
      </c>
      <c r="E29" s="12" t="e">
        <f t="shared" si="1"/>
        <v>#REF!</v>
      </c>
    </row>
    <row r="30" spans="1:5">
      <c r="A30" s="7">
        <v>9</v>
      </c>
      <c r="B30" s="10">
        <f t="shared" ca="1" si="0"/>
        <v>44249</v>
      </c>
      <c r="C30" s="7" t="s">
        <v>11</v>
      </c>
      <c r="D30" s="13" t="e">
        <f t="shared" si="2"/>
        <v>#REF!</v>
      </c>
      <c r="E30" s="12" t="e">
        <f t="shared" si="1"/>
        <v>#REF!</v>
      </c>
    </row>
    <row r="31" spans="1:5">
      <c r="A31" s="7">
        <v>10</v>
      </c>
      <c r="B31" s="10">
        <f t="shared" ca="1" si="0"/>
        <v>44277</v>
      </c>
      <c r="C31" s="7" t="s">
        <v>12</v>
      </c>
      <c r="D31" s="13" t="e">
        <f t="shared" si="2"/>
        <v>#REF!</v>
      </c>
      <c r="E31" s="12" t="e">
        <f t="shared" si="1"/>
        <v>#REF!</v>
      </c>
    </row>
    <row r="32" spans="1:5">
      <c r="A32" s="7">
        <v>11</v>
      </c>
      <c r="B32" s="10">
        <f t="shared" ca="1" si="0"/>
        <v>44308</v>
      </c>
      <c r="C32" s="7" t="s">
        <v>13</v>
      </c>
      <c r="D32" s="13" t="e">
        <f t="shared" si="2"/>
        <v>#REF!</v>
      </c>
      <c r="E32" s="12" t="e">
        <f t="shared" si="1"/>
        <v>#REF!</v>
      </c>
    </row>
    <row r="33" spans="1:5">
      <c r="A33" s="7">
        <v>12</v>
      </c>
      <c r="B33" s="10">
        <f t="shared" ca="1" si="0"/>
        <v>44338</v>
      </c>
      <c r="C33" s="7" t="s">
        <v>14</v>
      </c>
      <c r="D33" s="13" t="e">
        <f t="shared" si="2"/>
        <v>#REF!</v>
      </c>
      <c r="E33" s="12" t="e">
        <f t="shared" si="1"/>
        <v>#REF!</v>
      </c>
    </row>
    <row r="34" spans="1:5">
      <c r="A34" s="7">
        <v>13</v>
      </c>
      <c r="B34" s="10">
        <f t="shared" ca="1" si="0"/>
        <v>44369</v>
      </c>
      <c r="C34" s="7" t="s">
        <v>15</v>
      </c>
      <c r="D34" s="13" t="e">
        <f t="shared" si="2"/>
        <v>#REF!</v>
      </c>
      <c r="E34" s="12" t="e">
        <f t="shared" si="1"/>
        <v>#REF!</v>
      </c>
    </row>
    <row r="35" spans="1:5">
      <c r="A35" s="14">
        <v>14</v>
      </c>
      <c r="B35" s="15">
        <f t="shared" ca="1" si="0"/>
        <v>44399</v>
      </c>
      <c r="C35" s="14" t="s">
        <v>39</v>
      </c>
      <c r="D35" s="16" t="e">
        <f>C18*0.8</f>
        <v>#REF!</v>
      </c>
      <c r="E35" s="38" t="e">
        <f t="shared" si="1"/>
        <v>#REF!</v>
      </c>
    </row>
    <row r="36" spans="1:5">
      <c r="A36" s="17"/>
      <c r="B36" s="18"/>
      <c r="C36" s="19" t="s">
        <v>16</v>
      </c>
      <c r="D36" s="20" t="e">
        <f>SUM(D21:D35)</f>
        <v>#REF!</v>
      </c>
      <c r="E36" s="17"/>
    </row>
    <row r="37" spans="1:5">
      <c r="A37" s="3" t="s">
        <v>62</v>
      </c>
      <c r="B37" s="27"/>
      <c r="C37" s="28"/>
      <c r="D37" s="29"/>
      <c r="E37" s="30"/>
    </row>
    <row r="38" spans="1:5">
      <c r="A38" s="4" t="s">
        <v>70</v>
      </c>
      <c r="B38" s="30"/>
      <c r="C38" s="28"/>
      <c r="D38" s="29"/>
      <c r="E38" s="30"/>
    </row>
    <row r="39" spans="1:5">
      <c r="A39" s="4" t="s">
        <v>71</v>
      </c>
      <c r="B39" s="30"/>
      <c r="C39" s="28"/>
      <c r="D39" s="29"/>
      <c r="E39" s="30"/>
    </row>
    <row r="40" spans="1:5">
      <c r="A40" s="4" t="s">
        <v>89</v>
      </c>
      <c r="B40" s="30"/>
      <c r="C40" s="28"/>
      <c r="D40" s="30"/>
      <c r="E40" s="30"/>
    </row>
    <row r="41" spans="1:5">
      <c r="A41" s="4" t="s">
        <v>75</v>
      </c>
      <c r="B41" s="30"/>
      <c r="C41" s="28"/>
      <c r="D41" s="30"/>
      <c r="E41" s="30"/>
    </row>
    <row r="42" spans="1:5">
      <c r="A42" s="4" t="s">
        <v>63</v>
      </c>
      <c r="B42" s="30"/>
      <c r="C42" s="28"/>
      <c r="D42" s="30"/>
      <c r="E42" s="30"/>
    </row>
    <row r="44" spans="1:5">
      <c r="A44" s="1" t="s">
        <v>17</v>
      </c>
    </row>
    <row r="46" spans="1:5">
      <c r="A46" s="5"/>
      <c r="D46" s="5"/>
    </row>
    <row r="47" spans="1:5">
      <c r="A47" s="2" t="s">
        <v>18</v>
      </c>
      <c r="D47" s="2" t="s">
        <v>18</v>
      </c>
    </row>
  </sheetData>
  <sheetProtection password="CAF1" sheet="1" selectLockedCells="1"/>
  <mergeCells count="6">
    <mergeCell ref="B9:D9"/>
    <mergeCell ref="E1:E2"/>
    <mergeCell ref="B5:D5"/>
    <mergeCell ref="B6:D6"/>
    <mergeCell ref="B7:D7"/>
    <mergeCell ref="B8:D8"/>
  </mergeCells>
  <hyperlinks>
    <hyperlink ref="B1" location="'DATA SHEET'!A1" display="HIGHLANDS PRIME, INC." xr:uid="{00000000-0004-0000-0600-000000000000}"/>
  </hyperlinks>
  <printOptions horizontalCentered="1"/>
  <pageMargins left="0.7" right="0.7" top="1" bottom="0.5" header="0.3" footer="0.3"/>
  <pageSetup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C000"/>
  </sheetPr>
  <dimension ref="A1:E59"/>
  <sheetViews>
    <sheetView showGridLines="0" topLeftCell="A3" workbookViewId="0">
      <selection activeCell="B15" sqref="B15"/>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2"/>
    </row>
    <row r="6" spans="1:5" s="43" customFormat="1">
      <c r="A6" s="48" t="s">
        <v>31</v>
      </c>
      <c r="B6" s="353" t="e">
        <f>VLOOKUP('DATA SHEET'!C10,#REF!, 1, FALSE)</f>
        <v>#REF!</v>
      </c>
      <c r="C6" s="353"/>
      <c r="D6" s="354"/>
    </row>
    <row r="7" spans="1:5" s="43" customFormat="1">
      <c r="A7" s="48" t="s">
        <v>37</v>
      </c>
      <c r="B7" s="355" t="e">
        <f>VLOOKUP('DATA SHEET'!C10,#REF!, 3, FALSE)</f>
        <v>#REF!</v>
      </c>
      <c r="C7" s="355"/>
      <c r="D7" s="356"/>
    </row>
    <row r="8" spans="1:5" s="43" customFormat="1">
      <c r="A8" s="48" t="s">
        <v>57</v>
      </c>
      <c r="B8" s="357" t="e">
        <f>VLOOKUP('DATA SHEET'!C10,#REF!, 5, FALSE)</f>
        <v>#REF!</v>
      </c>
      <c r="C8" s="357"/>
      <c r="D8" s="358"/>
    </row>
    <row r="9" spans="1:5" s="43" customFormat="1">
      <c r="A9" s="49" t="s">
        <v>33</v>
      </c>
      <c r="B9" s="348" t="s">
        <v>90</v>
      </c>
      <c r="C9" s="348"/>
      <c r="D9" s="349"/>
    </row>
    <row r="10" spans="1:5" s="43" customFormat="1">
      <c r="C10" s="45"/>
    </row>
    <row r="11" spans="1:5" s="43" customFormat="1">
      <c r="A11" s="46" t="s">
        <v>55</v>
      </c>
      <c r="C11" s="45"/>
    </row>
    <row r="12" spans="1:5" s="43" customFormat="1">
      <c r="A12" s="43" t="s">
        <v>61</v>
      </c>
      <c r="C12" s="50" t="e">
        <f>B8-750000</f>
        <v>#REF!</v>
      </c>
      <c r="D12" s="45"/>
    </row>
    <row r="13" spans="1:5" s="43" customFormat="1" hidden="1">
      <c r="A13" s="43" t="s">
        <v>123</v>
      </c>
      <c r="B13" s="51">
        <v>0</v>
      </c>
      <c r="C13" s="52" t="e">
        <f>C12*B13</f>
        <v>#REF!</v>
      </c>
      <c r="D13" s="45"/>
    </row>
    <row r="14" spans="1:5" s="43" customFormat="1" hidden="1">
      <c r="C14" s="50" t="e">
        <f>C12-C13</f>
        <v>#REF!</v>
      </c>
      <c r="D14" s="45"/>
    </row>
    <row r="15" spans="1:5" s="43" customFormat="1">
      <c r="A15" s="43" t="s">
        <v>72</v>
      </c>
      <c r="B15" s="51">
        <v>0.05</v>
      </c>
      <c r="C15" s="52" t="e">
        <f>IF(B15&lt;=5%,C14*B15,"BEYOND MAX DISC.")</f>
        <v>#REF!</v>
      </c>
      <c r="D15" s="45"/>
    </row>
    <row r="16" spans="1:5">
      <c r="C16" s="23" t="e">
        <f>C14-C15</f>
        <v>#REF!</v>
      </c>
      <c r="D16" s="99"/>
    </row>
    <row r="17" spans="1:5">
      <c r="A17" s="1" t="s">
        <v>56</v>
      </c>
      <c r="C17" s="24">
        <v>750000</v>
      </c>
      <c r="D17" s="2"/>
    </row>
    <row r="18" spans="1:5" ht="15" thickBot="1">
      <c r="A18" s="6" t="s">
        <v>58</v>
      </c>
      <c r="B18" s="6"/>
      <c r="C18" s="25" t="e">
        <f>C16+C17</f>
        <v>#REF!</v>
      </c>
      <c r="D18" s="2"/>
    </row>
    <row r="19" spans="1:5" ht="15" thickTop="1"/>
    <row r="20" spans="1:5">
      <c r="A20" s="9" t="s">
        <v>34</v>
      </c>
      <c r="B20" s="9" t="s">
        <v>32</v>
      </c>
      <c r="C20" s="9" t="s">
        <v>2</v>
      </c>
      <c r="D20" s="9" t="s">
        <v>3</v>
      </c>
      <c r="E20" s="9" t="s">
        <v>68</v>
      </c>
    </row>
    <row r="21" spans="1:5">
      <c r="A21" s="8">
        <v>0</v>
      </c>
      <c r="B21" s="10">
        <f ca="1">'DATA SHEET'!C8</f>
        <v>43973</v>
      </c>
      <c r="C21" s="8" t="s">
        <v>38</v>
      </c>
      <c r="D21" s="11">
        <v>100000</v>
      </c>
      <c r="E21" s="12" t="e">
        <f>C18-D21</f>
        <v>#REF!</v>
      </c>
    </row>
    <row r="22" spans="1:5">
      <c r="A22" s="8">
        <v>1</v>
      </c>
      <c r="B22" s="10">
        <f ca="1">EDATE(B21,1)</f>
        <v>44004</v>
      </c>
      <c r="C22" s="8" t="s">
        <v>69</v>
      </c>
      <c r="D22" s="11" t="e">
        <f>(C18*0.5)-D21</f>
        <v>#REF!</v>
      </c>
      <c r="E22" s="12" t="e">
        <f>E21-D22</f>
        <v>#REF!</v>
      </c>
    </row>
    <row r="23" spans="1:5">
      <c r="A23" s="8">
        <v>2</v>
      </c>
      <c r="B23" s="10">
        <f t="shared" ref="B23:B47" ca="1" si="0">EDATE(B22,1)</f>
        <v>44034</v>
      </c>
      <c r="C23" s="8" t="s">
        <v>4</v>
      </c>
      <c r="D23" s="11" t="e">
        <f>(C18*0.1)/24</f>
        <v>#REF!</v>
      </c>
      <c r="E23" s="12" t="e">
        <f t="shared" ref="E23:E46" si="1">E22-D23</f>
        <v>#REF!</v>
      </c>
    </row>
    <row r="24" spans="1:5">
      <c r="A24" s="8">
        <v>3</v>
      </c>
      <c r="B24" s="10">
        <f t="shared" ca="1" si="0"/>
        <v>44065</v>
      </c>
      <c r="C24" s="8" t="s">
        <v>5</v>
      </c>
      <c r="D24" s="11" t="e">
        <f>D23</f>
        <v>#REF!</v>
      </c>
      <c r="E24" s="12" t="e">
        <f t="shared" si="1"/>
        <v>#REF!</v>
      </c>
    </row>
    <row r="25" spans="1:5">
      <c r="A25" s="8">
        <v>4</v>
      </c>
      <c r="B25" s="10">
        <f t="shared" ca="1" si="0"/>
        <v>44096</v>
      </c>
      <c r="C25" s="8" t="s">
        <v>6</v>
      </c>
      <c r="D25" s="11" t="e">
        <f t="shared" ref="D25:D46" si="2">D24</f>
        <v>#REF!</v>
      </c>
      <c r="E25" s="12" t="e">
        <f t="shared" si="1"/>
        <v>#REF!</v>
      </c>
    </row>
    <row r="26" spans="1:5">
      <c r="A26" s="8">
        <v>5</v>
      </c>
      <c r="B26" s="10">
        <f t="shared" ca="1" si="0"/>
        <v>44126</v>
      </c>
      <c r="C26" s="8" t="s">
        <v>7</v>
      </c>
      <c r="D26" s="11" t="e">
        <f t="shared" si="2"/>
        <v>#REF!</v>
      </c>
      <c r="E26" s="12" t="e">
        <f t="shared" si="1"/>
        <v>#REF!</v>
      </c>
    </row>
    <row r="27" spans="1:5">
      <c r="A27" s="8">
        <v>6</v>
      </c>
      <c r="B27" s="10">
        <f t="shared" ca="1" si="0"/>
        <v>44157</v>
      </c>
      <c r="C27" s="8" t="s">
        <v>8</v>
      </c>
      <c r="D27" s="11" t="e">
        <f t="shared" si="2"/>
        <v>#REF!</v>
      </c>
      <c r="E27" s="12" t="e">
        <f t="shared" si="1"/>
        <v>#REF!</v>
      </c>
    </row>
    <row r="28" spans="1:5">
      <c r="A28" s="8">
        <v>7</v>
      </c>
      <c r="B28" s="10">
        <f t="shared" ca="1" si="0"/>
        <v>44187</v>
      </c>
      <c r="C28" s="8" t="s">
        <v>9</v>
      </c>
      <c r="D28" s="11" t="e">
        <f t="shared" si="2"/>
        <v>#REF!</v>
      </c>
      <c r="E28" s="12" t="e">
        <f t="shared" si="1"/>
        <v>#REF!</v>
      </c>
    </row>
    <row r="29" spans="1:5">
      <c r="A29" s="8">
        <v>8</v>
      </c>
      <c r="B29" s="10">
        <f t="shared" ca="1" si="0"/>
        <v>44218</v>
      </c>
      <c r="C29" s="8" t="s">
        <v>10</v>
      </c>
      <c r="D29" s="11" t="e">
        <f t="shared" si="2"/>
        <v>#REF!</v>
      </c>
      <c r="E29" s="12" t="e">
        <f t="shared" si="1"/>
        <v>#REF!</v>
      </c>
    </row>
    <row r="30" spans="1:5">
      <c r="A30" s="8">
        <v>9</v>
      </c>
      <c r="B30" s="10">
        <f t="shared" ca="1" si="0"/>
        <v>44249</v>
      </c>
      <c r="C30" s="8" t="s">
        <v>11</v>
      </c>
      <c r="D30" s="11" t="e">
        <f t="shared" si="2"/>
        <v>#REF!</v>
      </c>
      <c r="E30" s="12" t="e">
        <f t="shared" si="1"/>
        <v>#REF!</v>
      </c>
    </row>
    <row r="31" spans="1:5">
      <c r="A31" s="8">
        <v>10</v>
      </c>
      <c r="B31" s="10">
        <f t="shared" ca="1" si="0"/>
        <v>44277</v>
      </c>
      <c r="C31" s="8" t="s">
        <v>12</v>
      </c>
      <c r="D31" s="11" t="e">
        <f t="shared" si="2"/>
        <v>#REF!</v>
      </c>
      <c r="E31" s="12" t="e">
        <f t="shared" si="1"/>
        <v>#REF!</v>
      </c>
    </row>
    <row r="32" spans="1:5">
      <c r="A32" s="8">
        <v>11</v>
      </c>
      <c r="B32" s="10">
        <f t="shared" ca="1" si="0"/>
        <v>44308</v>
      </c>
      <c r="C32" s="8" t="s">
        <v>13</v>
      </c>
      <c r="D32" s="11" t="e">
        <f t="shared" si="2"/>
        <v>#REF!</v>
      </c>
      <c r="E32" s="12" t="e">
        <f t="shared" si="1"/>
        <v>#REF!</v>
      </c>
    </row>
    <row r="33" spans="1:5">
      <c r="A33" s="8">
        <v>12</v>
      </c>
      <c r="B33" s="10">
        <f t="shared" ca="1" si="0"/>
        <v>44338</v>
      </c>
      <c r="C33" s="8" t="s">
        <v>14</v>
      </c>
      <c r="D33" s="11" t="e">
        <f t="shared" si="2"/>
        <v>#REF!</v>
      </c>
      <c r="E33" s="12" t="e">
        <f t="shared" si="1"/>
        <v>#REF!</v>
      </c>
    </row>
    <row r="34" spans="1:5">
      <c r="A34" s="8">
        <v>13</v>
      </c>
      <c r="B34" s="10">
        <f t="shared" ca="1" si="0"/>
        <v>44369</v>
      </c>
      <c r="C34" s="8" t="s">
        <v>15</v>
      </c>
      <c r="D34" s="11" t="e">
        <f t="shared" si="2"/>
        <v>#REF!</v>
      </c>
      <c r="E34" s="12" t="e">
        <f t="shared" si="1"/>
        <v>#REF!</v>
      </c>
    </row>
    <row r="35" spans="1:5">
      <c r="A35" s="8">
        <v>14</v>
      </c>
      <c r="B35" s="10">
        <f t="shared" ca="1" si="0"/>
        <v>44399</v>
      </c>
      <c r="C35" s="8" t="s">
        <v>19</v>
      </c>
      <c r="D35" s="11" t="e">
        <f t="shared" si="2"/>
        <v>#REF!</v>
      </c>
      <c r="E35" s="12" t="e">
        <f t="shared" si="1"/>
        <v>#REF!</v>
      </c>
    </row>
    <row r="36" spans="1:5">
      <c r="A36" s="8">
        <v>15</v>
      </c>
      <c r="B36" s="10">
        <f t="shared" ca="1" si="0"/>
        <v>44430</v>
      </c>
      <c r="C36" s="8" t="s">
        <v>20</v>
      </c>
      <c r="D36" s="11" t="e">
        <f t="shared" si="2"/>
        <v>#REF!</v>
      </c>
      <c r="E36" s="12" t="e">
        <f t="shared" si="1"/>
        <v>#REF!</v>
      </c>
    </row>
    <row r="37" spans="1:5">
      <c r="A37" s="8">
        <v>16</v>
      </c>
      <c r="B37" s="10">
        <f t="shared" ca="1" si="0"/>
        <v>44461</v>
      </c>
      <c r="C37" s="8" t="s">
        <v>21</v>
      </c>
      <c r="D37" s="11" t="e">
        <f t="shared" si="2"/>
        <v>#REF!</v>
      </c>
      <c r="E37" s="12" t="e">
        <f t="shared" si="1"/>
        <v>#REF!</v>
      </c>
    </row>
    <row r="38" spans="1:5">
      <c r="A38" s="8">
        <v>17</v>
      </c>
      <c r="B38" s="10">
        <f t="shared" ca="1" si="0"/>
        <v>44491</v>
      </c>
      <c r="C38" s="8" t="s">
        <v>22</v>
      </c>
      <c r="D38" s="11" t="e">
        <f t="shared" si="2"/>
        <v>#REF!</v>
      </c>
      <c r="E38" s="12" t="e">
        <f t="shared" si="1"/>
        <v>#REF!</v>
      </c>
    </row>
    <row r="39" spans="1:5">
      <c r="A39" s="8">
        <v>18</v>
      </c>
      <c r="B39" s="10">
        <f t="shared" ca="1" si="0"/>
        <v>44522</v>
      </c>
      <c r="C39" s="8" t="s">
        <v>23</v>
      </c>
      <c r="D39" s="11" t="e">
        <f t="shared" si="2"/>
        <v>#REF!</v>
      </c>
      <c r="E39" s="12" t="e">
        <f t="shared" si="1"/>
        <v>#REF!</v>
      </c>
    </row>
    <row r="40" spans="1:5">
      <c r="A40" s="8">
        <v>19</v>
      </c>
      <c r="B40" s="10">
        <f t="shared" ca="1" si="0"/>
        <v>44552</v>
      </c>
      <c r="C40" s="8" t="s">
        <v>24</v>
      </c>
      <c r="D40" s="11" t="e">
        <f t="shared" si="2"/>
        <v>#REF!</v>
      </c>
      <c r="E40" s="12" t="e">
        <f t="shared" si="1"/>
        <v>#REF!</v>
      </c>
    </row>
    <row r="41" spans="1:5">
      <c r="A41" s="8">
        <v>20</v>
      </c>
      <c r="B41" s="10">
        <f t="shared" ca="1" si="0"/>
        <v>44583</v>
      </c>
      <c r="C41" s="8" t="s">
        <v>25</v>
      </c>
      <c r="D41" s="11" t="e">
        <f t="shared" si="2"/>
        <v>#REF!</v>
      </c>
      <c r="E41" s="12" t="e">
        <f t="shared" si="1"/>
        <v>#REF!</v>
      </c>
    </row>
    <row r="42" spans="1:5">
      <c r="A42" s="8">
        <v>21</v>
      </c>
      <c r="B42" s="10">
        <f t="shared" ca="1" si="0"/>
        <v>44614</v>
      </c>
      <c r="C42" s="8" t="s">
        <v>26</v>
      </c>
      <c r="D42" s="11" t="e">
        <f t="shared" si="2"/>
        <v>#REF!</v>
      </c>
      <c r="E42" s="12" t="e">
        <f t="shared" si="1"/>
        <v>#REF!</v>
      </c>
    </row>
    <row r="43" spans="1:5">
      <c r="A43" s="8">
        <v>22</v>
      </c>
      <c r="B43" s="10">
        <f t="shared" ca="1" si="0"/>
        <v>44642</v>
      </c>
      <c r="C43" s="8" t="s">
        <v>27</v>
      </c>
      <c r="D43" s="11" t="e">
        <f t="shared" si="2"/>
        <v>#REF!</v>
      </c>
      <c r="E43" s="12" t="e">
        <f t="shared" si="1"/>
        <v>#REF!</v>
      </c>
    </row>
    <row r="44" spans="1:5">
      <c r="A44" s="8">
        <v>23</v>
      </c>
      <c r="B44" s="10">
        <f t="shared" ca="1" si="0"/>
        <v>44673</v>
      </c>
      <c r="C44" s="8" t="s">
        <v>28</v>
      </c>
      <c r="D44" s="11" t="e">
        <f t="shared" si="2"/>
        <v>#REF!</v>
      </c>
      <c r="E44" s="12" t="e">
        <f t="shared" si="1"/>
        <v>#REF!</v>
      </c>
    </row>
    <row r="45" spans="1:5">
      <c r="A45" s="8">
        <v>24</v>
      </c>
      <c r="B45" s="10">
        <f t="shared" ca="1" si="0"/>
        <v>44703</v>
      </c>
      <c r="C45" s="8" t="s">
        <v>29</v>
      </c>
      <c r="D45" s="11" t="e">
        <f t="shared" si="2"/>
        <v>#REF!</v>
      </c>
      <c r="E45" s="12" t="e">
        <f t="shared" si="1"/>
        <v>#REF!</v>
      </c>
    </row>
    <row r="46" spans="1:5">
      <c r="A46" s="8">
        <v>25</v>
      </c>
      <c r="B46" s="10">
        <f t="shared" ca="1" si="0"/>
        <v>44734</v>
      </c>
      <c r="C46" s="8" t="s">
        <v>30</v>
      </c>
      <c r="D46" s="11" t="e">
        <f t="shared" si="2"/>
        <v>#REF!</v>
      </c>
      <c r="E46" s="12" t="e">
        <f t="shared" si="1"/>
        <v>#REF!</v>
      </c>
    </row>
    <row r="47" spans="1:5">
      <c r="A47" s="14">
        <v>26</v>
      </c>
      <c r="B47" s="15">
        <f t="shared" ca="1" si="0"/>
        <v>44764</v>
      </c>
      <c r="C47" s="14" t="s">
        <v>39</v>
      </c>
      <c r="D47" s="16" t="e">
        <f>(C18*0.4)</f>
        <v>#REF!</v>
      </c>
      <c r="E47" s="38" t="e">
        <f>E46-D47</f>
        <v>#REF!</v>
      </c>
    </row>
    <row r="48" spans="1:5">
      <c r="A48" s="17"/>
      <c r="B48" s="18"/>
      <c r="C48" s="19" t="s">
        <v>16</v>
      </c>
      <c r="D48" s="20" t="e">
        <f>SUM(D21:D47)</f>
        <v>#REF!</v>
      </c>
      <c r="E48" s="17"/>
    </row>
    <row r="49" spans="1:5">
      <c r="A49" s="3" t="s">
        <v>62</v>
      </c>
      <c r="B49" s="27"/>
      <c r="C49" s="28"/>
      <c r="D49" s="29"/>
      <c r="E49" s="30"/>
    </row>
    <row r="50" spans="1:5">
      <c r="A50" s="4" t="s">
        <v>70</v>
      </c>
      <c r="B50" s="30"/>
      <c r="C50" s="28"/>
      <c r="D50" s="29"/>
      <c r="E50" s="30"/>
    </row>
    <row r="51" spans="1:5">
      <c r="A51" s="4" t="s">
        <v>71</v>
      </c>
      <c r="B51" s="30"/>
      <c r="C51" s="28"/>
      <c r="D51" s="29"/>
      <c r="E51" s="30"/>
    </row>
    <row r="52" spans="1:5">
      <c r="A52" s="4" t="s">
        <v>89</v>
      </c>
      <c r="B52" s="30"/>
      <c r="C52" s="28"/>
      <c r="D52" s="30"/>
      <c r="E52" s="30"/>
    </row>
    <row r="53" spans="1:5">
      <c r="A53" s="4" t="s">
        <v>75</v>
      </c>
      <c r="B53" s="30"/>
      <c r="C53" s="28"/>
      <c r="D53" s="30"/>
      <c r="E53" s="30"/>
    </row>
    <row r="54" spans="1:5">
      <c r="A54" s="4" t="s">
        <v>63</v>
      </c>
      <c r="B54" s="30"/>
      <c r="C54" s="28"/>
      <c r="D54" s="30"/>
      <c r="E54" s="30"/>
    </row>
    <row r="56" spans="1:5">
      <c r="A56" s="1" t="s">
        <v>17</v>
      </c>
    </row>
    <row r="58" spans="1:5">
      <c r="A58" s="5"/>
      <c r="D58" s="5"/>
    </row>
    <row r="59" spans="1:5">
      <c r="A59" s="2" t="s">
        <v>18</v>
      </c>
      <c r="D59" s="2" t="s">
        <v>18</v>
      </c>
    </row>
  </sheetData>
  <sheetProtection password="CAF1" sheet="1" selectLockedCells="1"/>
  <mergeCells count="6">
    <mergeCell ref="B9:D9"/>
    <mergeCell ref="E1:E2"/>
    <mergeCell ref="B5:D5"/>
    <mergeCell ref="B6:D6"/>
    <mergeCell ref="B7:D7"/>
    <mergeCell ref="B8:D8"/>
  </mergeCells>
  <hyperlinks>
    <hyperlink ref="B1" location="'DATA SHEET'!A1" display="HIGHLANDS PRIME, INC." xr:uid="{00000000-0004-0000-0700-000000000000}"/>
  </hyperlinks>
  <printOptions horizontalCentered="1"/>
  <pageMargins left="0.7" right="0.7" top="0.75" bottom="0.5" header="0.3" footer="0.3"/>
  <pageSetup scale="90"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6" tint="-0.249977111117893"/>
  </sheetPr>
  <dimension ref="A1:E59"/>
  <sheetViews>
    <sheetView showGridLines="0" workbookViewId="0">
      <selection activeCell="B17" sqref="B17"/>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3" customFormat="1" ht="12.75" customHeight="1">
      <c r="B1" s="44" t="s">
        <v>35</v>
      </c>
      <c r="C1" s="45"/>
      <c r="E1" s="350" t="s">
        <v>66</v>
      </c>
    </row>
    <row r="2" spans="1:5" s="43" customFormat="1">
      <c r="B2" s="46" t="s">
        <v>54</v>
      </c>
      <c r="C2" s="45"/>
      <c r="E2" s="350"/>
    </row>
    <row r="3" spans="1:5" s="43" customFormat="1">
      <c r="B3" s="46" t="s">
        <v>36</v>
      </c>
      <c r="C3" s="45"/>
    </row>
    <row r="4" spans="1:5" s="43" customFormat="1">
      <c r="C4" s="45"/>
    </row>
    <row r="5" spans="1:5" s="43" customFormat="1">
      <c r="A5" s="47" t="s">
        <v>0</v>
      </c>
      <c r="B5" s="351" t="str">
        <f>'DATA SHEET'!C9</f>
        <v xml:space="preserve"> </v>
      </c>
      <c r="C5" s="351"/>
      <c r="D5" s="352"/>
    </row>
    <row r="6" spans="1:5" s="43" customFormat="1">
      <c r="A6" s="48" t="s">
        <v>31</v>
      </c>
      <c r="B6" s="353" t="e">
        <f>VLOOKUP('DATA SHEET'!C10,#REF!, 1, FALSE)</f>
        <v>#REF!</v>
      </c>
      <c r="C6" s="353"/>
      <c r="D6" s="354"/>
    </row>
    <row r="7" spans="1:5" s="43" customFormat="1">
      <c r="A7" s="48" t="s">
        <v>37</v>
      </c>
      <c r="B7" s="355" t="e">
        <f>VLOOKUP('DATA SHEET'!C10,#REF!, 3, FALSE)</f>
        <v>#REF!</v>
      </c>
      <c r="C7" s="355"/>
      <c r="D7" s="356"/>
    </row>
    <row r="8" spans="1:5" s="43" customFormat="1">
      <c r="A8" s="48" t="s">
        <v>57</v>
      </c>
      <c r="B8" s="357" t="e">
        <f>VLOOKUP('DATA SHEET'!C10,#REF!, 5, FALSE)</f>
        <v>#REF!</v>
      </c>
      <c r="C8" s="357"/>
      <c r="D8" s="358"/>
    </row>
    <row r="9" spans="1:5" s="43" customFormat="1">
      <c r="A9" s="49" t="s">
        <v>33</v>
      </c>
      <c r="B9" s="348" t="s">
        <v>90</v>
      </c>
      <c r="C9" s="348"/>
      <c r="D9" s="349"/>
    </row>
    <row r="10" spans="1:5" s="43" customFormat="1">
      <c r="C10" s="45"/>
    </row>
    <row r="11" spans="1:5" s="43" customFormat="1">
      <c r="A11" s="46" t="s">
        <v>55</v>
      </c>
      <c r="C11" s="45"/>
    </row>
    <row r="12" spans="1:5" s="43" customFormat="1">
      <c r="A12" s="43" t="s">
        <v>57</v>
      </c>
      <c r="C12" s="50" t="e">
        <f>B8</f>
        <v>#REF!</v>
      </c>
      <c r="D12" s="45"/>
    </row>
    <row r="13" spans="1:5" s="43" customFormat="1">
      <c r="A13" s="43" t="s">
        <v>59</v>
      </c>
      <c r="C13" s="52">
        <v>750000</v>
      </c>
      <c r="D13" s="45"/>
    </row>
    <row r="14" spans="1:5" s="43" customFormat="1">
      <c r="C14" s="50" t="e">
        <f>C12-C13</f>
        <v>#REF!</v>
      </c>
      <c r="D14" s="45"/>
    </row>
    <row r="15" spans="1:5" s="43" customFormat="1" hidden="1">
      <c r="A15" s="43" t="s">
        <v>123</v>
      </c>
      <c r="B15" s="51">
        <v>0</v>
      </c>
      <c r="C15" s="52" t="e">
        <f>C14*B15</f>
        <v>#REF!</v>
      </c>
      <c r="D15" s="45"/>
    </row>
    <row r="16" spans="1:5" s="43" customFormat="1" hidden="1">
      <c r="C16" s="50" t="e">
        <f>C14-C15</f>
        <v>#REF!</v>
      </c>
      <c r="D16" s="45"/>
    </row>
    <row r="17" spans="1:5" s="43" customFormat="1">
      <c r="A17" s="43" t="s">
        <v>72</v>
      </c>
      <c r="B17" s="51">
        <v>0.05</v>
      </c>
      <c r="C17" s="52" t="e">
        <f>IF(B17&lt;=5%,C16*B17,"BEYOND MAX DISC.")</f>
        <v>#REF!</v>
      </c>
      <c r="D17" s="45"/>
    </row>
    <row r="18" spans="1:5" ht="15" thickBot="1">
      <c r="A18" s="6" t="s">
        <v>58</v>
      </c>
      <c r="B18" s="6"/>
      <c r="C18" s="25" t="e">
        <f>C16-C17</f>
        <v>#REF!</v>
      </c>
      <c r="D18" s="2"/>
    </row>
    <row r="19" spans="1:5" ht="15" thickTop="1"/>
    <row r="20" spans="1:5">
      <c r="A20" s="9" t="s">
        <v>34</v>
      </c>
      <c r="B20" s="9" t="s">
        <v>32</v>
      </c>
      <c r="C20" s="9" t="s">
        <v>2</v>
      </c>
      <c r="D20" s="9" t="s">
        <v>3</v>
      </c>
      <c r="E20" s="9" t="s">
        <v>68</v>
      </c>
    </row>
    <row r="21" spans="1:5">
      <c r="A21" s="8">
        <v>0</v>
      </c>
      <c r="B21" s="10">
        <f ca="1">'DATA SHEET'!C8</f>
        <v>43973</v>
      </c>
      <c r="C21" s="8" t="s">
        <v>38</v>
      </c>
      <c r="D21" s="11">
        <v>100000</v>
      </c>
      <c r="E21" s="12" t="e">
        <f>C18-D21</f>
        <v>#REF!</v>
      </c>
    </row>
    <row r="22" spans="1:5">
      <c r="A22" s="8">
        <v>1</v>
      </c>
      <c r="B22" s="10">
        <f ca="1">EDATE(B21,1)</f>
        <v>44004</v>
      </c>
      <c r="C22" s="8" t="s">
        <v>69</v>
      </c>
      <c r="D22" s="11" t="e">
        <f>(C18*0.5)-D21</f>
        <v>#REF!</v>
      </c>
      <c r="E22" s="12" t="e">
        <f>E21-D22</f>
        <v>#REF!</v>
      </c>
    </row>
    <row r="23" spans="1:5">
      <c r="A23" s="8">
        <v>2</v>
      </c>
      <c r="B23" s="10">
        <f t="shared" ref="B23:B47" ca="1" si="0">EDATE(B22,1)</f>
        <v>44034</v>
      </c>
      <c r="C23" s="8" t="s">
        <v>4</v>
      </c>
      <c r="D23" s="11" t="e">
        <f>(C18*0.1)/24</f>
        <v>#REF!</v>
      </c>
      <c r="E23" s="12" t="e">
        <f t="shared" ref="E23:E46" si="1">E22-D23</f>
        <v>#REF!</v>
      </c>
    </row>
    <row r="24" spans="1:5">
      <c r="A24" s="8">
        <v>3</v>
      </c>
      <c r="B24" s="10">
        <f t="shared" ca="1" si="0"/>
        <v>44065</v>
      </c>
      <c r="C24" s="8" t="s">
        <v>5</v>
      </c>
      <c r="D24" s="11" t="e">
        <f>D23</f>
        <v>#REF!</v>
      </c>
      <c r="E24" s="12" t="e">
        <f t="shared" si="1"/>
        <v>#REF!</v>
      </c>
    </row>
    <row r="25" spans="1:5">
      <c r="A25" s="8">
        <v>4</v>
      </c>
      <c r="B25" s="10">
        <f t="shared" ca="1" si="0"/>
        <v>44096</v>
      </c>
      <c r="C25" s="8" t="s">
        <v>6</v>
      </c>
      <c r="D25" s="11" t="e">
        <f t="shared" ref="D25:D46" si="2">D24</f>
        <v>#REF!</v>
      </c>
      <c r="E25" s="12" t="e">
        <f t="shared" si="1"/>
        <v>#REF!</v>
      </c>
    </row>
    <row r="26" spans="1:5">
      <c r="A26" s="8">
        <v>5</v>
      </c>
      <c r="B26" s="10">
        <f t="shared" ca="1" si="0"/>
        <v>44126</v>
      </c>
      <c r="C26" s="8" t="s">
        <v>7</v>
      </c>
      <c r="D26" s="11" t="e">
        <f t="shared" si="2"/>
        <v>#REF!</v>
      </c>
      <c r="E26" s="12" t="e">
        <f t="shared" si="1"/>
        <v>#REF!</v>
      </c>
    </row>
    <row r="27" spans="1:5">
      <c r="A27" s="8">
        <v>6</v>
      </c>
      <c r="B27" s="10">
        <f t="shared" ca="1" si="0"/>
        <v>44157</v>
      </c>
      <c r="C27" s="8" t="s">
        <v>8</v>
      </c>
      <c r="D27" s="11" t="e">
        <f t="shared" si="2"/>
        <v>#REF!</v>
      </c>
      <c r="E27" s="12" t="e">
        <f t="shared" si="1"/>
        <v>#REF!</v>
      </c>
    </row>
    <row r="28" spans="1:5">
      <c r="A28" s="8">
        <v>7</v>
      </c>
      <c r="B28" s="10">
        <f t="shared" ca="1" si="0"/>
        <v>44187</v>
      </c>
      <c r="C28" s="8" t="s">
        <v>9</v>
      </c>
      <c r="D28" s="11" t="e">
        <f t="shared" si="2"/>
        <v>#REF!</v>
      </c>
      <c r="E28" s="12" t="e">
        <f t="shared" si="1"/>
        <v>#REF!</v>
      </c>
    </row>
    <row r="29" spans="1:5">
      <c r="A29" s="8">
        <v>8</v>
      </c>
      <c r="B29" s="10">
        <f t="shared" ca="1" si="0"/>
        <v>44218</v>
      </c>
      <c r="C29" s="8" t="s">
        <v>10</v>
      </c>
      <c r="D29" s="11" t="e">
        <f t="shared" si="2"/>
        <v>#REF!</v>
      </c>
      <c r="E29" s="12" t="e">
        <f t="shared" si="1"/>
        <v>#REF!</v>
      </c>
    </row>
    <row r="30" spans="1:5">
      <c r="A30" s="8">
        <v>9</v>
      </c>
      <c r="B30" s="10">
        <f t="shared" ca="1" si="0"/>
        <v>44249</v>
      </c>
      <c r="C30" s="8" t="s">
        <v>11</v>
      </c>
      <c r="D30" s="11" t="e">
        <f t="shared" si="2"/>
        <v>#REF!</v>
      </c>
      <c r="E30" s="12" t="e">
        <f t="shared" si="1"/>
        <v>#REF!</v>
      </c>
    </row>
    <row r="31" spans="1:5">
      <c r="A31" s="8">
        <v>10</v>
      </c>
      <c r="B31" s="10">
        <f t="shared" ca="1" si="0"/>
        <v>44277</v>
      </c>
      <c r="C31" s="8" t="s">
        <v>12</v>
      </c>
      <c r="D31" s="11" t="e">
        <f t="shared" si="2"/>
        <v>#REF!</v>
      </c>
      <c r="E31" s="12" t="e">
        <f t="shared" si="1"/>
        <v>#REF!</v>
      </c>
    </row>
    <row r="32" spans="1:5">
      <c r="A32" s="8">
        <v>11</v>
      </c>
      <c r="B32" s="10">
        <f t="shared" ca="1" si="0"/>
        <v>44308</v>
      </c>
      <c r="C32" s="8" t="s">
        <v>13</v>
      </c>
      <c r="D32" s="11" t="e">
        <f t="shared" si="2"/>
        <v>#REF!</v>
      </c>
      <c r="E32" s="12" t="e">
        <f t="shared" si="1"/>
        <v>#REF!</v>
      </c>
    </row>
    <row r="33" spans="1:5">
      <c r="A33" s="8">
        <v>12</v>
      </c>
      <c r="B33" s="10">
        <f t="shared" ca="1" si="0"/>
        <v>44338</v>
      </c>
      <c r="C33" s="8" t="s">
        <v>14</v>
      </c>
      <c r="D33" s="11" t="e">
        <f t="shared" si="2"/>
        <v>#REF!</v>
      </c>
      <c r="E33" s="12" t="e">
        <f t="shared" si="1"/>
        <v>#REF!</v>
      </c>
    </row>
    <row r="34" spans="1:5">
      <c r="A34" s="8">
        <v>13</v>
      </c>
      <c r="B34" s="10">
        <f t="shared" ca="1" si="0"/>
        <v>44369</v>
      </c>
      <c r="C34" s="8" t="s">
        <v>15</v>
      </c>
      <c r="D34" s="11" t="e">
        <f t="shared" si="2"/>
        <v>#REF!</v>
      </c>
      <c r="E34" s="12" t="e">
        <f t="shared" si="1"/>
        <v>#REF!</v>
      </c>
    </row>
    <row r="35" spans="1:5">
      <c r="A35" s="8">
        <v>14</v>
      </c>
      <c r="B35" s="10">
        <f t="shared" ca="1" si="0"/>
        <v>44399</v>
      </c>
      <c r="C35" s="8" t="s">
        <v>19</v>
      </c>
      <c r="D35" s="11" t="e">
        <f t="shared" si="2"/>
        <v>#REF!</v>
      </c>
      <c r="E35" s="12" t="e">
        <f t="shared" si="1"/>
        <v>#REF!</v>
      </c>
    </row>
    <row r="36" spans="1:5">
      <c r="A36" s="8">
        <v>15</v>
      </c>
      <c r="B36" s="10">
        <f t="shared" ca="1" si="0"/>
        <v>44430</v>
      </c>
      <c r="C36" s="8" t="s">
        <v>20</v>
      </c>
      <c r="D36" s="11" t="e">
        <f t="shared" si="2"/>
        <v>#REF!</v>
      </c>
      <c r="E36" s="12" t="e">
        <f t="shared" si="1"/>
        <v>#REF!</v>
      </c>
    </row>
    <row r="37" spans="1:5">
      <c r="A37" s="8">
        <v>16</v>
      </c>
      <c r="B37" s="10">
        <f t="shared" ca="1" si="0"/>
        <v>44461</v>
      </c>
      <c r="C37" s="8" t="s">
        <v>21</v>
      </c>
      <c r="D37" s="11" t="e">
        <f t="shared" si="2"/>
        <v>#REF!</v>
      </c>
      <c r="E37" s="12" t="e">
        <f t="shared" si="1"/>
        <v>#REF!</v>
      </c>
    </row>
    <row r="38" spans="1:5">
      <c r="A38" s="8">
        <v>17</v>
      </c>
      <c r="B38" s="10">
        <f t="shared" ca="1" si="0"/>
        <v>44491</v>
      </c>
      <c r="C38" s="8" t="s">
        <v>22</v>
      </c>
      <c r="D38" s="11" t="e">
        <f t="shared" si="2"/>
        <v>#REF!</v>
      </c>
      <c r="E38" s="12" t="e">
        <f t="shared" si="1"/>
        <v>#REF!</v>
      </c>
    </row>
    <row r="39" spans="1:5">
      <c r="A39" s="8">
        <v>18</v>
      </c>
      <c r="B39" s="10">
        <f t="shared" ca="1" si="0"/>
        <v>44522</v>
      </c>
      <c r="C39" s="8" t="s">
        <v>23</v>
      </c>
      <c r="D39" s="11" t="e">
        <f t="shared" si="2"/>
        <v>#REF!</v>
      </c>
      <c r="E39" s="12" t="e">
        <f t="shared" si="1"/>
        <v>#REF!</v>
      </c>
    </row>
    <row r="40" spans="1:5">
      <c r="A40" s="8">
        <v>19</v>
      </c>
      <c r="B40" s="10">
        <f t="shared" ca="1" si="0"/>
        <v>44552</v>
      </c>
      <c r="C40" s="8" t="s">
        <v>24</v>
      </c>
      <c r="D40" s="11" t="e">
        <f t="shared" si="2"/>
        <v>#REF!</v>
      </c>
      <c r="E40" s="12" t="e">
        <f t="shared" si="1"/>
        <v>#REF!</v>
      </c>
    </row>
    <row r="41" spans="1:5">
      <c r="A41" s="8">
        <v>20</v>
      </c>
      <c r="B41" s="10">
        <f t="shared" ca="1" si="0"/>
        <v>44583</v>
      </c>
      <c r="C41" s="8" t="s">
        <v>25</v>
      </c>
      <c r="D41" s="11" t="e">
        <f t="shared" si="2"/>
        <v>#REF!</v>
      </c>
      <c r="E41" s="12" t="e">
        <f t="shared" si="1"/>
        <v>#REF!</v>
      </c>
    </row>
    <row r="42" spans="1:5">
      <c r="A42" s="8">
        <v>21</v>
      </c>
      <c r="B42" s="10">
        <f t="shared" ca="1" si="0"/>
        <v>44614</v>
      </c>
      <c r="C42" s="8" t="s">
        <v>26</v>
      </c>
      <c r="D42" s="11" t="e">
        <f t="shared" si="2"/>
        <v>#REF!</v>
      </c>
      <c r="E42" s="12" t="e">
        <f t="shared" si="1"/>
        <v>#REF!</v>
      </c>
    </row>
    <row r="43" spans="1:5">
      <c r="A43" s="8">
        <v>22</v>
      </c>
      <c r="B43" s="10">
        <f t="shared" ca="1" si="0"/>
        <v>44642</v>
      </c>
      <c r="C43" s="8" t="s">
        <v>27</v>
      </c>
      <c r="D43" s="11" t="e">
        <f t="shared" si="2"/>
        <v>#REF!</v>
      </c>
      <c r="E43" s="12" t="e">
        <f t="shared" si="1"/>
        <v>#REF!</v>
      </c>
    </row>
    <row r="44" spans="1:5">
      <c r="A44" s="8">
        <v>23</v>
      </c>
      <c r="B44" s="10">
        <f t="shared" ca="1" si="0"/>
        <v>44673</v>
      </c>
      <c r="C44" s="8" t="s">
        <v>28</v>
      </c>
      <c r="D44" s="11" t="e">
        <f t="shared" si="2"/>
        <v>#REF!</v>
      </c>
      <c r="E44" s="12" t="e">
        <f t="shared" si="1"/>
        <v>#REF!</v>
      </c>
    </row>
    <row r="45" spans="1:5">
      <c r="A45" s="8">
        <v>24</v>
      </c>
      <c r="B45" s="10">
        <f t="shared" ca="1" si="0"/>
        <v>44703</v>
      </c>
      <c r="C45" s="8" t="s">
        <v>29</v>
      </c>
      <c r="D45" s="11" t="e">
        <f t="shared" si="2"/>
        <v>#REF!</v>
      </c>
      <c r="E45" s="12" t="e">
        <f t="shared" si="1"/>
        <v>#REF!</v>
      </c>
    </row>
    <row r="46" spans="1:5">
      <c r="A46" s="8">
        <v>25</v>
      </c>
      <c r="B46" s="10">
        <f t="shared" ca="1" si="0"/>
        <v>44734</v>
      </c>
      <c r="C46" s="8" t="s">
        <v>30</v>
      </c>
      <c r="D46" s="11" t="e">
        <f t="shared" si="2"/>
        <v>#REF!</v>
      </c>
      <c r="E46" s="12" t="e">
        <f t="shared" si="1"/>
        <v>#REF!</v>
      </c>
    </row>
    <row r="47" spans="1:5">
      <c r="A47" s="14">
        <v>26</v>
      </c>
      <c r="B47" s="15">
        <f t="shared" ca="1" si="0"/>
        <v>44764</v>
      </c>
      <c r="C47" s="14" t="s">
        <v>39</v>
      </c>
      <c r="D47" s="16" t="e">
        <f>(C18*0.4)</f>
        <v>#REF!</v>
      </c>
      <c r="E47" s="38" t="e">
        <f>E46-D47</f>
        <v>#REF!</v>
      </c>
    </row>
    <row r="48" spans="1:5">
      <c r="A48" s="17"/>
      <c r="B48" s="18"/>
      <c r="C48" s="19" t="s">
        <v>16</v>
      </c>
      <c r="D48" s="20" t="e">
        <f>SUM(D21:D47)</f>
        <v>#REF!</v>
      </c>
      <c r="E48" s="17"/>
    </row>
    <row r="49" spans="1:5">
      <c r="A49" s="3" t="s">
        <v>62</v>
      </c>
      <c r="B49" s="27"/>
      <c r="C49" s="28"/>
      <c r="D49" s="29"/>
      <c r="E49" s="30"/>
    </row>
    <row r="50" spans="1:5">
      <c r="A50" s="4" t="s">
        <v>70</v>
      </c>
      <c r="B50" s="30"/>
      <c r="C50" s="28"/>
      <c r="D50" s="29"/>
      <c r="E50" s="30"/>
    </row>
    <row r="51" spans="1:5">
      <c r="A51" s="4" t="s">
        <v>71</v>
      </c>
      <c r="B51" s="30"/>
      <c r="C51" s="28"/>
      <c r="D51" s="29"/>
      <c r="E51" s="30"/>
    </row>
    <row r="52" spans="1:5">
      <c r="A52" s="4" t="s">
        <v>89</v>
      </c>
      <c r="B52" s="30"/>
      <c r="C52" s="28"/>
      <c r="D52" s="30"/>
      <c r="E52" s="30"/>
    </row>
    <row r="53" spans="1:5">
      <c r="A53" s="4" t="s">
        <v>75</v>
      </c>
      <c r="B53" s="30"/>
      <c r="C53" s="28"/>
      <c r="D53" s="30"/>
      <c r="E53" s="30"/>
    </row>
    <row r="54" spans="1:5">
      <c r="A54" s="4" t="s">
        <v>63</v>
      </c>
      <c r="B54" s="30"/>
      <c r="C54" s="28"/>
      <c r="D54" s="30"/>
      <c r="E54" s="30"/>
    </row>
    <row r="56" spans="1:5">
      <c r="A56" s="1" t="s">
        <v>17</v>
      </c>
    </row>
    <row r="58" spans="1:5">
      <c r="A58" s="5"/>
      <c r="D58" s="5"/>
    </row>
    <row r="59" spans="1:5">
      <c r="A59" s="2" t="s">
        <v>18</v>
      </c>
      <c r="D59" s="2" t="s">
        <v>18</v>
      </c>
    </row>
  </sheetData>
  <sheetProtection password="CAF1" sheet="1" selectLockedCells="1"/>
  <mergeCells count="6">
    <mergeCell ref="B9:D9"/>
    <mergeCell ref="E1:E2"/>
    <mergeCell ref="B5:D5"/>
    <mergeCell ref="B6:D6"/>
    <mergeCell ref="B7:D7"/>
    <mergeCell ref="B8:D8"/>
  </mergeCells>
  <hyperlinks>
    <hyperlink ref="B1" location="'DATA SHEET'!A1" display="HIGHLANDS PRIME, INC." xr:uid="{00000000-0004-0000-0800-000000000000}"/>
  </hyperlinks>
  <printOptions horizontalCentered="1"/>
  <pageMargins left="0.7" right="0.7" top="0.75" bottom="0.5" header="0.3" footer="0.3"/>
  <pageSetup scale="90" orientation="portrait" r:id="rId1"/>
  <headerFooter>
    <oddFooter>&amp;L&amp;8A project of HIGHLANDS PRIME, INC. 
Woodridge Place at Tagaytay Highlands,  Tagaytay Highlands, Tagaytay City
HLURB License To Sell No. 22459&amp;RPage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36</vt:i4>
      </vt:variant>
      <vt:variant>
        <vt:lpstr>Named Ranges</vt:lpstr>
      </vt:variant>
      <vt:variant>
        <vt:i4>43</vt:i4>
      </vt:variant>
    </vt:vector>
  </HeadingPairs>
  <TitlesOfParts>
    <vt:vector size="79" baseType="lpstr">
      <vt:lpstr>DATA SHEET</vt:lpstr>
      <vt:lpstr> </vt:lpstr>
      <vt:lpstr> Glenview PL</vt:lpstr>
      <vt:lpstr>Cash_Non-mem</vt:lpstr>
      <vt:lpstr>Cash_Mem</vt:lpstr>
      <vt:lpstr>Deferred Cash_Non-mem</vt:lpstr>
      <vt:lpstr>Deferred Cash_Mem</vt:lpstr>
      <vt:lpstr>INST1_Non-mem</vt:lpstr>
      <vt:lpstr>INST1_Mem</vt:lpstr>
      <vt:lpstr>INST2_Non-mem</vt:lpstr>
      <vt:lpstr>INST2_Mem</vt:lpstr>
      <vt:lpstr>Promo Term 1_Non-mem</vt:lpstr>
      <vt:lpstr>Promo Term 1_Mem</vt:lpstr>
      <vt:lpstr>Promo Term 2_Non-mem</vt:lpstr>
      <vt:lpstr>Promo Term 2_Mem</vt:lpstr>
      <vt:lpstr>INST1_Non mem</vt:lpstr>
      <vt:lpstr>INST1_Member</vt:lpstr>
      <vt:lpstr>INST2_Non-member</vt:lpstr>
      <vt:lpstr>INST2_Member</vt:lpstr>
      <vt:lpstr>CASH TERM_Non-Member</vt:lpstr>
      <vt:lpstr>DP Term1_Non-member</vt:lpstr>
      <vt:lpstr>DP Term2_Non-mem</vt:lpstr>
      <vt:lpstr>DP Term3_Non-mem</vt:lpstr>
      <vt:lpstr>DP Term4_Non-mem</vt:lpstr>
      <vt:lpstr>NO DP term1_Non-mem</vt:lpstr>
      <vt:lpstr>NO DP term2_Non-mem</vt:lpstr>
      <vt:lpstr>NO DP term3_Non-mem</vt:lpstr>
      <vt:lpstr>CASH TERM_Member</vt:lpstr>
      <vt:lpstr>DP Term1_Member</vt:lpstr>
      <vt:lpstr>DP Term2_Member</vt:lpstr>
      <vt:lpstr>DP Term3_Member</vt:lpstr>
      <vt:lpstr>DP Term4_Member</vt:lpstr>
      <vt:lpstr>NO DP Term1_Member</vt:lpstr>
      <vt:lpstr>NO DP Term 2_Member</vt:lpstr>
      <vt:lpstr>NO DP Term 3_Member</vt:lpstr>
      <vt:lpstr>Compatibility Report</vt:lpstr>
      <vt:lpstr>'CASH TERM_Member'!Print_Area</vt:lpstr>
      <vt:lpstr>'CASH TERM_Non-Member'!Print_Area</vt:lpstr>
      <vt:lpstr>Cash_Mem!Print_Area</vt:lpstr>
      <vt:lpstr>'Cash_Non-mem'!Print_Area</vt:lpstr>
      <vt:lpstr>'Deferred Cash_Mem'!Print_Area</vt:lpstr>
      <vt:lpstr>'Deferred Cash_Non-mem'!Print_Area</vt:lpstr>
      <vt:lpstr>'DP Term1_Member'!Print_Area</vt:lpstr>
      <vt:lpstr>'DP Term1_Non-member'!Print_Area</vt:lpstr>
      <vt:lpstr>'DP Term2_Non-mem'!Print_Area</vt:lpstr>
      <vt:lpstr>INST1_Mem!Print_Area</vt:lpstr>
      <vt:lpstr>INST1_Member!Print_Area</vt:lpstr>
      <vt:lpstr>'INST1_Non mem'!Print_Area</vt:lpstr>
      <vt:lpstr>'INST1_Non-mem'!Print_Area</vt:lpstr>
      <vt:lpstr>INST2_Mem!Print_Area</vt:lpstr>
      <vt:lpstr>INST2_Member!Print_Area</vt:lpstr>
      <vt:lpstr>'INST2_Non-mem'!Print_Area</vt:lpstr>
      <vt:lpstr>'INST2_Non-member'!Print_Area</vt:lpstr>
      <vt:lpstr>'NO DP Term 2_Member'!Print_Area</vt:lpstr>
      <vt:lpstr>'NO DP Term 3_Member'!Print_Area</vt:lpstr>
      <vt:lpstr>'NO DP Term1_Member'!Print_Area</vt:lpstr>
      <vt:lpstr>'NO DP term1_Non-mem'!Print_Area</vt:lpstr>
      <vt:lpstr>'NO DP term2_Non-mem'!Print_Area</vt:lpstr>
      <vt:lpstr>'NO DP term3_Non-mem'!Print_Area</vt:lpstr>
      <vt:lpstr>'Promo Term 1_Mem'!Print_Area</vt:lpstr>
      <vt:lpstr>'Promo Term 1_Non-mem'!Print_Area</vt:lpstr>
      <vt:lpstr>'Promo Term 2_Mem'!Print_Area</vt:lpstr>
      <vt:lpstr>'Promo Term 2_Non-mem'!Print_Area</vt:lpstr>
      <vt:lpstr>'CASH TERM_Member'!Print_Titles</vt:lpstr>
      <vt:lpstr>'CASH TERM_Non-Member'!Print_Titles</vt:lpstr>
      <vt:lpstr>'DP Term1_Member'!Print_Titles</vt:lpstr>
      <vt:lpstr>'DP Term1_Non-member'!Print_Titles</vt:lpstr>
      <vt:lpstr>'DP Term3_Member'!Print_Titles</vt:lpstr>
      <vt:lpstr>'DP Term4_Member'!Print_Titles</vt:lpstr>
      <vt:lpstr>'DP Term4_Non-mem'!Print_Titles</vt:lpstr>
      <vt:lpstr>'INST1_Non mem'!Print_Titles</vt:lpstr>
      <vt:lpstr>'NO DP Term 2_Member'!Print_Titles</vt:lpstr>
      <vt:lpstr>'NO DP Term 3_Member'!Print_Titles</vt:lpstr>
      <vt:lpstr>'NO DP Term1_Member'!Print_Titles</vt:lpstr>
      <vt:lpstr>'NO DP term1_Non-mem'!Print_Titles</vt:lpstr>
      <vt:lpstr>'NO DP term2_Non-mem'!Print_Titles</vt:lpstr>
      <vt:lpstr>'NO DP term3_Non-mem'!Print_Titles</vt:lpstr>
      <vt:lpstr>'Promo Term 2_Mem'!Print_Titles</vt:lpstr>
      <vt:lpstr>'Promo Term 2_Non-mem'!Print_Titles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ariel david acuzar</cp:lastModifiedBy>
  <cp:lastPrinted>2019-12-23T06:52:11Z</cp:lastPrinted>
  <dcterms:created xsi:type="dcterms:W3CDTF">2012-10-30T18:10:05Z</dcterms:created>
  <dcterms:modified xsi:type="dcterms:W3CDTF">2020-05-22T13:27:21Z</dcterms:modified>
</cp:coreProperties>
</file>