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codeName="ThisWorkbook" autoCompressPictures="0"/>
  <mc:AlternateContent xmlns:mc="http://schemas.openxmlformats.org/markup-compatibility/2006">
    <mc:Choice Requires="x15">
      <x15ac:absPath xmlns:x15ac="http://schemas.microsoft.com/office/spreadsheetml/2010/11/ac" url="/Users/arielacuzar/Desktop/Computations Lot (Jan 2021)/"/>
    </mc:Choice>
  </mc:AlternateContent>
  <xr:revisionPtr revIDLastSave="0" documentId="8_{C1DB7CD3-16F8-384D-A958-E9E3208FE754}" xr6:coauthVersionLast="46" xr6:coauthVersionMax="46" xr10:uidLastSave="{00000000-0000-0000-0000-000000000000}"/>
  <workbookProtection workbookPassword="C931" lockStructure="1"/>
  <bookViews>
    <workbookView xWindow="0" yWindow="840" windowWidth="27320" windowHeight="12440" tabRatio="933" activeTab="5" xr2:uid="{00000000-000D-0000-FFFF-FFFF00000000}"/>
  </bookViews>
  <sheets>
    <sheet name="Sheet1" sheetId="2" state="hidden" r:id="rId1"/>
    <sheet name="SEPT 1 2020" sheetId="20" state="hidden" r:id="rId2"/>
    <sheet name="PRICE LIST 9-1-20" sheetId="3" state="hidden" r:id="rId3"/>
    <sheet name="PAYMENT TERMS SUMMARY_Non Mem" sheetId="4" state="hidden" r:id="rId4"/>
    <sheet name="GIVEOTAKE" sheetId="19" state="hidden" r:id="rId5"/>
    <sheet name="INPUT" sheetId="5" r:id="rId6"/>
    <sheet name="NonMem_Cash" sheetId="11" r:id="rId7"/>
    <sheet name="NonMem_SpotDP 1" sheetId="12" r:id="rId8"/>
    <sheet name="NonMem_SpotDP 2" sheetId="22" r:id="rId9"/>
    <sheet name="NonMem_NoDP" sheetId="14" r:id="rId10"/>
    <sheet name="NonMem_Promo Term" sheetId="15" r:id="rId11"/>
    <sheet name="PAYMENT TERM SUMMARY _Mem" sheetId="7" state="hidden" r:id="rId12"/>
    <sheet name="Mem_Cash" sheetId="6" r:id="rId13"/>
    <sheet name="Mem_Spot DP 1" sheetId="8" r:id="rId14"/>
    <sheet name="Mem_Spot DP 2" sheetId="23" r:id="rId15"/>
    <sheet name="Mem_No DP" sheetId="10" r:id="rId16"/>
    <sheet name="Mem_Promo Term" sheetId="16"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________FEU8" localSheetId="14">[1]Assumptions!#REF!</definedName>
    <definedName name="_________FEU8" localSheetId="8">[1]Assumptions!#REF!</definedName>
    <definedName name="_________FEU8">[1]Assumptions!#REF!</definedName>
    <definedName name="_________klq6" localSheetId="14">#REF!</definedName>
    <definedName name="_________klq6" localSheetId="8">#REF!</definedName>
    <definedName name="_________klq6">#REF!</definedName>
    <definedName name="_________kz6" localSheetId="14">#REF!</definedName>
    <definedName name="_________kz6" localSheetId="8">#REF!</definedName>
    <definedName name="_________kz6">#REF!</definedName>
    <definedName name="_________SL101" localSheetId="14">#REF!</definedName>
    <definedName name="_________SL101" localSheetId="8">#REF!</definedName>
    <definedName name="_________SL101">#REF!</definedName>
    <definedName name="________FEU8" localSheetId="14">[1]Assumptions!#REF!</definedName>
    <definedName name="________FEU8" localSheetId="8">[1]Assumptions!#REF!</definedName>
    <definedName name="________FEU8" localSheetId="1">[1]Assumptions!#REF!</definedName>
    <definedName name="________FEU8">[1]Assumptions!#REF!</definedName>
    <definedName name="________klq6" localSheetId="16">#REF!</definedName>
    <definedName name="________klq6" localSheetId="14">#REF!</definedName>
    <definedName name="________klq6" localSheetId="10">#REF!</definedName>
    <definedName name="________klq6" localSheetId="8">#REF!</definedName>
    <definedName name="________klq6" localSheetId="3">#REF!</definedName>
    <definedName name="________klq6" localSheetId="2">#REF!</definedName>
    <definedName name="________klq6" localSheetId="1">#REF!</definedName>
    <definedName name="________klq6">#REF!</definedName>
    <definedName name="________kz6" localSheetId="16">#REF!</definedName>
    <definedName name="________kz6" localSheetId="14">#REF!</definedName>
    <definedName name="________kz6" localSheetId="10">#REF!</definedName>
    <definedName name="________kz6" localSheetId="8">#REF!</definedName>
    <definedName name="________kz6" localSheetId="3">#REF!</definedName>
    <definedName name="________kz6" localSheetId="2">#REF!</definedName>
    <definedName name="________kz6" localSheetId="1">#REF!</definedName>
    <definedName name="________kz6">#REF!</definedName>
    <definedName name="________SL101" localSheetId="16">#REF!</definedName>
    <definedName name="________SL101" localSheetId="14">#REF!</definedName>
    <definedName name="________SL101" localSheetId="10">#REF!</definedName>
    <definedName name="________SL101" localSheetId="8">#REF!</definedName>
    <definedName name="________SL101" localSheetId="3">#REF!</definedName>
    <definedName name="________SL101" localSheetId="2">#REF!</definedName>
    <definedName name="________SL101" localSheetId="1">#REF!</definedName>
    <definedName name="________SL101">#REF!</definedName>
    <definedName name="_______FEU8" localSheetId="14">[1]Assumptions!#REF!</definedName>
    <definedName name="_______FEU8" localSheetId="8">[1]Assumptions!#REF!</definedName>
    <definedName name="_______FEU8" localSheetId="1">[1]Assumptions!#REF!</definedName>
    <definedName name="_______FEU8">[1]Assumptions!#REF!</definedName>
    <definedName name="_______klq6" localSheetId="16">#REF!</definedName>
    <definedName name="_______klq6" localSheetId="14">#REF!</definedName>
    <definedName name="_______klq6" localSheetId="10">#REF!</definedName>
    <definedName name="_______klq6" localSheetId="8">#REF!</definedName>
    <definedName name="_______klq6" localSheetId="3">#REF!</definedName>
    <definedName name="_______klq6" localSheetId="2">#REF!</definedName>
    <definedName name="_______klq6" localSheetId="1">#REF!</definedName>
    <definedName name="_______klq6">#REF!</definedName>
    <definedName name="_______kz6" localSheetId="16">#REF!</definedName>
    <definedName name="_______kz6" localSheetId="14">#REF!</definedName>
    <definedName name="_______kz6" localSheetId="10">#REF!</definedName>
    <definedName name="_______kz6" localSheetId="8">#REF!</definedName>
    <definedName name="_______kz6" localSheetId="3">#REF!</definedName>
    <definedName name="_______kz6" localSheetId="2">#REF!</definedName>
    <definedName name="_______kz6" localSheetId="1">#REF!</definedName>
    <definedName name="_______kz6">#REF!</definedName>
    <definedName name="_______SL101" localSheetId="16">#REF!</definedName>
    <definedName name="_______SL101" localSheetId="14">#REF!</definedName>
    <definedName name="_______SL101" localSheetId="10">#REF!</definedName>
    <definedName name="_______SL101" localSheetId="8">#REF!</definedName>
    <definedName name="_______SL101" localSheetId="3">#REF!</definedName>
    <definedName name="_______SL101" localSheetId="2">#REF!</definedName>
    <definedName name="_______SL101" localSheetId="1">#REF!</definedName>
    <definedName name="_______SL101">#REF!</definedName>
    <definedName name="______FEU8" localSheetId="14">[1]Assumptions!#REF!</definedName>
    <definedName name="______FEU8" localSheetId="8">[1]Assumptions!#REF!</definedName>
    <definedName name="______FEU8" localSheetId="1">[1]Assumptions!#REF!</definedName>
    <definedName name="______FEU8">[1]Assumptions!#REF!</definedName>
    <definedName name="______klq6" localSheetId="16">#REF!</definedName>
    <definedName name="______klq6" localSheetId="14">#REF!</definedName>
    <definedName name="______klq6" localSheetId="10">#REF!</definedName>
    <definedName name="______klq6" localSheetId="8">#REF!</definedName>
    <definedName name="______klq6" localSheetId="3">#REF!</definedName>
    <definedName name="______klq6" localSheetId="2">#REF!</definedName>
    <definedName name="______klq6" localSheetId="1">#REF!</definedName>
    <definedName name="______klq6">#REF!</definedName>
    <definedName name="______kz6" localSheetId="16">#REF!</definedName>
    <definedName name="______kz6" localSheetId="14">#REF!</definedName>
    <definedName name="______kz6" localSheetId="10">#REF!</definedName>
    <definedName name="______kz6" localSheetId="8">#REF!</definedName>
    <definedName name="______kz6" localSheetId="3">#REF!</definedName>
    <definedName name="______kz6" localSheetId="2">#REF!</definedName>
    <definedName name="______kz6" localSheetId="1">#REF!</definedName>
    <definedName name="______kz6">#REF!</definedName>
    <definedName name="______SL101" localSheetId="16">#REF!</definedName>
    <definedName name="______SL101" localSheetId="14">#REF!</definedName>
    <definedName name="______SL101" localSheetId="10">#REF!</definedName>
    <definedName name="______SL101" localSheetId="8">#REF!</definedName>
    <definedName name="______SL101" localSheetId="3">#REF!</definedName>
    <definedName name="______SL101" localSheetId="2">#REF!</definedName>
    <definedName name="______SL101" localSheetId="1">#REF!</definedName>
    <definedName name="______SL101">#REF!</definedName>
    <definedName name="_____FEU8" localSheetId="14">[1]Assumptions!#REF!</definedName>
    <definedName name="_____FEU8" localSheetId="8">[1]Assumptions!#REF!</definedName>
    <definedName name="_____FEU8">[1]Assumptions!#REF!</definedName>
    <definedName name="_____klq6" localSheetId="14">#REF!</definedName>
    <definedName name="_____klq6" localSheetId="8">#REF!</definedName>
    <definedName name="_____klq6">#REF!</definedName>
    <definedName name="_____kz6" localSheetId="14">#REF!</definedName>
    <definedName name="_____kz6" localSheetId="8">#REF!</definedName>
    <definedName name="_____kz6">#REF!</definedName>
    <definedName name="_____SL101" localSheetId="14">#REF!</definedName>
    <definedName name="_____SL101" localSheetId="8">#REF!</definedName>
    <definedName name="_____SL101">#REF!</definedName>
    <definedName name="____FEU8" localSheetId="14">[1]Assumptions!#REF!</definedName>
    <definedName name="____FEU8" localSheetId="8">[1]Assumptions!#REF!</definedName>
    <definedName name="____FEU8" localSheetId="1">[1]Assumptions!#REF!</definedName>
    <definedName name="____FEU8">[1]Assumptions!#REF!</definedName>
    <definedName name="____klq6" localSheetId="16">#REF!</definedName>
    <definedName name="____klq6" localSheetId="14">#REF!</definedName>
    <definedName name="____klq6" localSheetId="10">#REF!</definedName>
    <definedName name="____klq6" localSheetId="8">#REF!</definedName>
    <definedName name="____klq6" localSheetId="3">#REF!</definedName>
    <definedName name="____klq6" localSheetId="2">#REF!</definedName>
    <definedName name="____klq6" localSheetId="1">#REF!</definedName>
    <definedName name="____klq6">#REF!</definedName>
    <definedName name="____kz6" localSheetId="16">#REF!</definedName>
    <definedName name="____kz6" localSheetId="14">#REF!</definedName>
    <definedName name="____kz6" localSheetId="10">#REF!</definedName>
    <definedName name="____kz6" localSheetId="8">#REF!</definedName>
    <definedName name="____kz6" localSheetId="3">#REF!</definedName>
    <definedName name="____kz6" localSheetId="2">#REF!</definedName>
    <definedName name="____kz6" localSheetId="1">#REF!</definedName>
    <definedName name="____kz6">#REF!</definedName>
    <definedName name="____SL101" localSheetId="16">#REF!</definedName>
    <definedName name="____SL101" localSheetId="14">#REF!</definedName>
    <definedName name="____SL101" localSheetId="10">#REF!</definedName>
    <definedName name="____SL101" localSheetId="8">#REF!</definedName>
    <definedName name="____SL101" localSheetId="3">#REF!</definedName>
    <definedName name="____SL101" localSheetId="2">#REF!</definedName>
    <definedName name="____SL101" localSheetId="1">#REF!</definedName>
    <definedName name="____SL101">#REF!</definedName>
    <definedName name="____xlnm.Print_Area_4" localSheetId="16">#REF!</definedName>
    <definedName name="____xlnm.Print_Area_4" localSheetId="14">#REF!</definedName>
    <definedName name="____xlnm.Print_Area_4" localSheetId="10">#REF!</definedName>
    <definedName name="____xlnm.Print_Area_4" localSheetId="8">#REF!</definedName>
    <definedName name="____xlnm.Print_Area_4" localSheetId="3">#REF!</definedName>
    <definedName name="____xlnm.Print_Area_4" localSheetId="2">#REF!</definedName>
    <definedName name="____xlnm.Print_Area_4" localSheetId="1">#REF!</definedName>
    <definedName name="____xlnm.Print_Area_4">#REF!</definedName>
    <definedName name="___FEU8" localSheetId="14">[1]Assumptions!#REF!</definedName>
    <definedName name="___FEU8" localSheetId="8">[1]Assumptions!#REF!</definedName>
    <definedName name="___FEU8" localSheetId="1">[1]Assumptions!#REF!</definedName>
    <definedName name="___FEU8">[1]Assumptions!#REF!</definedName>
    <definedName name="___klq6" localSheetId="16">#REF!</definedName>
    <definedName name="___klq6" localSheetId="14">#REF!</definedName>
    <definedName name="___klq6" localSheetId="10">#REF!</definedName>
    <definedName name="___klq6" localSheetId="8">#REF!</definedName>
    <definedName name="___klq6" localSheetId="3">#REF!</definedName>
    <definedName name="___klq6" localSheetId="2">#REF!</definedName>
    <definedName name="___klq6" localSheetId="1">#REF!</definedName>
    <definedName name="___klq6">#REF!</definedName>
    <definedName name="___kz6" localSheetId="16">#REF!</definedName>
    <definedName name="___kz6" localSheetId="14">#REF!</definedName>
    <definedName name="___kz6" localSheetId="10">#REF!</definedName>
    <definedName name="___kz6" localSheetId="8">#REF!</definedName>
    <definedName name="___kz6" localSheetId="3">#REF!</definedName>
    <definedName name="___kz6" localSheetId="2">#REF!</definedName>
    <definedName name="___kz6" localSheetId="1">#REF!</definedName>
    <definedName name="___kz6">#REF!</definedName>
    <definedName name="___SL101" localSheetId="16">#REF!</definedName>
    <definedName name="___SL101" localSheetId="14">#REF!</definedName>
    <definedName name="___SL101" localSheetId="10">#REF!</definedName>
    <definedName name="___SL101" localSheetId="8">#REF!</definedName>
    <definedName name="___SL101" localSheetId="3">#REF!</definedName>
    <definedName name="___SL101" localSheetId="2">#REF!</definedName>
    <definedName name="___SL101" localSheetId="1">#REF!</definedName>
    <definedName name="___SL101">#REF!</definedName>
    <definedName name="___xlnm.Print_Area_4" localSheetId="16">#REF!</definedName>
    <definedName name="___xlnm.Print_Area_4" localSheetId="14">#REF!</definedName>
    <definedName name="___xlnm.Print_Area_4" localSheetId="10">#REF!</definedName>
    <definedName name="___xlnm.Print_Area_4" localSheetId="8">#REF!</definedName>
    <definedName name="___xlnm.Print_Area_4" localSheetId="3">#REF!</definedName>
    <definedName name="___xlnm.Print_Area_4" localSheetId="2">#REF!</definedName>
    <definedName name="___xlnm.Print_Area_4" localSheetId="1">#REF!</definedName>
    <definedName name="___xlnm.Print_Area_4">#REF!</definedName>
    <definedName name="__bs1">[2]input!$H$8:$I$8</definedName>
    <definedName name="__FEU8" localSheetId="14">[1]Assumptions!#REF!</definedName>
    <definedName name="__FEU8" localSheetId="8">[1]Assumptions!#REF!</definedName>
    <definedName name="__FEU8" localSheetId="1">[1]Assumptions!#REF!</definedName>
    <definedName name="__FEU8">[1]Assumptions!#REF!</definedName>
    <definedName name="__GAE2">'[3]GAE8''97'!$A$8:$E$299</definedName>
    <definedName name="__GAE3">'[3]GAE8''97'!$H$8</definedName>
    <definedName name="__GAE4">'[3]GAE8''97'!$H$8</definedName>
    <definedName name="__klq6" localSheetId="16">#REF!</definedName>
    <definedName name="__klq6" localSheetId="14">#REF!</definedName>
    <definedName name="__klq6" localSheetId="10">#REF!</definedName>
    <definedName name="__klq6" localSheetId="8">#REF!</definedName>
    <definedName name="__klq6" localSheetId="3">#REF!</definedName>
    <definedName name="__klq6" localSheetId="2">#REF!</definedName>
    <definedName name="__klq6" localSheetId="1">#REF!</definedName>
    <definedName name="__klq6">#REF!</definedName>
    <definedName name="__kz6" localSheetId="16">#REF!</definedName>
    <definedName name="__kz6" localSheetId="14">#REF!</definedName>
    <definedName name="__kz6" localSheetId="10">#REF!</definedName>
    <definedName name="__kz6" localSheetId="8">#REF!</definedName>
    <definedName name="__kz6" localSheetId="3">#REF!</definedName>
    <definedName name="__kz6" localSheetId="2">#REF!</definedName>
    <definedName name="__kz6" localSheetId="1">#REF!</definedName>
    <definedName name="__kz6">#REF!</definedName>
    <definedName name="__SL101" localSheetId="16">#REF!</definedName>
    <definedName name="__SL101" localSheetId="14">#REF!</definedName>
    <definedName name="__SL101" localSheetId="10">#REF!</definedName>
    <definedName name="__SL101" localSheetId="8">#REF!</definedName>
    <definedName name="__SL101" localSheetId="3">#REF!</definedName>
    <definedName name="__SL101" localSheetId="2">#REF!</definedName>
    <definedName name="__SL101" localSheetId="1">#REF!</definedName>
    <definedName name="__SL101">#REF!</definedName>
    <definedName name="__xlnm.Print_Area_4" localSheetId="16">#REF!</definedName>
    <definedName name="__xlnm.Print_Area_4" localSheetId="14">#REF!</definedName>
    <definedName name="__xlnm.Print_Area_4" localSheetId="10">#REF!</definedName>
    <definedName name="__xlnm.Print_Area_4" localSheetId="8">#REF!</definedName>
    <definedName name="__xlnm.Print_Area_4" localSheetId="3">#REF!</definedName>
    <definedName name="__xlnm.Print_Area_4" localSheetId="2">#REF!</definedName>
    <definedName name="__xlnm.Print_Area_4" localSheetId="1">#REF!</definedName>
    <definedName name="__xlnm.Print_Area_4">#REF!</definedName>
    <definedName name="_2008_CF_CONSO_PROJECT_SBU_CO" localSheetId="16">#REF!</definedName>
    <definedName name="_2008_CF_CONSO_PROJECT_SBU_CO" localSheetId="14">#REF!</definedName>
    <definedName name="_2008_CF_CONSO_PROJECT_SBU_CO" localSheetId="10">#REF!</definedName>
    <definedName name="_2008_CF_CONSO_PROJECT_SBU_CO" localSheetId="8">#REF!</definedName>
    <definedName name="_2008_CF_CONSO_PROJECT_SBU_CO" localSheetId="3">#REF!</definedName>
    <definedName name="_2008_CF_CONSO_PROJECT_SBU_CO" localSheetId="2">#REF!</definedName>
    <definedName name="_2008_CF_CONSO_PROJECT_SBU_CO" localSheetId="1">#REF!</definedName>
    <definedName name="_2008_CF_CONSO_PROJECT_SBU_CO">#REF!</definedName>
    <definedName name="_2008_CF1__PROJECT_SBU_CO" localSheetId="16">#REF!</definedName>
    <definedName name="_2008_CF1__PROJECT_SBU_CO" localSheetId="14">#REF!</definedName>
    <definedName name="_2008_CF1__PROJECT_SBU_CO" localSheetId="10">#REF!</definedName>
    <definedName name="_2008_CF1__PROJECT_SBU_CO" localSheetId="8">#REF!</definedName>
    <definedName name="_2008_CF1__PROJECT_SBU_CO" localSheetId="3">#REF!</definedName>
    <definedName name="_2008_CF1__PROJECT_SBU_CO" localSheetId="2">#REF!</definedName>
    <definedName name="_2008_CF1__PROJECT_SBU_CO" localSheetId="1">#REF!</definedName>
    <definedName name="_2008_CF1__PROJECT_SBU_CO">#REF!</definedName>
    <definedName name="_2008_PNL__PROJECT_SBU_CO" localSheetId="16">#REF!</definedName>
    <definedName name="_2008_PNL__PROJECT_SBU_CO" localSheetId="14">#REF!</definedName>
    <definedName name="_2008_PNL__PROJECT_SBU_CO" localSheetId="10">#REF!</definedName>
    <definedName name="_2008_PNL__PROJECT_SBU_CO" localSheetId="8">#REF!</definedName>
    <definedName name="_2008_PNL__PROJECT_SBU_CO" localSheetId="3">#REF!</definedName>
    <definedName name="_2008_PNL__PROJECT_SBU_CO" localSheetId="2">#REF!</definedName>
    <definedName name="_2008_PNL__PROJECT_SBU_CO" localSheetId="1">#REF!</definedName>
    <definedName name="_2008_PNL__PROJECT_SBU_CO">#REF!</definedName>
    <definedName name="_2008_PNL_1__PROJECT_SBU_CO" localSheetId="16">#REF!</definedName>
    <definedName name="_2008_PNL_1__PROJECT_SBU_CO" localSheetId="14">#REF!</definedName>
    <definedName name="_2008_PNL_1__PROJECT_SBU_CO" localSheetId="10">#REF!</definedName>
    <definedName name="_2008_PNL_1__PROJECT_SBU_CO" localSheetId="8">#REF!</definedName>
    <definedName name="_2008_PNL_1__PROJECT_SBU_CO" localSheetId="3">#REF!</definedName>
    <definedName name="_2008_PNL_1__PROJECT_SBU_CO" localSheetId="2">#REF!</definedName>
    <definedName name="_2008_PNL_1__PROJECT_SBU_CO" localSheetId="1">#REF!</definedName>
    <definedName name="_2008_PNL_1__PROJECT_SBU_CO">#REF!</definedName>
    <definedName name="_2009_CF_1" localSheetId="16">#REF!</definedName>
    <definedName name="_2009_CF_1" localSheetId="14">#REF!</definedName>
    <definedName name="_2009_CF_1" localSheetId="10">#REF!</definedName>
    <definedName name="_2009_CF_1" localSheetId="8">#REF!</definedName>
    <definedName name="_2009_CF_1" localSheetId="3">#REF!</definedName>
    <definedName name="_2009_CF_1" localSheetId="2">#REF!</definedName>
    <definedName name="_2009_CF_1" localSheetId="1">#REF!</definedName>
    <definedName name="_2009_CF_1">#REF!</definedName>
    <definedName name="_2009_CF_CONSO" localSheetId="16">#REF!</definedName>
    <definedName name="_2009_CF_CONSO" localSheetId="14">#REF!</definedName>
    <definedName name="_2009_CF_CONSO" localSheetId="10">#REF!</definedName>
    <definedName name="_2009_CF_CONSO" localSheetId="8">#REF!</definedName>
    <definedName name="_2009_CF_CONSO" localSheetId="3">#REF!</definedName>
    <definedName name="_2009_CF_CONSO" localSheetId="2">#REF!</definedName>
    <definedName name="_2009_CF_CONSO" localSheetId="1">#REF!</definedName>
    <definedName name="_2009_CF_CONSO">#REF!</definedName>
    <definedName name="_2009_CONSO_PNL" localSheetId="16">#REF!</definedName>
    <definedName name="_2009_CONSO_PNL" localSheetId="14">#REF!</definedName>
    <definedName name="_2009_CONSO_PNL" localSheetId="10">#REF!</definedName>
    <definedName name="_2009_CONSO_PNL" localSheetId="8">#REF!</definedName>
    <definedName name="_2009_CONSO_PNL" localSheetId="3">#REF!</definedName>
    <definedName name="_2009_CONSO_PNL" localSheetId="2">#REF!</definedName>
    <definedName name="_2009_CONSO_PNL" localSheetId="1">#REF!</definedName>
    <definedName name="_2009_CONSO_PNL">#REF!</definedName>
    <definedName name="_2009_PNL" localSheetId="16">#REF!</definedName>
    <definedName name="_2009_PNL" localSheetId="14">#REF!</definedName>
    <definedName name="_2009_PNL" localSheetId="10">#REF!</definedName>
    <definedName name="_2009_PNL" localSheetId="8">#REF!</definedName>
    <definedName name="_2009_PNL" localSheetId="3">#REF!</definedName>
    <definedName name="_2009_PNL" localSheetId="2">#REF!</definedName>
    <definedName name="_2009_PNL" localSheetId="1">#REF!</definedName>
    <definedName name="_2009_PNL">#REF!</definedName>
    <definedName name="_2009_PNL_1" localSheetId="16">#REF!</definedName>
    <definedName name="_2009_PNL_1" localSheetId="14">#REF!</definedName>
    <definedName name="_2009_PNL_1" localSheetId="10">#REF!</definedName>
    <definedName name="_2009_PNL_1" localSheetId="8">#REF!</definedName>
    <definedName name="_2009_PNL_1" localSheetId="3">#REF!</definedName>
    <definedName name="_2009_PNL_1" localSheetId="2">#REF!</definedName>
    <definedName name="_2009_PNL_1" localSheetId="1">#REF!</definedName>
    <definedName name="_2009_PNL_1">#REF!</definedName>
    <definedName name="_2010_CF_1" localSheetId="16">#REF!</definedName>
    <definedName name="_2010_CF_1" localSheetId="14">#REF!</definedName>
    <definedName name="_2010_CF_1" localSheetId="10">#REF!</definedName>
    <definedName name="_2010_CF_1" localSheetId="8">#REF!</definedName>
    <definedName name="_2010_CF_1" localSheetId="3">#REF!</definedName>
    <definedName name="_2010_CF_1" localSheetId="2">#REF!</definedName>
    <definedName name="_2010_CF_1" localSheetId="1">#REF!</definedName>
    <definedName name="_2010_CF_1">#REF!</definedName>
    <definedName name="_2010_CF_CONSO" localSheetId="16">#REF!</definedName>
    <definedName name="_2010_CF_CONSO" localSheetId="14">#REF!</definedName>
    <definedName name="_2010_CF_CONSO" localSheetId="10">#REF!</definedName>
    <definedName name="_2010_CF_CONSO" localSheetId="8">#REF!</definedName>
    <definedName name="_2010_CF_CONSO" localSheetId="3">#REF!</definedName>
    <definedName name="_2010_CF_CONSO" localSheetId="2">#REF!</definedName>
    <definedName name="_2010_CF_CONSO" localSheetId="1">#REF!</definedName>
    <definedName name="_2010_CF_CONSO">#REF!</definedName>
    <definedName name="_2010_CONSO_PNL" localSheetId="16">#REF!</definedName>
    <definedName name="_2010_CONSO_PNL" localSheetId="14">#REF!</definedName>
    <definedName name="_2010_CONSO_PNL" localSheetId="10">#REF!</definedName>
    <definedName name="_2010_CONSO_PNL" localSheetId="8">#REF!</definedName>
    <definedName name="_2010_CONSO_PNL" localSheetId="3">#REF!</definedName>
    <definedName name="_2010_CONSO_PNL" localSheetId="2">#REF!</definedName>
    <definedName name="_2010_CONSO_PNL" localSheetId="1">#REF!</definedName>
    <definedName name="_2010_CONSO_PNL">#REF!</definedName>
    <definedName name="_2010_PNL" localSheetId="16">#REF!</definedName>
    <definedName name="_2010_PNL" localSheetId="14">#REF!</definedName>
    <definedName name="_2010_PNL" localSheetId="10">#REF!</definedName>
    <definedName name="_2010_PNL" localSheetId="8">#REF!</definedName>
    <definedName name="_2010_PNL" localSheetId="3">#REF!</definedName>
    <definedName name="_2010_PNL" localSheetId="2">#REF!</definedName>
    <definedName name="_2010_PNL" localSheetId="1">#REF!</definedName>
    <definedName name="_2010_PNL">#REF!</definedName>
    <definedName name="_2010_PNL_1" localSheetId="16">#REF!</definedName>
    <definedName name="_2010_PNL_1" localSheetId="14">#REF!</definedName>
    <definedName name="_2010_PNL_1" localSheetId="10">#REF!</definedName>
    <definedName name="_2010_PNL_1" localSheetId="8">#REF!</definedName>
    <definedName name="_2010_PNL_1" localSheetId="3">#REF!</definedName>
    <definedName name="_2010_PNL_1" localSheetId="2">#REF!</definedName>
    <definedName name="_2010_PNL_1" localSheetId="1">#REF!</definedName>
    <definedName name="_2010_PNL_1">#REF!</definedName>
    <definedName name="_ACCOUNTING_STATUS" localSheetId="16">#REF!</definedName>
    <definedName name="_ACCOUNTING_STATUS" localSheetId="14">#REF!</definedName>
    <definedName name="_ACCOUNTING_STATUS" localSheetId="10">#REF!</definedName>
    <definedName name="_ACCOUNTING_STATUS" localSheetId="8">#REF!</definedName>
    <definedName name="_ACCOUNTING_STATUS" localSheetId="3">#REF!</definedName>
    <definedName name="_ACCOUNTING_STATUS" localSheetId="2">#REF!</definedName>
    <definedName name="_ACCOUNTING_STATUS" localSheetId="1">#REF!</definedName>
    <definedName name="_ACCOUNTING_STATUS">#REF!</definedName>
    <definedName name="_bs1">[2]input!$H$8:$I$8</definedName>
    <definedName name="_CTS_STATUS" localSheetId="14">#REF!</definedName>
    <definedName name="_CTS_STATUS" localSheetId="8">#REF!</definedName>
    <definedName name="_CTS_STATUS" localSheetId="1">[4]table!$A$2:$A$7</definedName>
    <definedName name="_CTS_STATUS">#REF!</definedName>
    <definedName name="_FEU8" localSheetId="14">[1]Assumptions!#REF!</definedName>
    <definedName name="_FEU8" localSheetId="8">[1]Assumptions!#REF!</definedName>
    <definedName name="_FEU8" localSheetId="1">[1]Assumptions!#REF!</definedName>
    <definedName name="_FEU8">[1]Assumptions!#REF!</definedName>
    <definedName name="_Fill" localSheetId="14" hidden="1">#REF!</definedName>
    <definedName name="_Fill" localSheetId="8" hidden="1">#REF!</definedName>
    <definedName name="_Fill" hidden="1">#REF!</definedName>
    <definedName name="_xlnm._FilterDatabase" localSheetId="1" hidden="1">'SEPT 1 2020'!$A$9:$Y$194</definedName>
    <definedName name="_GAE2">'[3]GAE8''97'!$A$8:$E$299</definedName>
    <definedName name="_GAE3">'[3]GAE8''97'!$H$8</definedName>
    <definedName name="_GAE4">'[3]GAE8''97'!$H$8</definedName>
    <definedName name="_hillside123" localSheetId="16">#REF!</definedName>
    <definedName name="_hillside123" localSheetId="14">#REF!</definedName>
    <definedName name="_hillside123" localSheetId="10">#REF!</definedName>
    <definedName name="_hillside123" localSheetId="8">#REF!</definedName>
    <definedName name="_hillside123" localSheetId="3">#REF!</definedName>
    <definedName name="_hillside123" localSheetId="2">#REF!</definedName>
    <definedName name="_hillside123" localSheetId="1">#REF!</definedName>
    <definedName name="_hillside123">#REF!</definedName>
    <definedName name="_Key1" hidden="1">'[3]GAE8''97'!$B$10:$B$10</definedName>
    <definedName name="_Key2" hidden="1">'[3]GAE8''97'!$E$10:$E$10</definedName>
    <definedName name="_klq6" localSheetId="16">#REF!</definedName>
    <definedName name="_klq6" localSheetId="14">#REF!</definedName>
    <definedName name="_klq6" localSheetId="10">#REF!</definedName>
    <definedName name="_klq6" localSheetId="8">#REF!</definedName>
    <definedName name="_klq6" localSheetId="3">#REF!</definedName>
    <definedName name="_klq6" localSheetId="2">#REF!</definedName>
    <definedName name="_klq6" localSheetId="1">#REF!</definedName>
    <definedName name="_klq6">#REF!</definedName>
    <definedName name="_kz6" localSheetId="16">#REF!</definedName>
    <definedName name="_kz6" localSheetId="14">#REF!</definedName>
    <definedName name="_kz6" localSheetId="10">#REF!</definedName>
    <definedName name="_kz6" localSheetId="8">#REF!</definedName>
    <definedName name="_kz6" localSheetId="3">#REF!</definedName>
    <definedName name="_kz6" localSheetId="2">#REF!</definedName>
    <definedName name="_kz6" localSheetId="1">#REF!</definedName>
    <definedName name="_kz6">#REF!</definedName>
    <definedName name="_MEMBERSHIP" localSheetId="16">#REF!</definedName>
    <definedName name="_MEMBERSHIP" localSheetId="14">#REF!</definedName>
    <definedName name="_MEMBERSHIP" localSheetId="10">#REF!</definedName>
    <definedName name="_MEMBERSHIP" localSheetId="8">#REF!</definedName>
    <definedName name="_MEMBERSHIP" localSheetId="3">#REF!</definedName>
    <definedName name="_MEMBERSHIP" localSheetId="2">#REF!</definedName>
    <definedName name="_MEMBERSHIP" localSheetId="1">#REF!</definedName>
    <definedName name="_MEMBERSHIP">#REF!</definedName>
    <definedName name="_Order1" hidden="1">255</definedName>
    <definedName name="_Order2" hidden="1">255</definedName>
    <definedName name="_OWNERSHIP" localSheetId="14">#REF!</definedName>
    <definedName name="_OWNERSHIP" localSheetId="8">#REF!</definedName>
    <definedName name="_OWNERSHIP" localSheetId="1">[4]table!$C$2:$C$8</definedName>
    <definedName name="_OWNERSHIP">#REF!</definedName>
    <definedName name="_SL101" localSheetId="16">#REF!</definedName>
    <definedName name="_SL101" localSheetId="14">#REF!</definedName>
    <definedName name="_SL101" localSheetId="10">#REF!</definedName>
    <definedName name="_SL101" localSheetId="8">#REF!</definedName>
    <definedName name="_SL101" localSheetId="3">#REF!</definedName>
    <definedName name="_SL101" localSheetId="2">#REF!</definedName>
    <definedName name="_SL101" localSheetId="1">#REF!</definedName>
    <definedName name="_SL101">#REF!</definedName>
    <definedName name="_Table2_In1" hidden="1">'[3]GAE8''97'!$H$2:$H$2</definedName>
    <definedName name="_Table2_In2" hidden="1">'[3]GAE8''97'!$I$2:$I$2</definedName>
    <definedName name="_Table2_Out" hidden="1">'[3]GAE8''97'!$H$9:$S$36</definedName>
    <definedName name="\" localSheetId="16">#REF!</definedName>
    <definedName name="\" localSheetId="14">#REF!</definedName>
    <definedName name="\" localSheetId="10">#REF!</definedName>
    <definedName name="\" localSheetId="8">#REF!</definedName>
    <definedName name="\" localSheetId="3">#REF!</definedName>
    <definedName name="\" localSheetId="2">#REF!</definedName>
    <definedName name="\" localSheetId="1">#REF!</definedName>
    <definedName name="\">#REF!</definedName>
    <definedName name="A" localSheetId="16">#REF!</definedName>
    <definedName name="A" localSheetId="14">#REF!</definedName>
    <definedName name="A" localSheetId="10">#REF!</definedName>
    <definedName name="A" localSheetId="8">#REF!</definedName>
    <definedName name="A" localSheetId="3">#REF!</definedName>
    <definedName name="A" localSheetId="2">#REF!</definedName>
    <definedName name="A" localSheetId="1">#REF!</definedName>
    <definedName name="A">#REF!</definedName>
    <definedName name="A_3" localSheetId="16">#REF!</definedName>
    <definedName name="A_3" localSheetId="14">#REF!</definedName>
    <definedName name="A_3" localSheetId="10">#REF!</definedName>
    <definedName name="A_3" localSheetId="8">#REF!</definedName>
    <definedName name="A_3" localSheetId="3">#REF!</definedName>
    <definedName name="A_3" localSheetId="2">#REF!</definedName>
    <definedName name="A_3" localSheetId="1">#REF!</definedName>
    <definedName name="A_3">#REF!</definedName>
    <definedName name="A_P_Brand_Identity_Advertising" localSheetId="16">#REF!</definedName>
    <definedName name="A_P_Brand_Identity_Advertising" localSheetId="14">#REF!</definedName>
    <definedName name="A_P_Brand_Identity_Advertising" localSheetId="10">#REF!</definedName>
    <definedName name="A_P_Brand_Identity_Advertising" localSheetId="8">#REF!</definedName>
    <definedName name="A_P_Brand_Identity_Advertising" localSheetId="3">#REF!</definedName>
    <definedName name="A_P_Brand_Identity_Advertising" localSheetId="2">#REF!</definedName>
    <definedName name="A_P_Brand_Identity_Advertising" localSheetId="1">#REF!</definedName>
    <definedName name="A_P_Brand_Identity_Advertising">#REF!</definedName>
    <definedName name="A_P_Direct_Marketing" localSheetId="16">#REF!</definedName>
    <definedName name="A_P_Direct_Marketing" localSheetId="14">#REF!</definedName>
    <definedName name="A_P_Direct_Marketing" localSheetId="10">#REF!</definedName>
    <definedName name="A_P_Direct_Marketing" localSheetId="8">#REF!</definedName>
    <definedName name="A_P_Direct_Marketing" localSheetId="3">#REF!</definedName>
    <definedName name="A_P_Direct_Marketing" localSheetId="2">#REF!</definedName>
    <definedName name="A_P_Direct_Marketing" localSheetId="1">#REF!</definedName>
    <definedName name="A_P_Direct_Marketing">#REF!</definedName>
    <definedName name="A_P_Lifestyle_Tours" localSheetId="16">#REF!</definedName>
    <definedName name="A_P_Lifestyle_Tours" localSheetId="14">#REF!</definedName>
    <definedName name="A_P_Lifestyle_Tours" localSheetId="10">#REF!</definedName>
    <definedName name="A_P_Lifestyle_Tours" localSheetId="8">#REF!</definedName>
    <definedName name="A_P_Lifestyle_Tours" localSheetId="3">#REF!</definedName>
    <definedName name="A_P_Lifestyle_Tours" localSheetId="2">#REF!</definedName>
    <definedName name="A_P_Lifestyle_Tours" localSheetId="1">#REF!</definedName>
    <definedName name="A_P_Lifestyle_Tours">#REF!</definedName>
    <definedName name="A_P_New_Media_Non_Trad_Ad" localSheetId="16">#REF!</definedName>
    <definedName name="A_P_New_Media_Non_Trad_Ad" localSheetId="14">#REF!</definedName>
    <definedName name="A_P_New_Media_Non_Trad_Ad" localSheetId="10">#REF!</definedName>
    <definedName name="A_P_New_Media_Non_Trad_Ad" localSheetId="8">#REF!</definedName>
    <definedName name="A_P_New_Media_Non_Trad_Ad" localSheetId="3">#REF!</definedName>
    <definedName name="A_P_New_Media_Non_Trad_Ad" localSheetId="2">#REF!</definedName>
    <definedName name="A_P_New_Media_Non_Trad_Ad" localSheetId="1">#REF!</definedName>
    <definedName name="A_P_New_Media_Non_Trad_Ad">#REF!</definedName>
    <definedName name="A_P_On_E_Marketing" localSheetId="16">#REF!</definedName>
    <definedName name="A_P_On_E_Marketing" localSheetId="14">#REF!</definedName>
    <definedName name="A_P_On_E_Marketing" localSheetId="10">#REF!</definedName>
    <definedName name="A_P_On_E_Marketing" localSheetId="8">#REF!</definedName>
    <definedName name="A_P_On_E_Marketing" localSheetId="3">#REF!</definedName>
    <definedName name="A_P_On_E_Marketing" localSheetId="2">#REF!</definedName>
    <definedName name="A_P_On_E_Marketing" localSheetId="1">#REF!</definedName>
    <definedName name="A_P_On_E_Marketing">#REF!</definedName>
    <definedName name="A_P_On_Site_Collaterals" localSheetId="16">#REF!</definedName>
    <definedName name="A_P_On_Site_Collaterals" localSheetId="14">#REF!</definedName>
    <definedName name="A_P_On_Site_Collaterals" localSheetId="10">#REF!</definedName>
    <definedName name="A_P_On_Site_Collaterals" localSheetId="8">#REF!</definedName>
    <definedName name="A_P_On_Site_Collaterals" localSheetId="3">#REF!</definedName>
    <definedName name="A_P_On_Site_Collaterals" localSheetId="2">#REF!</definedName>
    <definedName name="A_P_On_Site_Collaterals" localSheetId="1">#REF!</definedName>
    <definedName name="A_P_On_Site_Collaterals">#REF!</definedName>
    <definedName name="A_P_Outdoor_Advertising" localSheetId="16">#REF!</definedName>
    <definedName name="A_P_Outdoor_Advertising" localSheetId="14">#REF!</definedName>
    <definedName name="A_P_Outdoor_Advertising" localSheetId="10">#REF!</definedName>
    <definedName name="A_P_Outdoor_Advertising" localSheetId="8">#REF!</definedName>
    <definedName name="A_P_Outdoor_Advertising" localSheetId="3">#REF!</definedName>
    <definedName name="A_P_Outdoor_Advertising" localSheetId="2">#REF!</definedName>
    <definedName name="A_P_Outdoor_Advertising" localSheetId="1">#REF!</definedName>
    <definedName name="A_P_Outdoor_Advertising">#REF!</definedName>
    <definedName name="A_P_Print_Advertising" localSheetId="16">#REF!</definedName>
    <definedName name="A_P_Print_Advertising" localSheetId="14">#REF!</definedName>
    <definedName name="A_P_Print_Advertising" localSheetId="10">#REF!</definedName>
    <definedName name="A_P_Print_Advertising" localSheetId="8">#REF!</definedName>
    <definedName name="A_P_Print_Advertising" localSheetId="3">#REF!</definedName>
    <definedName name="A_P_Print_Advertising" localSheetId="2">#REF!</definedName>
    <definedName name="A_P_Print_Advertising" localSheetId="1">#REF!</definedName>
    <definedName name="A_P_Print_Advertising">#REF!</definedName>
    <definedName name="A_P_Radio_Advertising" localSheetId="16">#REF!</definedName>
    <definedName name="A_P_Radio_Advertising" localSheetId="14">#REF!</definedName>
    <definedName name="A_P_Radio_Advertising" localSheetId="10">#REF!</definedName>
    <definedName name="A_P_Radio_Advertising" localSheetId="8">#REF!</definedName>
    <definedName name="A_P_Radio_Advertising" localSheetId="3">#REF!</definedName>
    <definedName name="A_P_Radio_Advertising" localSheetId="2">#REF!</definedName>
    <definedName name="A_P_Radio_Advertising" localSheetId="1">#REF!</definedName>
    <definedName name="A_P_Radio_Advertising">#REF!</definedName>
    <definedName name="A_P_Sales_Materials_Collaterals" localSheetId="16">#REF!</definedName>
    <definedName name="A_P_Sales_Materials_Collaterals" localSheetId="14">#REF!</definedName>
    <definedName name="A_P_Sales_Materials_Collaterals" localSheetId="10">#REF!</definedName>
    <definedName name="A_P_Sales_Materials_Collaterals" localSheetId="8">#REF!</definedName>
    <definedName name="A_P_Sales_Materials_Collaterals" localSheetId="3">#REF!</definedName>
    <definedName name="A_P_Sales_Materials_Collaterals" localSheetId="2">#REF!</definedName>
    <definedName name="A_P_Sales_Materials_Collaterals" localSheetId="1">#REF!</definedName>
    <definedName name="A_P_Sales_Materials_Collaterals">#REF!</definedName>
    <definedName name="A_P_TV_Advertising" localSheetId="16">#REF!</definedName>
    <definedName name="A_P_TV_Advertising" localSheetId="14">#REF!</definedName>
    <definedName name="A_P_TV_Advertising" localSheetId="10">#REF!</definedName>
    <definedName name="A_P_TV_Advertising" localSheetId="8">#REF!</definedName>
    <definedName name="A_P_TV_Advertising" localSheetId="3">#REF!</definedName>
    <definedName name="A_P_TV_Advertising" localSheetId="2">#REF!</definedName>
    <definedName name="A_P_TV_Advertising" localSheetId="1">#REF!</definedName>
    <definedName name="A_P_TV_Advertising">#REF!</definedName>
    <definedName name="aaaa">[5]CRITERIA1!$D$2</definedName>
    <definedName name="aaaa_12">[6]CRITERIA1!$D$2</definedName>
    <definedName name="aaaaa">[5]CRITERIA3!$B$18</definedName>
    <definedName name="aaaaa_12">[6]CRITERIA3!$B$18</definedName>
    <definedName name="aaaaaa">[5]CRITERIA3!$B$20</definedName>
    <definedName name="aaaaaa_12">[6]CRITERIA3!$B$20</definedName>
    <definedName name="aaaaaaaaaaaa">'[7]tax-ss'!$B$51</definedName>
    <definedName name="AdPromo">[8]Assumptions!$E$77</definedName>
    <definedName name="ALlan" localSheetId="16">#REF!</definedName>
    <definedName name="ALlan" localSheetId="14">#REF!</definedName>
    <definedName name="ALlan" localSheetId="10">#REF!</definedName>
    <definedName name="ALlan" localSheetId="8">#REF!</definedName>
    <definedName name="ALlan" localSheetId="3">#REF!</definedName>
    <definedName name="ALlan" localSheetId="2">#REF!</definedName>
    <definedName name="ALlan" localSheetId="1">#REF!</definedName>
    <definedName name="ALlan">#REF!</definedName>
    <definedName name="ALLOW" localSheetId="16">#REF!</definedName>
    <definedName name="ALLOW" localSheetId="14">#REF!</definedName>
    <definedName name="ALLOW" localSheetId="10">#REF!</definedName>
    <definedName name="ALLOW" localSheetId="8">#REF!</definedName>
    <definedName name="ALLOW" localSheetId="3">#REF!</definedName>
    <definedName name="ALLOW" localSheetId="2">#REF!</definedName>
    <definedName name="ALLOW" localSheetId="1">#REF!</definedName>
    <definedName name="ALLOW">#REF!</definedName>
    <definedName name="ann_12">[9]CRITERIA3!$L$4</definedName>
    <definedName name="annual_loan">[10]loans!$A$1:$H$57</definedName>
    <definedName name="antonio">[11]CRITERIA2!$J$3</definedName>
    <definedName name="antonio_12">[9]CRITERIA2!$J$3</definedName>
    <definedName name="AP_110">[12]AP110!$A$1:$F$50</definedName>
    <definedName name="AREA" localSheetId="16">#REF!</definedName>
    <definedName name="AREA" localSheetId="14">#REF!</definedName>
    <definedName name="AREA" localSheetId="10">#REF!</definedName>
    <definedName name="AREA" localSheetId="8">#REF!</definedName>
    <definedName name="AREA" localSheetId="3">#REF!</definedName>
    <definedName name="AREA" localSheetId="2">#REF!</definedName>
    <definedName name="AREA" localSheetId="1">#REF!</definedName>
    <definedName name="AREA">#REF!</definedName>
    <definedName name="AREA_INTL" localSheetId="16">#REF!</definedName>
    <definedName name="AREA_INTL" localSheetId="14">#REF!</definedName>
    <definedName name="AREA_INTL" localSheetId="10">#REF!</definedName>
    <definedName name="AREA_INTL" localSheetId="8">#REF!</definedName>
    <definedName name="AREA_INTL" localSheetId="3">#REF!</definedName>
    <definedName name="AREA_INTL" localSheetId="2">#REF!</definedName>
    <definedName name="AREA_INTL" localSheetId="1">#REF!</definedName>
    <definedName name="AREA_INTL">#REF!</definedName>
    <definedName name="ASSIGNEE" localSheetId="14">'[13]insurance dtb'!#REF!</definedName>
    <definedName name="ASSIGNEE" localSheetId="8">'[13]insurance dtb'!#REF!</definedName>
    <definedName name="ASSIGNEE" localSheetId="1">'[13]insurance dtb'!#REF!</definedName>
    <definedName name="ASSIGNEE">'[13]insurance dtb'!#REF!</definedName>
    <definedName name="ASSIGNEE1" localSheetId="14">'[13]car reg dbase'!#REF!</definedName>
    <definedName name="ASSIGNEE1" localSheetId="8">'[13]car reg dbase'!#REF!</definedName>
    <definedName name="ASSIGNEE1" localSheetId="1">'[13]car reg dbase'!#REF!</definedName>
    <definedName name="ASSIGNEE1">'[13]car reg dbase'!#REF!</definedName>
    <definedName name="ASSIGNEE2" localSheetId="14">'[13]Rep-car dtb'!#REF!</definedName>
    <definedName name="ASSIGNEE2" localSheetId="8">'[13]Rep-car dtb'!#REF!</definedName>
    <definedName name="ASSIGNEE2" localSheetId="1">'[13]Rep-car dtb'!#REF!</definedName>
    <definedName name="ASSIGNEE2">'[13]Rep-car dtb'!#REF!</definedName>
    <definedName name="B" localSheetId="16">#REF!</definedName>
    <definedName name="B" localSheetId="14">#REF!</definedName>
    <definedName name="B" localSheetId="10">#REF!</definedName>
    <definedName name="B" localSheetId="8">#REF!</definedName>
    <definedName name="B" localSheetId="3">#REF!</definedName>
    <definedName name="B" localSheetId="2">#REF!</definedName>
    <definedName name="B" localSheetId="1">#REF!</definedName>
    <definedName name="B">#REF!</definedName>
    <definedName name="BALA" localSheetId="14">[8]Assumptions!#REF!</definedName>
    <definedName name="BALA" localSheetId="8">[8]Assumptions!#REF!</definedName>
    <definedName name="BALA" localSheetId="1">[8]Assumptions!#REF!</definedName>
    <definedName name="BALA">[8]Assumptions!#REF!</definedName>
    <definedName name="balan_12">[14]CRITERIA2!$B$15</definedName>
    <definedName name="balancesheet" localSheetId="14">#REF!</definedName>
    <definedName name="balancesheet" localSheetId="8">#REF!</definedName>
    <definedName name="balancesheet">#REF!</definedName>
    <definedName name="BaseNPV" localSheetId="16">#REF!</definedName>
    <definedName name="BaseNPV" localSheetId="14">#REF!</definedName>
    <definedName name="BaseNPV" localSheetId="10">#REF!</definedName>
    <definedName name="BaseNPV" localSheetId="8">#REF!</definedName>
    <definedName name="BaseNPV" localSheetId="3">#REF!</definedName>
    <definedName name="BaseNPV" localSheetId="2">#REF!</definedName>
    <definedName name="BaseNPV" localSheetId="1">#REF!</definedName>
    <definedName name="BaseNPV">#REF!</definedName>
    <definedName name="BaseNPV_1" localSheetId="16">#REF!</definedName>
    <definedName name="BaseNPV_1" localSheetId="14">#REF!</definedName>
    <definedName name="BaseNPV_1" localSheetId="10">#REF!</definedName>
    <definedName name="BaseNPV_1" localSheetId="8">#REF!</definedName>
    <definedName name="BaseNPV_1" localSheetId="3">#REF!</definedName>
    <definedName name="BaseNPV_1" localSheetId="2">#REF!</definedName>
    <definedName name="BaseNPV_1" localSheetId="1">#REF!</definedName>
    <definedName name="BaseNPV_1">#REF!</definedName>
    <definedName name="bbbbb_12">[6]CRITERIA1!$B$4</definedName>
    <definedName name="Before_Turnaround">[15]SAD!$E$36</definedName>
    <definedName name="bin">[16]CRITERIA1!$L$3</definedName>
    <definedName name="bin_12">[14]CRITERIA1!$L$3</definedName>
    <definedName name="bkon">'[7]tax-ss'!$Q$7:$Q$37</definedName>
    <definedName name="blk_l0t" localSheetId="16">#REF!</definedName>
    <definedName name="blk_l0t" localSheetId="14">#REF!</definedName>
    <definedName name="blk_l0t" localSheetId="10">#REF!</definedName>
    <definedName name="blk_l0t" localSheetId="8">#REF!</definedName>
    <definedName name="blk_l0t" localSheetId="3">#REF!</definedName>
    <definedName name="blk_l0t" localSheetId="2">#REF!</definedName>
    <definedName name="blk_l0t" localSheetId="1">#REF!</definedName>
    <definedName name="blk_l0t">#REF!</definedName>
    <definedName name="bread">[16]CRITERIA1!$B$1</definedName>
    <definedName name="bread_12">[14]CRITERIA1!$B$1</definedName>
    <definedName name="brother">[11]CRITERIA2!$L$3</definedName>
    <definedName name="brother_12">[9]CRITERIA2!$L$3</definedName>
    <definedName name="bv">'[17]equity summary'!$C$71:$C$72</definedName>
    <definedName name="cal_12">[14]CRITERIA2!$B$17</definedName>
    <definedName name="cancel">[11]CRITERIA3!$D$3</definedName>
    <definedName name="cancel_12">[9]CRITERIA3!$D$3</definedName>
    <definedName name="cand">[16]CRITERIA1!$D$4</definedName>
    <definedName name="cand_12">[14]CRITERIA1!$D$4</definedName>
    <definedName name="carplan" localSheetId="16">#REF!</definedName>
    <definedName name="carplan" localSheetId="14">#REF!</definedName>
    <definedName name="carplan" localSheetId="10">#REF!</definedName>
    <definedName name="carplan" localSheetId="8">#REF!</definedName>
    <definedName name="carplan" localSheetId="3">#REF!</definedName>
    <definedName name="carplan" localSheetId="2">#REF!</definedName>
    <definedName name="carplan" localSheetId="1">#REF!</definedName>
    <definedName name="carplan">#REF!</definedName>
    <definedName name="carreg" localSheetId="16">#REF!</definedName>
    <definedName name="carreg" localSheetId="14">#REF!</definedName>
    <definedName name="carreg" localSheetId="10">#REF!</definedName>
    <definedName name="carreg" localSheetId="8">#REF!</definedName>
    <definedName name="carreg" localSheetId="3">#REF!</definedName>
    <definedName name="carreg" localSheetId="2">#REF!</definedName>
    <definedName name="carreg" localSheetId="1">#REF!</definedName>
    <definedName name="carreg">#REF!</definedName>
    <definedName name="carregistration" localSheetId="14">'[13]car reg dbase'!#REF!</definedName>
    <definedName name="carregistration" localSheetId="8">'[13]car reg dbase'!#REF!</definedName>
    <definedName name="carregistration" localSheetId="1">'[13]car reg dbase'!#REF!</definedName>
    <definedName name="carregistration">'[13]car reg dbase'!#REF!</definedName>
    <definedName name="case_current" localSheetId="16">#REF!</definedName>
    <definedName name="case_current" localSheetId="14">#REF!</definedName>
    <definedName name="case_current" localSheetId="10">#REF!</definedName>
    <definedName name="case_current" localSheetId="8">#REF!</definedName>
    <definedName name="case_current" localSheetId="3">#REF!</definedName>
    <definedName name="case_current" localSheetId="2">#REF!</definedName>
    <definedName name="case_current" localSheetId="1">#REF!</definedName>
    <definedName name="case_current">#REF!</definedName>
    <definedName name="case_current_1" localSheetId="16">#REF!</definedName>
    <definedName name="case_current_1" localSheetId="14">#REF!</definedName>
    <definedName name="case_current_1" localSheetId="10">#REF!</definedName>
    <definedName name="case_current_1" localSheetId="8">#REF!</definedName>
    <definedName name="case_current_1" localSheetId="3">#REF!</definedName>
    <definedName name="case_current_1" localSheetId="2">#REF!</definedName>
    <definedName name="case_current_1" localSheetId="1">#REF!</definedName>
    <definedName name="case_current_1">#REF!</definedName>
    <definedName name="CASE_kwje" localSheetId="16">#REF!</definedName>
    <definedName name="CASE_kwje" localSheetId="14">#REF!</definedName>
    <definedName name="CASE_kwje" localSheetId="10">#REF!</definedName>
    <definedName name="CASE_kwje" localSheetId="8">#REF!</definedName>
    <definedName name="CASE_kwje" localSheetId="3">#REF!</definedName>
    <definedName name="CASE_kwje" localSheetId="2">#REF!</definedName>
    <definedName name="CASE_kwje" localSheetId="1">#REF!</definedName>
    <definedName name="CASE_kwje">#REF!</definedName>
    <definedName name="case_max" localSheetId="16">#REF!</definedName>
    <definedName name="case_max" localSheetId="14">#REF!</definedName>
    <definedName name="case_max" localSheetId="10">#REF!</definedName>
    <definedName name="case_max" localSheetId="8">#REF!</definedName>
    <definedName name="case_max" localSheetId="3">#REF!</definedName>
    <definedName name="case_max" localSheetId="2">#REF!</definedName>
    <definedName name="case_max" localSheetId="1">#REF!</definedName>
    <definedName name="case_max">#REF!</definedName>
    <definedName name="case_max_1" localSheetId="16">#REF!</definedName>
    <definedName name="case_max_1" localSheetId="14">#REF!</definedName>
    <definedName name="case_max_1" localSheetId="10">#REF!</definedName>
    <definedName name="case_max_1" localSheetId="8">#REF!</definedName>
    <definedName name="case_max_1" localSheetId="3">#REF!</definedName>
    <definedName name="case_max_1" localSheetId="2">#REF!</definedName>
    <definedName name="case_max_1" localSheetId="1">#REF!</definedName>
    <definedName name="case_max_1">#REF!</definedName>
    <definedName name="case_min" localSheetId="16">#REF!</definedName>
    <definedName name="case_min" localSheetId="14">#REF!</definedName>
    <definedName name="case_min" localSheetId="10">#REF!</definedName>
    <definedName name="case_min" localSheetId="8">#REF!</definedName>
    <definedName name="case_min" localSheetId="3">#REF!</definedName>
    <definedName name="case_min" localSheetId="2">#REF!</definedName>
    <definedName name="case_min" localSheetId="1">#REF!</definedName>
    <definedName name="case_min">#REF!</definedName>
    <definedName name="case_min_1" localSheetId="16">#REF!</definedName>
    <definedName name="case_min_1" localSheetId="14">#REF!</definedName>
    <definedName name="case_min_1" localSheetId="10">#REF!</definedName>
    <definedName name="case_min_1" localSheetId="8">#REF!</definedName>
    <definedName name="case_min_1" localSheetId="3">#REF!</definedName>
    <definedName name="case_min_1" localSheetId="2">#REF!</definedName>
    <definedName name="case_min_1" localSheetId="1">#REF!</definedName>
    <definedName name="case_min_1">#REF!</definedName>
    <definedName name="case_row" localSheetId="16">#REF!</definedName>
    <definedName name="case_row" localSheetId="14">#REF!</definedName>
    <definedName name="case_row" localSheetId="10">#REF!</definedName>
    <definedName name="case_row" localSheetId="8">#REF!</definedName>
    <definedName name="case_row" localSheetId="3">#REF!</definedName>
    <definedName name="case_row" localSheetId="2">#REF!</definedName>
    <definedName name="case_row" localSheetId="1">#REF!</definedName>
    <definedName name="case_row">#REF!</definedName>
    <definedName name="case_row_1" localSheetId="16">#REF!</definedName>
    <definedName name="case_row_1" localSheetId="14">#REF!</definedName>
    <definedName name="case_row_1" localSheetId="10">#REF!</definedName>
    <definedName name="case_row_1" localSheetId="8">#REF!</definedName>
    <definedName name="case_row_1" localSheetId="3">#REF!</definedName>
    <definedName name="case_row_1" localSheetId="2">#REF!</definedName>
    <definedName name="case_row_1" localSheetId="1">#REF!</definedName>
    <definedName name="case_row_1">#REF!</definedName>
    <definedName name="case_rowmax" localSheetId="16">#REF!</definedName>
    <definedName name="case_rowmax" localSheetId="14">#REF!</definedName>
    <definedName name="case_rowmax" localSheetId="10">#REF!</definedName>
    <definedName name="case_rowmax" localSheetId="8">#REF!</definedName>
    <definedName name="case_rowmax" localSheetId="3">#REF!</definedName>
    <definedName name="case_rowmax" localSheetId="2">#REF!</definedName>
    <definedName name="case_rowmax" localSheetId="1">#REF!</definedName>
    <definedName name="case_rowmax">#REF!</definedName>
    <definedName name="case_rowmax_1" localSheetId="16">#REF!</definedName>
    <definedName name="case_rowmax_1" localSheetId="14">#REF!</definedName>
    <definedName name="case_rowmax_1" localSheetId="10">#REF!</definedName>
    <definedName name="case_rowmax_1" localSheetId="8">#REF!</definedName>
    <definedName name="case_rowmax_1" localSheetId="3">#REF!</definedName>
    <definedName name="case_rowmax_1" localSheetId="2">#REF!</definedName>
    <definedName name="case_rowmax_1" localSheetId="1">#REF!</definedName>
    <definedName name="case_rowmax_1">#REF!</definedName>
    <definedName name="case_rowmin" localSheetId="16">#REF!</definedName>
    <definedName name="case_rowmin" localSheetId="14">#REF!</definedName>
    <definedName name="case_rowmin" localSheetId="10">#REF!</definedName>
    <definedName name="case_rowmin" localSheetId="8">#REF!</definedName>
    <definedName name="case_rowmin" localSheetId="3">#REF!</definedName>
    <definedName name="case_rowmin" localSheetId="2">#REF!</definedName>
    <definedName name="case_rowmin" localSheetId="1">#REF!</definedName>
    <definedName name="case_rowmin">#REF!</definedName>
    <definedName name="case_rowmin_1" localSheetId="16">#REF!</definedName>
    <definedName name="case_rowmin_1" localSheetId="14">#REF!</definedName>
    <definedName name="case_rowmin_1" localSheetId="10">#REF!</definedName>
    <definedName name="case_rowmin_1" localSheetId="8">#REF!</definedName>
    <definedName name="case_rowmin_1" localSheetId="3">#REF!</definedName>
    <definedName name="case_rowmin_1" localSheetId="2">#REF!</definedName>
    <definedName name="case_rowmin_1" localSheetId="1">#REF!</definedName>
    <definedName name="case_rowmin_1">#REF!</definedName>
    <definedName name="CashAdvance" localSheetId="14">[18]Assumptions!#REF!</definedName>
    <definedName name="CashAdvance" localSheetId="8">[18]Assumptions!#REF!</definedName>
    <definedName name="CashAdvance" localSheetId="1">[18]Assumptions!#REF!</definedName>
    <definedName name="CashAdvance">[18]Assumptions!#REF!</definedName>
    <definedName name="ccccc_12">[6]CRITERIA2!$B$4</definedName>
    <definedName name="cccccccc">'[7]tax-ss'!$G$7:$G$37</definedName>
    <definedName name="Cebu_2007" localSheetId="16">#REF!</definedName>
    <definedName name="Cebu_2007" localSheetId="14">#REF!</definedName>
    <definedName name="Cebu_2007" localSheetId="10">#REF!</definedName>
    <definedName name="Cebu_2007" localSheetId="8">#REF!</definedName>
    <definedName name="Cebu_2007" localSheetId="3">#REF!</definedName>
    <definedName name="Cebu_2007" localSheetId="2">#REF!</definedName>
    <definedName name="Cebu_2007" localSheetId="1">#REF!</definedName>
    <definedName name="Cebu_2007">#REF!</definedName>
    <definedName name="Cebu_2008" localSheetId="16">#REF!</definedName>
    <definedName name="Cebu_2008" localSheetId="14">#REF!</definedName>
    <definedName name="Cebu_2008" localSheetId="10">#REF!</definedName>
    <definedName name="Cebu_2008" localSheetId="8">#REF!</definedName>
    <definedName name="Cebu_2008" localSheetId="3">#REF!</definedName>
    <definedName name="Cebu_2008" localSheetId="2">#REF!</definedName>
    <definedName name="Cebu_2008" localSheetId="1">#REF!</definedName>
    <definedName name="Cebu_2008">#REF!</definedName>
    <definedName name="Cebu_annual" localSheetId="16">#REF!</definedName>
    <definedName name="Cebu_annual" localSheetId="14">#REF!</definedName>
    <definedName name="Cebu_annual" localSheetId="10">#REF!</definedName>
    <definedName name="Cebu_annual" localSheetId="8">#REF!</definedName>
    <definedName name="Cebu_annual" localSheetId="3">#REF!</definedName>
    <definedName name="Cebu_annual" localSheetId="2">#REF!</definedName>
    <definedName name="Cebu_annual" localSheetId="1">#REF!</definedName>
    <definedName name="Cebu_annual">#REF!</definedName>
    <definedName name="cellmasterlist" localSheetId="16">#REF!</definedName>
    <definedName name="cellmasterlist" localSheetId="14">#REF!</definedName>
    <definedName name="cellmasterlist" localSheetId="10">#REF!</definedName>
    <definedName name="cellmasterlist" localSheetId="8">#REF!</definedName>
    <definedName name="cellmasterlist" localSheetId="3">#REF!</definedName>
    <definedName name="cellmasterlist" localSheetId="2">#REF!</definedName>
    <definedName name="cellmasterlist" localSheetId="1">#REF!</definedName>
    <definedName name="cellmasterlist">#REF!</definedName>
    <definedName name="cmiercjrice_7" localSheetId="16">#REF!</definedName>
    <definedName name="cmiercjrice_7" localSheetId="14">#REF!</definedName>
    <definedName name="cmiercjrice_7" localSheetId="10">#REF!</definedName>
    <definedName name="cmiercjrice_7" localSheetId="8">#REF!</definedName>
    <definedName name="cmiercjrice_7" localSheetId="3">#REF!</definedName>
    <definedName name="cmiercjrice_7" localSheetId="2">#REF!</definedName>
    <definedName name="cmiercjrice_7" localSheetId="1">#REF!</definedName>
    <definedName name="cmiercjrice_7">#REF!</definedName>
    <definedName name="COMMISSION" localSheetId="16">#REF!</definedName>
    <definedName name="COMMISSION" localSheetId="14">#REF!</definedName>
    <definedName name="COMMISSION" localSheetId="10">#REF!</definedName>
    <definedName name="COMMISSION" localSheetId="8">#REF!</definedName>
    <definedName name="COMMISSION" localSheetId="3">#REF!</definedName>
    <definedName name="COMMISSION" localSheetId="2">#REF!</definedName>
    <definedName name="COMMISSION" localSheetId="1">#REF!</definedName>
    <definedName name="COMMISSION">#REF!</definedName>
    <definedName name="company" localSheetId="16">#REF!</definedName>
    <definedName name="company" localSheetId="14">#REF!</definedName>
    <definedName name="company" localSheetId="10">#REF!</definedName>
    <definedName name="company" localSheetId="8">#REF!</definedName>
    <definedName name="company" localSheetId="3">#REF!</definedName>
    <definedName name="company" localSheetId="2">#REF!</definedName>
    <definedName name="company" localSheetId="1">#REF!</definedName>
    <definedName name="company">#REF!</definedName>
    <definedName name="company_2" localSheetId="16">#REF!</definedName>
    <definedName name="company_2" localSheetId="14">#REF!</definedName>
    <definedName name="company_2" localSheetId="10">#REF!</definedName>
    <definedName name="company_2" localSheetId="8">#REF!</definedName>
    <definedName name="company_2" localSheetId="3">#REF!</definedName>
    <definedName name="company_2" localSheetId="2">#REF!</definedName>
    <definedName name="company_2" localSheetId="1">#REF!</definedName>
    <definedName name="company_2">#REF!</definedName>
    <definedName name="company_3" localSheetId="16">#REF!</definedName>
    <definedName name="company_3" localSheetId="14">#REF!</definedName>
    <definedName name="company_3" localSheetId="10">#REF!</definedName>
    <definedName name="company_3" localSheetId="8">#REF!</definedName>
    <definedName name="company_3" localSheetId="3">#REF!</definedName>
    <definedName name="company_3" localSheetId="2">#REF!</definedName>
    <definedName name="company_3" localSheetId="1">#REF!</definedName>
    <definedName name="company_3">#REF!</definedName>
    <definedName name="Companyname">'[19]F-3'!$A$1</definedName>
    <definedName name="comploan" localSheetId="16">#REF!</definedName>
    <definedName name="comploan" localSheetId="14">#REF!</definedName>
    <definedName name="comploan" localSheetId="10">#REF!</definedName>
    <definedName name="comploan" localSheetId="8">#REF!</definedName>
    <definedName name="comploan" localSheetId="3">#REF!</definedName>
    <definedName name="comploan" localSheetId="2">#REF!</definedName>
    <definedName name="comploan" localSheetId="1">#REF!</definedName>
    <definedName name="comploan">#REF!</definedName>
    <definedName name="Conso_2007" localSheetId="16">#REF!</definedName>
    <definedName name="Conso_2007" localSheetId="14">#REF!</definedName>
    <definedName name="Conso_2007" localSheetId="10">#REF!</definedName>
    <definedName name="Conso_2007" localSheetId="8">#REF!</definedName>
    <definedName name="Conso_2007" localSheetId="3">#REF!</definedName>
    <definedName name="Conso_2007" localSheetId="2">#REF!</definedName>
    <definedName name="Conso_2007" localSheetId="1">#REF!</definedName>
    <definedName name="Conso_2007">#REF!</definedName>
    <definedName name="Conso_2008" localSheetId="16">#REF!</definedName>
    <definedName name="Conso_2008" localSheetId="14">#REF!</definedName>
    <definedName name="Conso_2008" localSheetId="10">#REF!</definedName>
    <definedName name="Conso_2008" localSheetId="8">#REF!</definedName>
    <definedName name="Conso_2008" localSheetId="3">#REF!</definedName>
    <definedName name="Conso_2008" localSheetId="2">#REF!</definedName>
    <definedName name="Conso_2008" localSheetId="1">#REF!</definedName>
    <definedName name="Conso_2008">#REF!</definedName>
    <definedName name="CONSO_2008_PNL__SBU_PROJECT" localSheetId="16">#REF!</definedName>
    <definedName name="CONSO_2008_PNL__SBU_PROJECT" localSheetId="14">#REF!</definedName>
    <definedName name="CONSO_2008_PNL__SBU_PROJECT" localSheetId="10">#REF!</definedName>
    <definedName name="CONSO_2008_PNL__SBU_PROJECT" localSheetId="8">#REF!</definedName>
    <definedName name="CONSO_2008_PNL__SBU_PROJECT" localSheetId="3">#REF!</definedName>
    <definedName name="CONSO_2008_PNL__SBU_PROJECT" localSheetId="2">#REF!</definedName>
    <definedName name="CONSO_2008_PNL__SBU_PROJECT" localSheetId="1">#REF!</definedName>
    <definedName name="CONSO_2008_PNL__SBU_PROJECT">#REF!</definedName>
    <definedName name="Conso_existing_vs_new" localSheetId="16">#REF!</definedName>
    <definedName name="Conso_existing_vs_new" localSheetId="14">#REF!</definedName>
    <definedName name="Conso_existing_vs_new" localSheetId="10">#REF!</definedName>
    <definedName name="Conso_existing_vs_new" localSheetId="8">#REF!</definedName>
    <definedName name="Conso_existing_vs_new" localSheetId="3">#REF!</definedName>
    <definedName name="Conso_existing_vs_new" localSheetId="2">#REF!</definedName>
    <definedName name="Conso_existing_vs_new" localSheetId="1">#REF!</definedName>
    <definedName name="Conso_existing_vs_new">#REF!</definedName>
    <definedName name="Conso_Sales" localSheetId="16">#REF!</definedName>
    <definedName name="Conso_Sales" localSheetId="14">#REF!</definedName>
    <definedName name="Conso_Sales" localSheetId="10">#REF!</definedName>
    <definedName name="Conso_Sales" localSheetId="8">#REF!</definedName>
    <definedName name="Conso_Sales" localSheetId="3">#REF!</definedName>
    <definedName name="Conso_Sales" localSheetId="2">#REF!</definedName>
    <definedName name="Conso_Sales" localSheetId="1">#REF!</definedName>
    <definedName name="Conso_Sales">#REF!</definedName>
    <definedName name="cookie_12">[14]CRITERIA1!$B$6</definedName>
    <definedName name="cos" hidden="1">'[3]GAE8''97'!$I$2:$I$2</definedName>
    <definedName name="Cost_Responsibility_Centers" localSheetId="16">_crc2009</definedName>
    <definedName name="Cost_Responsibility_Centers" localSheetId="14">_crc2009</definedName>
    <definedName name="Cost_Responsibility_Centers" localSheetId="10">_crc2009</definedName>
    <definedName name="Cost_Responsibility_Centers" localSheetId="8">_crc2009</definedName>
    <definedName name="Cost_Responsibility_Centers" localSheetId="3">_crc2009</definedName>
    <definedName name="Cost_Responsibility_Centers" localSheetId="2">_crc2009</definedName>
    <definedName name="Cost_Responsibility_Centers" localSheetId="1">_crc2009</definedName>
    <definedName name="Cost_Responsibility_Centers">_crc2009</definedName>
    <definedName name="CRC">'[20]CRC database'!$B$7:$B$349</definedName>
    <definedName name="_xlnm.Criteria" localSheetId="16">#REF!</definedName>
    <definedName name="_xlnm.Criteria" localSheetId="14">#REF!</definedName>
    <definedName name="_xlnm.Criteria" localSheetId="10">#REF!</definedName>
    <definedName name="_xlnm.Criteria" localSheetId="8">#REF!</definedName>
    <definedName name="_xlnm.Criteria" localSheetId="3">#REF!</definedName>
    <definedName name="_xlnm.Criteria" localSheetId="2">#REF!</definedName>
    <definedName name="_xlnm.Criteria" localSheetId="1">#REF!</definedName>
    <definedName name="_xlnm.Criteria">#REF!</definedName>
    <definedName name="Criteria_MI">'[3]GAE8''97'!$H$8:$H$9</definedName>
    <definedName name="cst" hidden="1">'[3]GAE8''97'!$H$2:$H$2</definedName>
    <definedName name="CTS_STATUS" localSheetId="16">#REF!</definedName>
    <definedName name="CTS_STATUS" localSheetId="14">#REF!</definedName>
    <definedName name="CTS_STATUS" localSheetId="10">#REF!</definedName>
    <definedName name="CTS_STATUS" localSheetId="8">#REF!</definedName>
    <definedName name="CTS_STATUS" localSheetId="3">#REF!</definedName>
    <definedName name="CTS_STATUS" localSheetId="2">#REF!</definedName>
    <definedName name="CTS_STATUS" localSheetId="1">#REF!</definedName>
    <definedName name="CTS_STATUS">#REF!</definedName>
    <definedName name="CX" localSheetId="16">#REF!</definedName>
    <definedName name="CX" localSheetId="14">#REF!</definedName>
    <definedName name="CX" localSheetId="10">#REF!</definedName>
    <definedName name="CX" localSheetId="8">#REF!</definedName>
    <definedName name="CX" localSheetId="3">#REF!</definedName>
    <definedName name="CX" localSheetId="2">#REF!</definedName>
    <definedName name="CX" localSheetId="1">#REF!</definedName>
    <definedName name="CX">#REF!</definedName>
    <definedName name="D" localSheetId="16">#REF!</definedName>
    <definedName name="D" localSheetId="14">#REF!</definedName>
    <definedName name="D" localSheetId="10">#REF!</definedName>
    <definedName name="D" localSheetId="8">#REF!</definedName>
    <definedName name="D" localSheetId="3">#REF!</definedName>
    <definedName name="D" localSheetId="2">#REF!</definedName>
    <definedName name="D" localSheetId="1">#REF!</definedName>
    <definedName name="D">#REF!</definedName>
    <definedName name="dadd_12">[14]CRITERIA2!$B$23</definedName>
    <definedName name="data">[21]data!$B$2:$AH$790</definedName>
    <definedName name="_xlnm.Database">'[22]GAE8''97'!$A$8:$E$299</definedName>
    <definedName name="Database_MI">'[3]GAE8''97'!$A$8:$E$299</definedName>
    <definedName name="dddd">[5]CRITERIA1!$D$3</definedName>
    <definedName name="dddd_12">[6]CRITERIA1!$D$3</definedName>
    <definedName name="ddddd">[5]CRITERIA3!$B$4</definedName>
    <definedName name="ddddd_12">[6]CRITERIA3!$B$4</definedName>
    <definedName name="DeliverBag" localSheetId="14">[18]Assumptions!#REF!</definedName>
    <definedName name="DeliverBag" localSheetId="8">[18]Assumptions!#REF!</definedName>
    <definedName name="DeliverBag" localSheetId="1">[23]Assumptions!#REF!</definedName>
    <definedName name="DeliverBag">[18]Assumptions!#REF!</definedName>
    <definedName name="Department" localSheetId="16">#REF!</definedName>
    <definedName name="Department" localSheetId="14">#REF!</definedName>
    <definedName name="Department" localSheetId="10">#REF!</definedName>
    <definedName name="Department" localSheetId="8">#REF!</definedName>
    <definedName name="Department" localSheetId="3">#REF!</definedName>
    <definedName name="Department" localSheetId="2">#REF!</definedName>
    <definedName name="Department" localSheetId="1">#REF!</definedName>
    <definedName name="Department">#REF!</definedName>
    <definedName name="DESTINATION" localSheetId="16">#REF!</definedName>
    <definedName name="DESTINATION" localSheetId="14">#REF!</definedName>
    <definedName name="DESTINATION" localSheetId="10">#REF!</definedName>
    <definedName name="DESTINATION" localSheetId="8">#REF!</definedName>
    <definedName name="DESTINATION" localSheetId="3">#REF!</definedName>
    <definedName name="DESTINATION" localSheetId="2">#REF!</definedName>
    <definedName name="DESTINATION" localSheetId="1">#REF!</definedName>
    <definedName name="DESTINATION">#REF!</definedName>
    <definedName name="DevCost">[8]Assumptions!$F$68</definedName>
    <definedName name="diana" localSheetId="16">#REF!</definedName>
    <definedName name="diana" localSheetId="14">#REF!</definedName>
    <definedName name="diana" localSheetId="10">#REF!</definedName>
    <definedName name="diana" localSheetId="8">#REF!</definedName>
    <definedName name="diana" localSheetId="3">#REF!</definedName>
    <definedName name="diana" localSheetId="2">#REF!</definedName>
    <definedName name="diana" localSheetId="1">#REF!</definedName>
    <definedName name="diana">#REF!</definedName>
    <definedName name="dianaLicop0" localSheetId="16">#REF!</definedName>
    <definedName name="dianaLicop0" localSheetId="14">#REF!</definedName>
    <definedName name="dianaLicop0" localSheetId="10">#REF!</definedName>
    <definedName name="dianaLicop0" localSheetId="8">#REF!</definedName>
    <definedName name="dianaLicop0" localSheetId="3">#REF!</definedName>
    <definedName name="dianaLicop0" localSheetId="2">#REF!</definedName>
    <definedName name="dianaLicop0" localSheetId="1">#REF!</definedName>
    <definedName name="dianaLicop0">#REF!</definedName>
    <definedName name="dog_12">[14]CRITERIA2!$H$4</definedName>
    <definedName name="Dolores" localSheetId="16">#REF!</definedName>
    <definedName name="Dolores" localSheetId="14">#REF!</definedName>
    <definedName name="Dolores" localSheetId="10">#REF!</definedName>
    <definedName name="Dolores" localSheetId="8">#REF!</definedName>
    <definedName name="Dolores" localSheetId="3">#REF!</definedName>
    <definedName name="Dolores" localSheetId="2">#REF!</definedName>
    <definedName name="Dolores" localSheetId="1">#REF!</definedName>
    <definedName name="Dolores">#REF!</definedName>
    <definedName name="domestic" localSheetId="16">#REF!</definedName>
    <definedName name="domestic" localSheetId="14">#REF!</definedName>
    <definedName name="domestic" localSheetId="10">#REF!</definedName>
    <definedName name="domestic" localSheetId="8">#REF!</definedName>
    <definedName name="domestic" localSheetId="3">#REF!</definedName>
    <definedName name="domestic" localSheetId="2">#REF!</definedName>
    <definedName name="domestic" localSheetId="1">#REF!</definedName>
    <definedName name="domestic">#REF!</definedName>
    <definedName name="dont">[16]CRITERIA1!$B$4</definedName>
    <definedName name="dont_12">[14]CRITERIA1!$B$4</definedName>
    <definedName name="dt" localSheetId="14">[24]afis!#REF!</definedName>
    <definedName name="dt" localSheetId="8">[24]afis!#REF!</definedName>
    <definedName name="dt">[24]afis!#REF!</definedName>
    <definedName name="dtbs">[24]afis!$1:$9</definedName>
    <definedName name="eeee">[5]CRITERIA2!$D$3</definedName>
    <definedName name="eeee_12">[6]CRITERIA2!$D$3</definedName>
    <definedName name="eeeee">[5]CRITERIA1!$B$7</definedName>
    <definedName name="eeeee_12">[6]CRITERIA1!$B$7</definedName>
    <definedName name="eeeeeeee">'[7]tax-ss'!$M$7:$M$37</definedName>
    <definedName name="empcarreg" localSheetId="16">#REF!</definedName>
    <definedName name="empcarreg" localSheetId="14">#REF!</definedName>
    <definedName name="empcarreg" localSheetId="10">#REF!</definedName>
    <definedName name="empcarreg" localSheetId="8">#REF!</definedName>
    <definedName name="empcarreg" localSheetId="3">#REF!</definedName>
    <definedName name="empcarreg" localSheetId="2">#REF!</definedName>
    <definedName name="empcarreg" localSheetId="1">#REF!</definedName>
    <definedName name="empcarreg">#REF!</definedName>
    <definedName name="EMPLOYEE_NAME" localSheetId="16">#REF!</definedName>
    <definedName name="EMPLOYEE_NAME" localSheetId="14">#REF!</definedName>
    <definedName name="EMPLOYEE_NAME" localSheetId="10">#REF!</definedName>
    <definedName name="EMPLOYEE_NAME" localSheetId="8">#REF!</definedName>
    <definedName name="EMPLOYEE_NAME" localSheetId="3">#REF!</definedName>
    <definedName name="EMPLOYEE_NAME" localSheetId="2">#REF!</definedName>
    <definedName name="EMPLOYEE_NAME" localSheetId="1">#REF!</definedName>
    <definedName name="EMPLOYEE_NAME">#REF!</definedName>
    <definedName name="Excel_BuiltIn_Criteria" localSheetId="14">#REF!</definedName>
    <definedName name="Excel_BuiltIn_Criteria" localSheetId="8">#REF!</definedName>
    <definedName name="Excel_BuiltIn_Criteria">#REF!</definedName>
    <definedName name="Excel_BuiltIn_Print_Area" localSheetId="14">#REF!</definedName>
    <definedName name="Excel_BuiltIn_Print_Area" localSheetId="8">#REF!</definedName>
    <definedName name="Excel_BuiltIn_Print_Area">#REF!</definedName>
    <definedName name="Excel_BuiltIn_Print_Titles" localSheetId="14">#REF!</definedName>
    <definedName name="Excel_BuiltIn_Print_Titles" localSheetId="8">#REF!</definedName>
    <definedName name="Excel_BuiltIn_Print_Titles">#REF!</definedName>
    <definedName name="_xlnm.Extract">'[22]GAE8''97'!$H$8</definedName>
    <definedName name="Extract_MI">'[3]GAE8''97'!$H$8</definedName>
    <definedName name="FAR" localSheetId="14">[18]Assumptions!#REF!</definedName>
    <definedName name="FAR" localSheetId="8">[18]Assumptions!#REF!</definedName>
    <definedName name="FAR" localSheetId="1">[18]Assumptions!#REF!</definedName>
    <definedName name="FAR">[18]Assumptions!#REF!</definedName>
    <definedName name="FAR_4" localSheetId="14">[1]Assumptions!#REF!</definedName>
    <definedName name="FAR_4" localSheetId="8">[1]Assumptions!#REF!</definedName>
    <definedName name="FAR_4" localSheetId="1">[1]Assumptions!#REF!</definedName>
    <definedName name="FAR_4">[1]Assumptions!#REF!</definedName>
    <definedName name="ferla2" localSheetId="16">#REF!</definedName>
    <definedName name="ferla2" localSheetId="14">#REF!</definedName>
    <definedName name="ferla2" localSheetId="10">#REF!</definedName>
    <definedName name="ferla2" localSheetId="8">#REF!</definedName>
    <definedName name="ferla2" localSheetId="3">#REF!</definedName>
    <definedName name="ferla2" localSheetId="2">#REF!</definedName>
    <definedName name="ferla2" localSheetId="1">#REF!</definedName>
    <definedName name="ferla2">#REF!</definedName>
    <definedName name="figures_max" localSheetId="16">#REF!</definedName>
    <definedName name="figures_max" localSheetId="14">#REF!</definedName>
    <definedName name="figures_max" localSheetId="10">#REF!</definedName>
    <definedName name="figures_max" localSheetId="8">#REF!</definedName>
    <definedName name="figures_max" localSheetId="3">#REF!</definedName>
    <definedName name="figures_max" localSheetId="2">#REF!</definedName>
    <definedName name="figures_max" localSheetId="1">#REF!</definedName>
    <definedName name="figures_max">#REF!</definedName>
    <definedName name="figures_max_1" localSheetId="16">#REF!</definedName>
    <definedName name="figures_max_1" localSheetId="14">#REF!</definedName>
    <definedName name="figures_max_1" localSheetId="10">#REF!</definedName>
    <definedName name="figures_max_1" localSheetId="8">#REF!</definedName>
    <definedName name="figures_max_1" localSheetId="3">#REF!</definedName>
    <definedName name="figures_max_1" localSheetId="2">#REF!</definedName>
    <definedName name="figures_max_1" localSheetId="1">#REF!</definedName>
    <definedName name="figures_max_1">#REF!</definedName>
    <definedName name="figures_min" localSheetId="16">#REF!</definedName>
    <definedName name="figures_min" localSheetId="14">#REF!</definedName>
    <definedName name="figures_min" localSheetId="10">#REF!</definedName>
    <definedName name="figures_min" localSheetId="8">#REF!</definedName>
    <definedName name="figures_min" localSheetId="3">#REF!</definedName>
    <definedName name="figures_min" localSheetId="2">#REF!</definedName>
    <definedName name="figures_min" localSheetId="1">#REF!</definedName>
    <definedName name="figures_min">#REF!</definedName>
    <definedName name="figures_min_1" localSheetId="16">#REF!</definedName>
    <definedName name="figures_min_1" localSheetId="14">#REF!</definedName>
    <definedName name="figures_min_1" localSheetId="10">#REF!</definedName>
    <definedName name="figures_min_1" localSheetId="8">#REF!</definedName>
    <definedName name="figures_min_1" localSheetId="3">#REF!</definedName>
    <definedName name="figures_min_1" localSheetId="2">#REF!</definedName>
    <definedName name="figures_min_1" localSheetId="1">#REF!</definedName>
    <definedName name="figures_min_1">#REF!</definedName>
    <definedName name="financepartners">[25]dbase!$E$5:$E$12</definedName>
    <definedName name="financepartners1">[26]dbase!$E$5:$E$12</definedName>
    <definedName name="fly_12">[14]CRITERIA1!$J$3</definedName>
    <definedName name="FREQUENCY" localSheetId="16">#REF!</definedName>
    <definedName name="FREQUENCY" localSheetId="14">#REF!</definedName>
    <definedName name="FREQUENCY" localSheetId="10">#REF!</definedName>
    <definedName name="FREQUENCY" localSheetId="8">#REF!</definedName>
    <definedName name="FREQUENCY" localSheetId="3">#REF!</definedName>
    <definedName name="FREQUENCY" localSheetId="2">#REF!</definedName>
    <definedName name="FREQUENCY" localSheetId="1">#REF!</definedName>
    <definedName name="FREQUENCY">#REF!</definedName>
    <definedName name="G" localSheetId="16">#REF!</definedName>
    <definedName name="G" localSheetId="14">#REF!</definedName>
    <definedName name="G" localSheetId="10">#REF!</definedName>
    <definedName name="G" localSheetId="8">#REF!</definedName>
    <definedName name="G" localSheetId="3">#REF!</definedName>
    <definedName name="G" localSheetId="2">#REF!</definedName>
    <definedName name="G" localSheetId="1">#REF!</definedName>
    <definedName name="G">#REF!</definedName>
    <definedName name="GAE">[8]Assumptions!$E$80</definedName>
    <definedName name="GAEA" hidden="1">'[3]GAE8''97'!$H$9:$S$36</definedName>
    <definedName name="GAEAU" hidden="1">'[3]GAE8''97'!$E$10:$E$10</definedName>
    <definedName name="GAEAUG" hidden="1">'[3]GAE8''97'!$B$10:$B$10</definedName>
    <definedName name="GAED">'[3]GAE8''97'!$A$8:$E$299</definedName>
    <definedName name="GAEE">'[3]GAE8''97'!$A$8:$E$299</definedName>
    <definedName name="gas" localSheetId="16">#REF!</definedName>
    <definedName name="gas" localSheetId="14">#REF!</definedName>
    <definedName name="gas" localSheetId="10">#REF!</definedName>
    <definedName name="gas" localSheetId="8">#REF!</definedName>
    <definedName name="gas" localSheetId="3">#REF!</definedName>
    <definedName name="gas" localSheetId="2">#REF!</definedName>
    <definedName name="gas" localSheetId="1">#REF!</definedName>
    <definedName name="gas">#REF!</definedName>
    <definedName name="GemmabeL" localSheetId="16">#REF!</definedName>
    <definedName name="GemmabeL" localSheetId="14">#REF!</definedName>
    <definedName name="GemmabeL" localSheetId="10">#REF!</definedName>
    <definedName name="GemmabeL" localSheetId="8">#REF!</definedName>
    <definedName name="GemmabeL" localSheetId="3">#REF!</definedName>
    <definedName name="GemmabeL" localSheetId="2">#REF!</definedName>
    <definedName name="GemmabeL" localSheetId="1">#REF!</definedName>
    <definedName name="GemmabeL">#REF!</definedName>
    <definedName name="gggg">[5]CRITERIA1!$D$4</definedName>
    <definedName name="gggg_12">[6]CRITERIA1!$D$4</definedName>
    <definedName name="ggggg">[5]CRITERIA3!$B$7</definedName>
    <definedName name="ggggg_12">[6]CRITERIA3!$B$7</definedName>
    <definedName name="gina" localSheetId="14">'[13]car reg dbase'!#REF!</definedName>
    <definedName name="gina" localSheetId="8">'[13]car reg dbase'!#REF!</definedName>
    <definedName name="gina" localSheetId="1">'[13]car reg dbase'!#REF!</definedName>
    <definedName name="gina">'[13]car reg dbase'!#REF!</definedName>
    <definedName name="H" localSheetId="16">#REF!</definedName>
    <definedName name="H" localSheetId="14">#REF!</definedName>
    <definedName name="H" localSheetId="10">#REF!</definedName>
    <definedName name="H" localSheetId="8">#REF!</definedName>
    <definedName name="H" localSheetId="3">#REF!</definedName>
    <definedName name="H" localSheetId="2">#REF!</definedName>
    <definedName name="H" localSheetId="1">#REF!</definedName>
    <definedName name="H">#REF!</definedName>
    <definedName name="Heraclene888" localSheetId="16">#REF!</definedName>
    <definedName name="Heraclene888" localSheetId="14">#REF!</definedName>
    <definedName name="Heraclene888" localSheetId="10">#REF!</definedName>
    <definedName name="Heraclene888" localSheetId="8">#REF!</definedName>
    <definedName name="Heraclene888" localSheetId="3">#REF!</definedName>
    <definedName name="Heraclene888" localSheetId="2">#REF!</definedName>
    <definedName name="Heraclene888" localSheetId="1">#REF!</definedName>
    <definedName name="Heraclene888">#REF!</definedName>
    <definedName name="hhhhh_12">[6]CRITERIA1!$B$8</definedName>
    <definedName name="hILLSIDE" localSheetId="16">#REF!</definedName>
    <definedName name="hILLSIDE" localSheetId="14">#REF!</definedName>
    <definedName name="hILLSIDE" localSheetId="10">#REF!</definedName>
    <definedName name="hILLSIDE" localSheetId="8">#REF!</definedName>
    <definedName name="hILLSIDE" localSheetId="3">#REF!</definedName>
    <definedName name="hILLSIDE" localSheetId="2">#REF!</definedName>
    <definedName name="hILLSIDE" localSheetId="1">#REF!</definedName>
    <definedName name="hILLSIDE">#REF!</definedName>
    <definedName name="Hometown_2007" localSheetId="16">#REF!</definedName>
    <definedName name="Hometown_2007" localSheetId="14">#REF!</definedName>
    <definedName name="Hometown_2007" localSheetId="10">#REF!</definedName>
    <definedName name="Hometown_2007" localSheetId="8">#REF!</definedName>
    <definedName name="Hometown_2007" localSheetId="3">#REF!</definedName>
    <definedName name="Hometown_2007" localSheetId="2">#REF!</definedName>
    <definedName name="Hometown_2007" localSheetId="1">#REF!</definedName>
    <definedName name="Hometown_2007">#REF!</definedName>
    <definedName name="Hometown_2008" localSheetId="16">#REF!</definedName>
    <definedName name="Hometown_2008" localSheetId="14">#REF!</definedName>
    <definedName name="Hometown_2008" localSheetId="10">#REF!</definedName>
    <definedName name="Hometown_2008" localSheetId="8">#REF!</definedName>
    <definedName name="Hometown_2008" localSheetId="3">#REF!</definedName>
    <definedName name="Hometown_2008" localSheetId="2">#REF!</definedName>
    <definedName name="Hometown_2008" localSheetId="1">#REF!</definedName>
    <definedName name="Hometown_2008">#REF!</definedName>
    <definedName name="Hometown_annual" localSheetId="16">#REF!</definedName>
    <definedName name="Hometown_annual" localSheetId="14">#REF!</definedName>
    <definedName name="Hometown_annual" localSheetId="10">#REF!</definedName>
    <definedName name="Hometown_annual" localSheetId="8">#REF!</definedName>
    <definedName name="Hometown_annual" localSheetId="3">#REF!</definedName>
    <definedName name="Hometown_annual" localSheetId="2">#REF!</definedName>
    <definedName name="Hometown_annual" localSheetId="1">#REF!</definedName>
    <definedName name="Hometown_annual">#REF!</definedName>
    <definedName name="hsproject143" localSheetId="16">#REF!</definedName>
    <definedName name="hsproject143" localSheetId="14">#REF!</definedName>
    <definedName name="hsproject143" localSheetId="10">#REF!</definedName>
    <definedName name="hsproject143" localSheetId="8">#REF!</definedName>
    <definedName name="hsproject143" localSheetId="3">#REF!</definedName>
    <definedName name="hsproject143" localSheetId="2">#REF!</definedName>
    <definedName name="hsproject143" localSheetId="1">#REF!</definedName>
    <definedName name="hsproject143">#REF!</definedName>
    <definedName name="HTML_LineBefore" hidden="1">FALSE</definedName>
    <definedName name="HTML_Name" hidden="1">"DBMI"</definedName>
    <definedName name="HTML_OBDlg2" hidden="1">TRUE</definedName>
    <definedName name="HTML_OBDlg4" hidden="1">TRUE</definedName>
    <definedName name="HTML_OS" hidden="1">0</definedName>
    <definedName name="HTML_PathFile" hidden="1">"C:\Ali\Excel\BAAN\STOCK\MyHTML.htm"</definedName>
    <definedName name="HTML_Title" hidden="1">"4PAST_P"</definedName>
    <definedName name="I" localSheetId="16">#REF!</definedName>
    <definedName name="I" localSheetId="14">#REF!</definedName>
    <definedName name="I" localSheetId="10">#REF!</definedName>
    <definedName name="I" localSheetId="8">#REF!</definedName>
    <definedName name="I" localSheetId="3">#REF!</definedName>
    <definedName name="I" localSheetId="2">#REF!</definedName>
    <definedName name="I" localSheetId="1">#REF!</definedName>
    <definedName name="I">#REF!</definedName>
    <definedName name="iiii_12">[6]CRITERIA3!$D$4</definedName>
    <definedName name="iiiii">[5]CRITERIA2!$B$8</definedName>
    <definedName name="iiiii_12">[6]CRITERIA2!$B$8</definedName>
    <definedName name="Ikay" localSheetId="16">#REF!</definedName>
    <definedName name="Ikay" localSheetId="14">#REF!</definedName>
    <definedName name="Ikay" localSheetId="10">#REF!</definedName>
    <definedName name="Ikay" localSheetId="8">#REF!</definedName>
    <definedName name="Ikay" localSheetId="3">#REF!</definedName>
    <definedName name="Ikay" localSheetId="2">#REF!</definedName>
    <definedName name="Ikay" localSheetId="1">#REF!</definedName>
    <definedName name="Ikay">#REF!</definedName>
    <definedName name="IL" localSheetId="16">#REF!</definedName>
    <definedName name="IL" localSheetId="14">#REF!</definedName>
    <definedName name="IL" localSheetId="10">#REF!</definedName>
    <definedName name="IL" localSheetId="8">#REF!</definedName>
    <definedName name="IL" localSheetId="3">#REF!</definedName>
    <definedName name="IL" localSheetId="2">#REF!</definedName>
    <definedName name="IL" localSheetId="1">#REF!</definedName>
    <definedName name="IL">#REF!</definedName>
    <definedName name="ILInoise_4" localSheetId="16">#REF!</definedName>
    <definedName name="ILInoise_4" localSheetId="14">#REF!</definedName>
    <definedName name="ILInoise_4" localSheetId="10">#REF!</definedName>
    <definedName name="ILInoise_4" localSheetId="8">#REF!</definedName>
    <definedName name="ILInoise_4" localSheetId="3">#REF!</definedName>
    <definedName name="ILInoise_4" localSheetId="2">#REF!</definedName>
    <definedName name="ILInoise_4" localSheetId="1">#REF!</definedName>
    <definedName name="ILInoise_4">#REF!</definedName>
    <definedName name="ILOVEYOU" localSheetId="16">#REF!</definedName>
    <definedName name="ILOVEYOU" localSheetId="14">#REF!</definedName>
    <definedName name="ILOVEYOU" localSheetId="10">#REF!</definedName>
    <definedName name="ILOVEYOU" localSheetId="8">#REF!</definedName>
    <definedName name="ILOVEYOU" localSheetId="3">#REF!</definedName>
    <definedName name="ILOVEYOU" localSheetId="2">#REF!</definedName>
    <definedName name="ILOVEYOU" localSheetId="1">#REF!</definedName>
    <definedName name="ILOVEYOU">#REF!</definedName>
    <definedName name="inah" localSheetId="16">#REF!</definedName>
    <definedName name="inah" localSheetId="14">#REF!</definedName>
    <definedName name="inah" localSheetId="10">#REF!</definedName>
    <definedName name="inah" localSheetId="8">#REF!</definedName>
    <definedName name="inah" localSheetId="3">#REF!</definedName>
    <definedName name="inah" localSheetId="2">#REF!</definedName>
    <definedName name="inah" localSheetId="1">#REF!</definedName>
    <definedName name="inah">#REF!</definedName>
    <definedName name="insurance" localSheetId="16">#REF!</definedName>
    <definedName name="insurance" localSheetId="14">#REF!</definedName>
    <definedName name="insurance" localSheetId="10">#REF!</definedName>
    <definedName name="insurance" localSheetId="8">#REF!</definedName>
    <definedName name="insurance" localSheetId="3">#REF!</definedName>
    <definedName name="insurance" localSheetId="2">#REF!</definedName>
    <definedName name="insurance" localSheetId="1">#REF!</definedName>
    <definedName name="insurance">#REF!</definedName>
    <definedName name="insurance2" localSheetId="14">'[13]insurance dtb'!#REF!</definedName>
    <definedName name="insurance2" localSheetId="8">'[13]insurance dtb'!#REF!</definedName>
    <definedName name="insurance2" localSheetId="1">'[13]insurance dtb'!#REF!</definedName>
    <definedName name="insurance2">'[13]insurance dtb'!#REF!</definedName>
    <definedName name="ITEMS" localSheetId="16">#REF!</definedName>
    <definedName name="ITEMS" localSheetId="14">#REF!</definedName>
    <definedName name="ITEMS" localSheetId="10">#REF!</definedName>
    <definedName name="ITEMS" localSheetId="8">#REF!</definedName>
    <definedName name="ITEMS" localSheetId="3">#REF!</definedName>
    <definedName name="ITEMS" localSheetId="2">#REF!</definedName>
    <definedName name="ITEMS" localSheetId="1">#REF!</definedName>
    <definedName name="ITEMS">#REF!</definedName>
    <definedName name="Jan_I11" localSheetId="16">#REF!</definedName>
    <definedName name="Jan_I11" localSheetId="14">#REF!</definedName>
    <definedName name="Jan_I11" localSheetId="10">#REF!</definedName>
    <definedName name="Jan_I11" localSheetId="8">#REF!</definedName>
    <definedName name="Jan_I11" localSheetId="3">#REF!</definedName>
    <definedName name="Jan_I11" localSheetId="2">#REF!</definedName>
    <definedName name="Jan_I11" localSheetId="1">#REF!</definedName>
    <definedName name="Jan_I11">#REF!</definedName>
    <definedName name="Javasz" localSheetId="16">#REF!</definedName>
    <definedName name="Javasz" localSheetId="14">#REF!</definedName>
    <definedName name="Javasz" localSheetId="10">#REF!</definedName>
    <definedName name="Javasz" localSheetId="8">#REF!</definedName>
    <definedName name="Javasz" localSheetId="3">#REF!</definedName>
    <definedName name="Javasz" localSheetId="2">#REF!</definedName>
    <definedName name="Javasz" localSheetId="1">#REF!</definedName>
    <definedName name="Javasz">#REF!</definedName>
    <definedName name="Javz" localSheetId="16">#REF!</definedName>
    <definedName name="Javz" localSheetId="14">#REF!</definedName>
    <definedName name="Javz" localSheetId="10">#REF!</definedName>
    <definedName name="Javz" localSheetId="8">#REF!</definedName>
    <definedName name="Javz" localSheetId="3">#REF!</definedName>
    <definedName name="Javz" localSheetId="2">#REF!</definedName>
    <definedName name="Javz" localSheetId="1">#REF!</definedName>
    <definedName name="Javz">#REF!</definedName>
    <definedName name="Jessa" localSheetId="16">#REF!</definedName>
    <definedName name="Jessa" localSheetId="14">#REF!</definedName>
    <definedName name="Jessa" localSheetId="10">#REF!</definedName>
    <definedName name="Jessa" localSheetId="8">#REF!</definedName>
    <definedName name="Jessa" localSheetId="3">#REF!</definedName>
    <definedName name="Jessa" localSheetId="2">#REF!</definedName>
    <definedName name="Jessa" localSheetId="1">#REF!</definedName>
    <definedName name="Jessa">#REF!</definedName>
    <definedName name="jfjk4r" localSheetId="16">#REF!</definedName>
    <definedName name="jfjk4r" localSheetId="14">#REF!</definedName>
    <definedName name="jfjk4r" localSheetId="10">#REF!</definedName>
    <definedName name="jfjk4r" localSheetId="8">#REF!</definedName>
    <definedName name="jfjk4r" localSheetId="3">#REF!</definedName>
    <definedName name="jfjk4r" localSheetId="2">#REF!</definedName>
    <definedName name="jfjk4r" localSheetId="1">#REF!</definedName>
    <definedName name="jfjk4r">#REF!</definedName>
    <definedName name="jg">'[27]FF-3'!$1:$8</definedName>
    <definedName name="jgj">'[28]FF-2 (1)'!$1:$9</definedName>
    <definedName name="jicueiufe3" localSheetId="16">#REF!</definedName>
    <definedName name="jicueiufe3" localSheetId="14">#REF!</definedName>
    <definedName name="jicueiufe3" localSheetId="10">#REF!</definedName>
    <definedName name="jicueiufe3" localSheetId="8">#REF!</definedName>
    <definedName name="jicueiufe3" localSheetId="3">#REF!</definedName>
    <definedName name="jicueiufe3" localSheetId="2">#REF!</definedName>
    <definedName name="jicueiufe3" localSheetId="1">#REF!</definedName>
    <definedName name="jicueiufe3">#REF!</definedName>
    <definedName name="jjjj_12">[6]CRITERIA1!$B$17</definedName>
    <definedName name="jjjjj">[5]CRITERIA3!$B$8</definedName>
    <definedName name="jjjjj_12">[6]CRITERIA3!$B$8</definedName>
    <definedName name="JKJEWJE9" localSheetId="16">#REF!</definedName>
    <definedName name="JKJEWJE9" localSheetId="14">#REF!</definedName>
    <definedName name="JKJEWJE9" localSheetId="10">#REF!</definedName>
    <definedName name="JKJEWJE9" localSheetId="8">#REF!</definedName>
    <definedName name="JKJEWJE9" localSheetId="3">#REF!</definedName>
    <definedName name="JKJEWJE9" localSheetId="2">#REF!</definedName>
    <definedName name="JKJEWJE9" localSheetId="1">#REF!</definedName>
    <definedName name="JKJEWJE9">#REF!</definedName>
    <definedName name="Joice" localSheetId="16">#REF!</definedName>
    <definedName name="Joice" localSheetId="14">#REF!</definedName>
    <definedName name="Joice" localSheetId="10">#REF!</definedName>
    <definedName name="Joice" localSheetId="8">#REF!</definedName>
    <definedName name="Joice" localSheetId="3">#REF!</definedName>
    <definedName name="Joice" localSheetId="2">#REF!</definedName>
    <definedName name="Joice" localSheetId="1">#REF!</definedName>
    <definedName name="Joice">#REF!</definedName>
    <definedName name="Joice101" localSheetId="16">#REF!</definedName>
    <definedName name="Joice101" localSheetId="14">#REF!</definedName>
    <definedName name="Joice101" localSheetId="10">#REF!</definedName>
    <definedName name="Joice101" localSheetId="8">#REF!</definedName>
    <definedName name="Joice101" localSheetId="3">#REF!</definedName>
    <definedName name="Joice101" localSheetId="2">#REF!</definedName>
    <definedName name="Joice101" localSheetId="1">#REF!</definedName>
    <definedName name="Joice101">#REF!</definedName>
    <definedName name="Joice123" localSheetId="16">#REF!</definedName>
    <definedName name="Joice123" localSheetId="14">#REF!</definedName>
    <definedName name="Joice123" localSheetId="10">#REF!</definedName>
    <definedName name="Joice123" localSheetId="8">#REF!</definedName>
    <definedName name="Joice123" localSheetId="3">#REF!</definedName>
    <definedName name="Joice123" localSheetId="2">#REF!</definedName>
    <definedName name="Joice123" localSheetId="1">#REF!</definedName>
    <definedName name="Joice123">#REF!</definedName>
    <definedName name="judy_12">[9]CRITERIA2!$L$4</definedName>
    <definedName name="K" localSheetId="16">#REF!</definedName>
    <definedName name="K" localSheetId="14">#REF!</definedName>
    <definedName name="K" localSheetId="10">#REF!</definedName>
    <definedName name="K" localSheetId="8">#REF!</definedName>
    <definedName name="K" localSheetId="3">#REF!</definedName>
    <definedName name="K" localSheetId="2">#REF!</definedName>
    <definedName name="K" localSheetId="1">#REF!</definedName>
    <definedName name="K">#REF!</definedName>
    <definedName name="kARE" localSheetId="16">#REF!</definedName>
    <definedName name="kARE" localSheetId="14">#REF!</definedName>
    <definedName name="kARE" localSheetId="10">#REF!</definedName>
    <definedName name="kARE" localSheetId="8">#REF!</definedName>
    <definedName name="kARE" localSheetId="3">#REF!</definedName>
    <definedName name="kARE" localSheetId="2">#REF!</definedName>
    <definedName name="kARE" localSheetId="1">#REF!</definedName>
    <definedName name="kARE">#REF!</definedName>
    <definedName name="kclkd2" localSheetId="16">#REF!</definedName>
    <definedName name="kclkd2" localSheetId="14">#REF!</definedName>
    <definedName name="kclkd2" localSheetId="10">#REF!</definedName>
    <definedName name="kclkd2" localSheetId="8">#REF!</definedName>
    <definedName name="kclkd2" localSheetId="3">#REF!</definedName>
    <definedName name="kclkd2" localSheetId="2">#REF!</definedName>
    <definedName name="kclkd2" localSheetId="1">#REF!</definedName>
    <definedName name="kclkd2">#REF!</definedName>
    <definedName name="kim_12">[14]CRITERIA1!$L$1</definedName>
    <definedName name="kin">[16]CRITERIA2!$J$4</definedName>
    <definedName name="kin_12">[14]CRITERIA2!$J$4</definedName>
    <definedName name="king">[16]CRITERIA1!$H$4</definedName>
    <definedName name="kkkk_12">[6]CRITERIA2!$B$17</definedName>
    <definedName name="kkkkk">[5]CRITERIA1!$B$6</definedName>
    <definedName name="kkkkk_12">[6]CRITERIA1!$B$6</definedName>
    <definedName name="L" localSheetId="16">#REF!</definedName>
    <definedName name="L" localSheetId="14">#REF!</definedName>
    <definedName name="L" localSheetId="10">#REF!</definedName>
    <definedName name="L" localSheetId="8">#REF!</definedName>
    <definedName name="L" localSheetId="3">#REF!</definedName>
    <definedName name="L" localSheetId="2">#REF!</definedName>
    <definedName name="L" localSheetId="1">#REF!</definedName>
    <definedName name="L">#REF!</definedName>
    <definedName name="LandownerShare">[18]Assumptions!$E$132</definedName>
    <definedName name="LEVEL" localSheetId="16">#REF!</definedName>
    <definedName name="LEVEL" localSheetId="14">#REF!</definedName>
    <definedName name="LEVEL" localSheetId="10">#REF!</definedName>
    <definedName name="LEVEL" localSheetId="8">#REF!</definedName>
    <definedName name="LEVEL" localSheetId="3">#REF!</definedName>
    <definedName name="LEVEL" localSheetId="2">#REF!</definedName>
    <definedName name="LEVEL" localSheetId="1">#REF!</definedName>
    <definedName name="LEVEL">#REF!</definedName>
    <definedName name="List">[29]List!$D$7:$D$190</definedName>
    <definedName name="list2">[30]List!$D$7:$D$190</definedName>
    <definedName name="llll">[5]CRITERIA3!$B$17</definedName>
    <definedName name="llll_12">[6]CRITERIA3!$B$17</definedName>
    <definedName name="lllll">[5]CRITERIA2!$B$6</definedName>
    <definedName name="lllll_12">[6]CRITERIA2!$B$6</definedName>
    <definedName name="Lots" localSheetId="14">[8]Assumptions!#REF!</definedName>
    <definedName name="Lots" localSheetId="8">[8]Assumptions!#REF!</definedName>
    <definedName name="Lots" localSheetId="1">[8]Assumptions!#REF!</definedName>
    <definedName name="Lots">[8]Assumptions!#REF!</definedName>
    <definedName name="LRNS_2007" localSheetId="16">#REF!</definedName>
    <definedName name="LRNS_2007" localSheetId="14">#REF!</definedName>
    <definedName name="LRNS_2007" localSheetId="10">#REF!</definedName>
    <definedName name="LRNS_2007" localSheetId="8">#REF!</definedName>
    <definedName name="LRNS_2007" localSheetId="3">#REF!</definedName>
    <definedName name="LRNS_2007" localSheetId="2">#REF!</definedName>
    <definedName name="LRNS_2007" localSheetId="1">#REF!</definedName>
    <definedName name="LRNS_2007">#REF!</definedName>
    <definedName name="LRNS_2008" localSheetId="16">#REF!</definedName>
    <definedName name="LRNS_2008" localSheetId="14">#REF!</definedName>
    <definedName name="LRNS_2008" localSheetId="10">#REF!</definedName>
    <definedName name="LRNS_2008" localSheetId="8">#REF!</definedName>
    <definedName name="LRNS_2008" localSheetId="3">#REF!</definedName>
    <definedName name="LRNS_2008" localSheetId="2">#REF!</definedName>
    <definedName name="LRNS_2008" localSheetId="1">#REF!</definedName>
    <definedName name="LRNS_2008">#REF!</definedName>
    <definedName name="LRNS_annual" localSheetId="16">#REF!</definedName>
    <definedName name="LRNS_annual" localSheetId="14">#REF!</definedName>
    <definedName name="LRNS_annual" localSheetId="10">#REF!</definedName>
    <definedName name="LRNS_annual" localSheetId="8">#REF!</definedName>
    <definedName name="LRNS_annual" localSheetId="3">#REF!</definedName>
    <definedName name="LRNS_annual" localSheetId="2">#REF!</definedName>
    <definedName name="LRNS_annual" localSheetId="1">#REF!</definedName>
    <definedName name="LRNS_annual">#REF!</definedName>
    <definedName name="LRS_2007" localSheetId="16">#REF!</definedName>
    <definedName name="LRS_2007" localSheetId="14">#REF!</definedName>
    <definedName name="LRS_2007" localSheetId="10">#REF!</definedName>
    <definedName name="LRS_2007" localSheetId="8">#REF!</definedName>
    <definedName name="LRS_2007" localSheetId="3">#REF!</definedName>
    <definedName name="LRS_2007" localSheetId="2">#REF!</definedName>
    <definedName name="LRS_2007" localSheetId="1">#REF!</definedName>
    <definedName name="LRS_2007">#REF!</definedName>
    <definedName name="LRS_2008" localSheetId="16">#REF!</definedName>
    <definedName name="LRS_2008" localSheetId="14">#REF!</definedName>
    <definedName name="LRS_2008" localSheetId="10">#REF!</definedName>
    <definedName name="LRS_2008" localSheetId="8">#REF!</definedName>
    <definedName name="LRS_2008" localSheetId="3">#REF!</definedName>
    <definedName name="LRS_2008" localSheetId="2">#REF!</definedName>
    <definedName name="LRS_2008" localSheetId="1">#REF!</definedName>
    <definedName name="LRS_2008">#REF!</definedName>
    <definedName name="LRS_annual" localSheetId="16">#REF!</definedName>
    <definedName name="LRS_annual" localSheetId="14">#REF!</definedName>
    <definedName name="LRS_annual" localSheetId="10">#REF!</definedName>
    <definedName name="LRS_annual" localSheetId="8">#REF!</definedName>
    <definedName name="LRS_annual" localSheetId="3">#REF!</definedName>
    <definedName name="LRS_annual" localSheetId="2">#REF!</definedName>
    <definedName name="LRS_annual" localSheetId="1">#REF!</definedName>
    <definedName name="LRS_annual">#REF!</definedName>
    <definedName name="mall">[11]CRITERIA1!$L$2</definedName>
    <definedName name="mall_12">[9]CRITERIA1!$L$2</definedName>
    <definedName name="managers" localSheetId="14">'[13]manpower dbase'!#REF!</definedName>
    <definedName name="managers" localSheetId="8">'[13]manpower dbase'!#REF!</definedName>
    <definedName name="managers" localSheetId="1">'[13]manpower dbase'!#REF!</definedName>
    <definedName name="managers">'[13]manpower dbase'!#REF!</definedName>
    <definedName name="managersup" localSheetId="14">'[13]manpower dbase'!#REF!</definedName>
    <definedName name="managersup" localSheetId="8">'[13]manpower dbase'!#REF!</definedName>
    <definedName name="managersup" localSheetId="1">'[13]manpower dbase'!#REF!</definedName>
    <definedName name="managersup">'[13]manpower dbase'!#REF!</definedName>
    <definedName name="Manolo_fern" localSheetId="16">#REF!</definedName>
    <definedName name="Manolo_fern" localSheetId="14">#REF!</definedName>
    <definedName name="Manolo_fern" localSheetId="10">#REF!</definedName>
    <definedName name="Manolo_fern" localSheetId="8">#REF!</definedName>
    <definedName name="Manolo_fern" localSheetId="3">#REF!</definedName>
    <definedName name="Manolo_fern" localSheetId="2">#REF!</definedName>
    <definedName name="Manolo_fern" localSheetId="1">#REF!</definedName>
    <definedName name="Manolo_fern">#REF!</definedName>
    <definedName name="Manolo777" localSheetId="16">#REF!</definedName>
    <definedName name="Manolo777" localSheetId="14">#REF!</definedName>
    <definedName name="Manolo777" localSheetId="10">#REF!</definedName>
    <definedName name="Manolo777" localSheetId="8">#REF!</definedName>
    <definedName name="Manolo777" localSheetId="3">#REF!</definedName>
    <definedName name="Manolo777" localSheetId="2">#REF!</definedName>
    <definedName name="Manolo777" localSheetId="1">#REF!</definedName>
    <definedName name="Manolo777">#REF!</definedName>
    <definedName name="MAnolo999" localSheetId="16">#REF!</definedName>
    <definedName name="MAnolo999" localSheetId="14">#REF!</definedName>
    <definedName name="MAnolo999" localSheetId="10">#REF!</definedName>
    <definedName name="MAnolo999" localSheetId="8">#REF!</definedName>
    <definedName name="MAnolo999" localSheetId="3">#REF!</definedName>
    <definedName name="MAnolo999" localSheetId="2">#REF!</definedName>
    <definedName name="MAnolo999" localSheetId="1">#REF!</definedName>
    <definedName name="MAnolo999">#REF!</definedName>
    <definedName name="manpower">[20]manpower!$B$9:$B$426</definedName>
    <definedName name="MANPOWER_employees" localSheetId="14">'[13]manpower dbase'!#REF!</definedName>
    <definedName name="MANPOWER_employees" localSheetId="8">'[13]manpower dbase'!#REF!</definedName>
    <definedName name="MANPOWER_employees" localSheetId="1">'[13]manpower dbase'!#REF!</definedName>
    <definedName name="MANPOWER_employees">'[13]manpower dbase'!#REF!</definedName>
    <definedName name="MASTERLIST" localSheetId="16">#REF!</definedName>
    <definedName name="MASTERLIST" localSheetId="14">#REF!</definedName>
    <definedName name="MASTERLIST" localSheetId="10">#REF!</definedName>
    <definedName name="MASTERLIST" localSheetId="8">#REF!</definedName>
    <definedName name="MASTERLIST" localSheetId="3">#REF!</definedName>
    <definedName name="MASTERLIST" localSheetId="2">#REF!</definedName>
    <definedName name="MASTERLIST" localSheetId="1">#REF!</definedName>
    <definedName name="MASTERLIST">#REF!</definedName>
    <definedName name="MASTERLIST_cellphone" localSheetId="16">#REF!</definedName>
    <definedName name="MASTERLIST_cellphone" localSheetId="14">#REF!</definedName>
    <definedName name="MASTERLIST_cellphone" localSheetId="10">#REF!</definedName>
    <definedName name="MASTERLIST_cellphone" localSheetId="8">#REF!</definedName>
    <definedName name="MASTERLIST_cellphone" localSheetId="3">#REF!</definedName>
    <definedName name="MASTERLIST_cellphone" localSheetId="2">#REF!</definedName>
    <definedName name="MASTERLIST_cellphone" localSheetId="1">#REF!</definedName>
    <definedName name="MASTERLIST_cellphone">#REF!</definedName>
    <definedName name="mgm">[11]CRITERIA3!$H$4</definedName>
    <definedName name="mgm_12">[9]CRITERIA3!$H$4</definedName>
    <definedName name="mia">[11]CRITERIA3!$D$1</definedName>
    <definedName name="mia_12">[9]CRITERIA3!$D$1</definedName>
    <definedName name="micro">[11]CRITERIA1!$B$6</definedName>
    <definedName name="micro_12">[9]CRITERIA1!$B$6</definedName>
    <definedName name="Miscellaneous">[8]Assumptions!$E$74</definedName>
    <definedName name="mmmmm_12">[6]CRITERIA3!$B$6</definedName>
    <definedName name="MODE" localSheetId="16">#REF!</definedName>
    <definedName name="MODE" localSheetId="14">#REF!</definedName>
    <definedName name="MODE" localSheetId="10">#REF!</definedName>
    <definedName name="MODE" localSheetId="8">#REF!</definedName>
    <definedName name="MODE" localSheetId="3">#REF!</definedName>
    <definedName name="MODE" localSheetId="2">#REF!</definedName>
    <definedName name="MODE" localSheetId="1">#REF!</definedName>
    <definedName name="MODE">#REF!</definedName>
    <definedName name="month" localSheetId="16">#REF!</definedName>
    <definedName name="month" localSheetId="14">#REF!</definedName>
    <definedName name="month" localSheetId="10">#REF!</definedName>
    <definedName name="month" localSheetId="8">#REF!</definedName>
    <definedName name="month" localSheetId="3">#REF!</definedName>
    <definedName name="month" localSheetId="2">#REF!</definedName>
    <definedName name="month" localSheetId="1">#REF!</definedName>
    <definedName name="month">#REF!</definedName>
    <definedName name="Month1">[31]dbase!$B$7:$B$18</definedName>
    <definedName name="monthly_loan">[10]loans!$J$2:$W$97</definedName>
    <definedName name="monthlycf08" localSheetId="16">#REF!</definedName>
    <definedName name="monthlycf08" localSheetId="14">#REF!</definedName>
    <definedName name="monthlycf08" localSheetId="10">#REF!</definedName>
    <definedName name="monthlycf08" localSheetId="8">#REF!</definedName>
    <definedName name="monthlycf08" localSheetId="3">#REF!</definedName>
    <definedName name="monthlycf08" localSheetId="2">#REF!</definedName>
    <definedName name="monthlycf08" localSheetId="1">#REF!</definedName>
    <definedName name="monthlycf08">#REF!</definedName>
    <definedName name="monthlypnl08" localSheetId="16">#REF!</definedName>
    <definedName name="monthlypnl08" localSheetId="14">#REF!</definedName>
    <definedName name="monthlypnl08" localSheetId="10">#REF!</definedName>
    <definedName name="monthlypnl08" localSheetId="8">#REF!</definedName>
    <definedName name="monthlypnl08" localSheetId="3">#REF!</definedName>
    <definedName name="monthlypnl08" localSheetId="2">#REF!</definedName>
    <definedName name="monthlypnl08" localSheetId="1">#REF!</definedName>
    <definedName name="monthlypnl08">#REF!</definedName>
    <definedName name="MP_2007" localSheetId="16">#REF!</definedName>
    <definedName name="MP_2007" localSheetId="14">#REF!</definedName>
    <definedName name="MP_2007" localSheetId="10">#REF!</definedName>
    <definedName name="MP_2007" localSheetId="8">#REF!</definedName>
    <definedName name="MP_2007" localSheetId="3">#REF!</definedName>
    <definedName name="MP_2007" localSheetId="2">#REF!</definedName>
    <definedName name="MP_2007" localSheetId="1">#REF!</definedName>
    <definedName name="MP_2007">#REF!</definedName>
    <definedName name="MP_2008" localSheetId="16">#REF!</definedName>
    <definedName name="MP_2008" localSheetId="14">#REF!</definedName>
    <definedName name="MP_2008" localSheetId="10">#REF!</definedName>
    <definedName name="MP_2008" localSheetId="8">#REF!</definedName>
    <definedName name="MP_2008" localSheetId="3">#REF!</definedName>
    <definedName name="MP_2008" localSheetId="2">#REF!</definedName>
    <definedName name="MP_2008" localSheetId="1">#REF!</definedName>
    <definedName name="MP_2008">#REF!</definedName>
    <definedName name="MP_annual" localSheetId="16">#REF!</definedName>
    <definedName name="MP_annual" localSheetId="14">#REF!</definedName>
    <definedName name="MP_annual" localSheetId="10">#REF!</definedName>
    <definedName name="MP_annual" localSheetId="8">#REF!</definedName>
    <definedName name="MP_annual" localSheetId="3">#REF!</definedName>
    <definedName name="MP_annual" localSheetId="2">#REF!</definedName>
    <definedName name="MP_annual" localSheetId="1">#REF!</definedName>
    <definedName name="MP_annual">#REF!</definedName>
    <definedName name="N" localSheetId="16">#REF!</definedName>
    <definedName name="N" localSheetId="14">#REF!</definedName>
    <definedName name="N" localSheetId="10">#REF!</definedName>
    <definedName name="N" localSheetId="8">#REF!</definedName>
    <definedName name="N" localSheetId="3">#REF!</definedName>
    <definedName name="N" localSheetId="2">#REF!</definedName>
    <definedName name="N" localSheetId="1">#REF!</definedName>
    <definedName name="N">#REF!</definedName>
    <definedName name="nnnn">[5]CRITERIA2!$B$12</definedName>
    <definedName name="nnnn_12">[6]CRITERIA2!$B$12</definedName>
    <definedName name="nnnnn">[5]CRITERIA1!$B$1</definedName>
    <definedName name="nnnnn_12">[6]CRITERIA1!$B$1</definedName>
    <definedName name="O" localSheetId="16">#REF!</definedName>
    <definedName name="O" localSheetId="14">#REF!</definedName>
    <definedName name="O" localSheetId="10">#REF!</definedName>
    <definedName name="O" localSheetId="8">#REF!</definedName>
    <definedName name="O" localSheetId="3">#REF!</definedName>
    <definedName name="O" localSheetId="2">#REF!</definedName>
    <definedName name="O" localSheetId="1">#REF!</definedName>
    <definedName name="O">#REF!</definedName>
    <definedName name="oftwo">[11]CRITERIA1!$B$11</definedName>
    <definedName name="oftwo_12">[9]CRITERIA1!$B$11</definedName>
    <definedName name="oi">[32]cashflowcomp!$C$1:$J$67</definedName>
    <definedName name="Okay" localSheetId="16">#REF!</definedName>
    <definedName name="Okay" localSheetId="14">#REF!</definedName>
    <definedName name="Okay" localSheetId="10">#REF!</definedName>
    <definedName name="Okay" localSheetId="8">#REF!</definedName>
    <definedName name="Okay" localSheetId="3">#REF!</definedName>
    <definedName name="Okay" localSheetId="2">#REF!</definedName>
    <definedName name="Okay" localSheetId="1">#REF!</definedName>
    <definedName name="Okay">#REF!</definedName>
    <definedName name="okay101" localSheetId="16">#REF!</definedName>
    <definedName name="okay101" localSheetId="14">#REF!</definedName>
    <definedName name="okay101" localSheetId="10">#REF!</definedName>
    <definedName name="okay101" localSheetId="8">#REF!</definedName>
    <definedName name="okay101" localSheetId="3">#REF!</definedName>
    <definedName name="okay101" localSheetId="2">#REF!</definedName>
    <definedName name="okay101" localSheetId="1">#REF!</definedName>
    <definedName name="okay101">#REF!</definedName>
    <definedName name="oks_98" localSheetId="16">#REF!</definedName>
    <definedName name="oks_98" localSheetId="14">#REF!</definedName>
    <definedName name="oks_98" localSheetId="10">#REF!</definedName>
    <definedName name="oks_98" localSheetId="8">#REF!</definedName>
    <definedName name="oks_98" localSheetId="3">#REF!</definedName>
    <definedName name="oks_98" localSheetId="2">#REF!</definedName>
    <definedName name="oks_98" localSheetId="1">#REF!</definedName>
    <definedName name="oks_98">#REF!</definedName>
    <definedName name="onsitead" localSheetId="14">'[13]Ads &amp; Promo'!#REF!</definedName>
    <definedName name="onsitead" localSheetId="8">'[13]Ads &amp; Promo'!#REF!</definedName>
    <definedName name="onsitead" localSheetId="1">'[13]Ads &amp; Promo'!#REF!</definedName>
    <definedName name="onsitead">'[13]Ads &amp; Promo'!#REF!</definedName>
    <definedName name="oooo_12">[6]CRITERIA3!$B$12</definedName>
    <definedName name="ooooo">[5]CRITERIA2!$B$1</definedName>
    <definedName name="ooooo_12">[6]CRITERIA2!$B$1</definedName>
    <definedName name="ORIG_DEST" localSheetId="16">#REF!</definedName>
    <definedName name="ORIG_DEST" localSheetId="14">#REF!</definedName>
    <definedName name="ORIG_DEST" localSheetId="10">#REF!</definedName>
    <definedName name="ORIG_DEST" localSheetId="8">#REF!</definedName>
    <definedName name="ORIG_DEST" localSheetId="3">#REF!</definedName>
    <definedName name="ORIG_DEST" localSheetId="2">#REF!</definedName>
    <definedName name="ORIG_DEST" localSheetId="1">#REF!</definedName>
    <definedName name="ORIG_DEST">#REF!</definedName>
    <definedName name="Ouding" localSheetId="16">#REF!</definedName>
    <definedName name="Ouding" localSheetId="14">#REF!</definedName>
    <definedName name="Ouding" localSheetId="10">#REF!</definedName>
    <definedName name="Ouding" localSheetId="8">#REF!</definedName>
    <definedName name="Ouding" localSheetId="3">#REF!</definedName>
    <definedName name="Ouding" localSheetId="2">#REF!</definedName>
    <definedName name="Ouding" localSheetId="1">#REF!</definedName>
    <definedName name="Ouding">#REF!</definedName>
    <definedName name="P" localSheetId="16">#REF!</definedName>
    <definedName name="P" localSheetId="14">#REF!</definedName>
    <definedName name="P" localSheetId="10">#REF!</definedName>
    <definedName name="P" localSheetId="8">#REF!</definedName>
    <definedName name="P" localSheetId="3">#REF!</definedName>
    <definedName name="P" localSheetId="2">#REF!</definedName>
    <definedName name="P" localSheetId="1">#REF!</definedName>
    <definedName name="P">#REF!</definedName>
    <definedName name="PARTICULARS" localSheetId="16">#REF!</definedName>
    <definedName name="PARTICULARS" localSheetId="14">#REF!</definedName>
    <definedName name="PARTICULARS" localSheetId="10">#REF!</definedName>
    <definedName name="PARTICULARS" localSheetId="8">#REF!</definedName>
    <definedName name="PARTICULARS" localSheetId="3">#REF!</definedName>
    <definedName name="PARTICULARS" localSheetId="2">#REF!</definedName>
    <definedName name="PARTICULARS" localSheetId="1">#REF!</definedName>
    <definedName name="PARTICULARS">#REF!</definedName>
    <definedName name="peodp3." localSheetId="16">#REF!</definedName>
    <definedName name="peodp3." localSheetId="14">#REF!</definedName>
    <definedName name="peodp3." localSheetId="10">#REF!</definedName>
    <definedName name="peodp3." localSheetId="8">#REF!</definedName>
    <definedName name="peodp3." localSheetId="3">#REF!</definedName>
    <definedName name="peodp3." localSheetId="2">#REF!</definedName>
    <definedName name="peodp3." localSheetId="1">#REF!</definedName>
    <definedName name="peodp3.">#REF!</definedName>
    <definedName name="phase" localSheetId="16">#REF!</definedName>
    <definedName name="phase" localSheetId="14">#REF!</definedName>
    <definedName name="phase" localSheetId="10">#REF!</definedName>
    <definedName name="phase" localSheetId="8">#REF!</definedName>
    <definedName name="phase" localSheetId="3">#REF!</definedName>
    <definedName name="phase" localSheetId="2">#REF!</definedName>
    <definedName name="phase" localSheetId="1">#REF!</definedName>
    <definedName name="phase">#REF!</definedName>
    <definedName name="phase_2" localSheetId="16">#REF!</definedName>
    <definedName name="phase_2" localSheetId="14">#REF!</definedName>
    <definedName name="phase_2" localSheetId="10">#REF!</definedName>
    <definedName name="phase_2" localSheetId="8">#REF!</definedName>
    <definedName name="phase_2" localSheetId="3">#REF!</definedName>
    <definedName name="phase_2" localSheetId="2">#REF!</definedName>
    <definedName name="phase_2" localSheetId="1">#REF!</definedName>
    <definedName name="phase_2">#REF!</definedName>
    <definedName name="phase_3" localSheetId="16">#REF!</definedName>
    <definedName name="phase_3" localSheetId="14">#REF!</definedName>
    <definedName name="phase_3" localSheetId="10">#REF!</definedName>
    <definedName name="phase_3" localSheetId="8">#REF!</definedName>
    <definedName name="phase_3" localSheetId="3">#REF!</definedName>
    <definedName name="phase_3" localSheetId="2">#REF!</definedName>
    <definedName name="phase_3" localSheetId="1">#REF!</definedName>
    <definedName name="phase_3">#REF!</definedName>
    <definedName name="phase2" localSheetId="16">#REF!</definedName>
    <definedName name="phase2" localSheetId="14">#REF!</definedName>
    <definedName name="phase2" localSheetId="10">#REF!</definedName>
    <definedName name="phase2" localSheetId="8">#REF!</definedName>
    <definedName name="phase2" localSheetId="3">#REF!</definedName>
    <definedName name="phase2" localSheetId="2">#REF!</definedName>
    <definedName name="phase2" localSheetId="1">#REF!</definedName>
    <definedName name="phase2">#REF!</definedName>
    <definedName name="phases" localSheetId="16">#REF!</definedName>
    <definedName name="phases" localSheetId="14">#REF!</definedName>
    <definedName name="phases" localSheetId="10">#REF!</definedName>
    <definedName name="phases" localSheetId="8">#REF!</definedName>
    <definedName name="phases" localSheetId="3">#REF!</definedName>
    <definedName name="phases" localSheetId="2">#REF!</definedName>
    <definedName name="phases" localSheetId="1">#REF!</definedName>
    <definedName name="phases">#REF!</definedName>
    <definedName name="pin">'[7]tax-ss'!$O$7:$O$37</definedName>
    <definedName name="piolo">[16]CRITERIA1!$B$18</definedName>
    <definedName name="piolo_12">[14]CRITERIA1!$B$18</definedName>
    <definedName name="pitt">[11]CRITERIA2!$J$2</definedName>
    <definedName name="pitt_12">[9]CRITERIA2!$J$2</definedName>
    <definedName name="pivot" localSheetId="16">#REF!</definedName>
    <definedName name="pivot" localSheetId="14">#REF!</definedName>
    <definedName name="pivot" localSheetId="10">#REF!</definedName>
    <definedName name="pivot" localSheetId="8">#REF!</definedName>
    <definedName name="pivot" localSheetId="3">#REF!</definedName>
    <definedName name="pivot" localSheetId="2">#REF!</definedName>
    <definedName name="pivot" localSheetId="1">#REF!</definedName>
    <definedName name="pivot">#REF!</definedName>
    <definedName name="pivot_1" localSheetId="16">#REF!</definedName>
    <definedName name="pivot_1" localSheetId="14">#REF!</definedName>
    <definedName name="pivot_1" localSheetId="10">#REF!</definedName>
    <definedName name="pivot_1" localSheetId="8">#REF!</definedName>
    <definedName name="pivot_1" localSheetId="3">#REF!</definedName>
    <definedName name="pivot_1" localSheetId="2">#REF!</definedName>
    <definedName name="pivot_1" localSheetId="1">#REF!</definedName>
    <definedName name="pivot_1">#REF!</definedName>
    <definedName name="PLACE" localSheetId="16">#REF!</definedName>
    <definedName name="PLACE" localSheetId="14">#REF!</definedName>
    <definedName name="PLACE" localSheetId="10">#REF!</definedName>
    <definedName name="PLACE" localSheetId="8">#REF!</definedName>
    <definedName name="PLACE" localSheetId="3">#REF!</definedName>
    <definedName name="PLACE" localSheetId="2">#REF!</definedName>
    <definedName name="PLACE" localSheetId="1">#REF!</definedName>
    <definedName name="PLACE">#REF!</definedName>
    <definedName name="PNL_ONE" localSheetId="16">#REF!</definedName>
    <definedName name="PNL_ONE" localSheetId="14">#REF!</definedName>
    <definedName name="PNL_ONE" localSheetId="10">#REF!</definedName>
    <definedName name="PNL_ONE" localSheetId="8">#REF!</definedName>
    <definedName name="PNL_ONE" localSheetId="3">#REF!</definedName>
    <definedName name="PNL_ONE" localSheetId="2">#REF!</definedName>
    <definedName name="PNL_ONE" localSheetId="1">#REF!</definedName>
    <definedName name="PNL_ONE">#REF!</definedName>
    <definedName name="POSITION" localSheetId="16">#REF!</definedName>
    <definedName name="POSITION" localSheetId="14">#REF!</definedName>
    <definedName name="POSITION" localSheetId="10">#REF!</definedName>
    <definedName name="POSITION" localSheetId="8">#REF!</definedName>
    <definedName name="POSITION" localSheetId="3">#REF!</definedName>
    <definedName name="POSITION" localSheetId="2">#REF!</definedName>
    <definedName name="POSITION" localSheetId="1">#REF!</definedName>
    <definedName name="POSITION">#REF!</definedName>
    <definedName name="Position1" localSheetId="16">#REF!</definedName>
    <definedName name="Position1" localSheetId="14">#REF!</definedName>
    <definedName name="Position1" localSheetId="10">#REF!</definedName>
    <definedName name="Position1" localSheetId="8">#REF!</definedName>
    <definedName name="Position1" localSheetId="3">#REF!</definedName>
    <definedName name="Position1" localSheetId="2">#REF!</definedName>
    <definedName name="Position1" localSheetId="1">#REF!</definedName>
    <definedName name="Position1">#REF!</definedName>
    <definedName name="postages" localSheetId="16">#REF!</definedName>
    <definedName name="postages" localSheetId="14">#REF!</definedName>
    <definedName name="postages" localSheetId="10">#REF!</definedName>
    <definedName name="postages" localSheetId="8">#REF!</definedName>
    <definedName name="postages" localSheetId="3">#REF!</definedName>
    <definedName name="postages" localSheetId="2">#REF!</definedName>
    <definedName name="postages" localSheetId="1">#REF!</definedName>
    <definedName name="postages">#REF!</definedName>
    <definedName name="PP" localSheetId="16">#REF!</definedName>
    <definedName name="PP" localSheetId="14">#REF!</definedName>
    <definedName name="PP" localSheetId="10">#REF!</definedName>
    <definedName name="PP" localSheetId="8">#REF!</definedName>
    <definedName name="PP" localSheetId="3">#REF!</definedName>
    <definedName name="PP" localSheetId="2">#REF!</definedName>
    <definedName name="PP" localSheetId="1">#REF!</definedName>
    <definedName name="PP">#REF!</definedName>
    <definedName name="_xlnm.Print_Area" localSheetId="5">INPUT!$B$1:$J$25</definedName>
    <definedName name="_xlnm.Print_Area" localSheetId="12">Mem_Cash!$B$2:$I$120</definedName>
    <definedName name="_xlnm.Print_Area" localSheetId="15">'Mem_No DP'!$B$2:$I$113</definedName>
    <definedName name="_xlnm.Print_Area" localSheetId="16">'Mem_Promo Term'!$B$2:$I$114</definedName>
    <definedName name="_xlnm.Print_Area" localSheetId="13">'Mem_Spot DP 1'!$A$1:$I$119</definedName>
    <definedName name="_xlnm.Print_Area" localSheetId="14">'Mem_Spot DP 2'!$B$2:$I$119</definedName>
    <definedName name="_xlnm.Print_Area" localSheetId="6">NonMem_Cash!$B$1:$I$117</definedName>
    <definedName name="_xlnm.Print_Area" localSheetId="9">NonMem_NoDP!$B$2:$I$116</definedName>
    <definedName name="_xlnm.Print_Area" localSheetId="10">'NonMem_Promo Term'!$B$2:$I$118</definedName>
    <definedName name="_xlnm.Print_Area" localSheetId="7">'NonMem_SpotDP 1'!$B$2:$I$118</definedName>
    <definedName name="_xlnm.Print_Area" localSheetId="8">'NonMem_SpotDP 2'!$B$1:$I$118</definedName>
    <definedName name="_xlnm.Print_Area" localSheetId="11">'PAYMENT TERM SUMMARY _Mem'!$A$1:$E$36</definedName>
    <definedName name="_xlnm.Print_Area" localSheetId="3">'PAYMENT TERMS SUMMARY_Non Mem'!$A$1:$E$37</definedName>
    <definedName name="_xlnm.Print_Area" localSheetId="2">'PRICE LIST 9-1-20'!$A$3:$I$108</definedName>
    <definedName name="_xlnm.Print_Area" localSheetId="1">'SEPT 1 2020'!$A$2:$I$212</definedName>
    <definedName name="_xlnm.Print_Area">#REF!</definedName>
    <definedName name="Print_Area_MI" localSheetId="14">[33]afis!#REF!</definedName>
    <definedName name="Print_Area_MI" localSheetId="8">[33]afis!#REF!</definedName>
    <definedName name="Print_Area_MI">[33]afis!#REF!</definedName>
    <definedName name="_xlnm.Print_Titles" localSheetId="16">'Mem_Promo Term'!$1:$24</definedName>
    <definedName name="_xlnm.Print_Titles" localSheetId="10">'NonMem_Promo Term'!$1:$25</definedName>
    <definedName name="_xlnm.Print_Titles" localSheetId="2">'PRICE LIST 9-1-20'!$1:$4</definedName>
    <definedName name="_xlnm.Print_Titles" localSheetId="1">'SEPT 1 2020'!$1:$9</definedName>
    <definedName name="_xlnm.Print_Titles">#REF!</definedName>
    <definedName name="PRINT_TITLES_MI" localSheetId="16">#REF!</definedName>
    <definedName name="PRINT_TITLES_MI" localSheetId="14">#REF!</definedName>
    <definedName name="PRINT_TITLES_MI" localSheetId="10">#REF!</definedName>
    <definedName name="PRINT_TITLES_MI" localSheetId="8">#REF!</definedName>
    <definedName name="PRINT_TITLES_MI" localSheetId="3">#REF!</definedName>
    <definedName name="PRINT_TITLES_MI" localSheetId="2">#REF!</definedName>
    <definedName name="PRINT_TITLES_MI" localSheetId="1">#REF!</definedName>
    <definedName name="PRINT_TITLES_MI">#REF!</definedName>
    <definedName name="ProfFees">[8]Assumptions!$E$71</definedName>
    <definedName name="PROJECT" localSheetId="16">#REF!</definedName>
    <definedName name="PROJECT" localSheetId="14">#REF!</definedName>
    <definedName name="PROJECT" localSheetId="10">#REF!</definedName>
    <definedName name="PROJECT" localSheetId="8">#REF!</definedName>
    <definedName name="PROJECT" localSheetId="3">#REF!</definedName>
    <definedName name="PROJECT" localSheetId="2">#REF!</definedName>
    <definedName name="PROJECT" localSheetId="1">#REF!</definedName>
    <definedName name="PROJECT">#REF!</definedName>
    <definedName name="project_2" localSheetId="16">#REF!</definedName>
    <definedName name="project_2" localSheetId="14">#REF!</definedName>
    <definedName name="project_2" localSheetId="10">#REF!</definedName>
    <definedName name="project_2" localSheetId="8">#REF!</definedName>
    <definedName name="project_2" localSheetId="3">#REF!</definedName>
    <definedName name="project_2" localSheetId="2">#REF!</definedName>
    <definedName name="project_2" localSheetId="1">#REF!</definedName>
    <definedName name="project_2">#REF!</definedName>
    <definedName name="project_3" localSheetId="16">#REF!</definedName>
    <definedName name="project_3" localSheetId="14">#REF!</definedName>
    <definedName name="project_3" localSheetId="10">#REF!</definedName>
    <definedName name="project_3" localSheetId="8">#REF!</definedName>
    <definedName name="project_3" localSheetId="3">#REF!</definedName>
    <definedName name="project_3" localSheetId="2">#REF!</definedName>
    <definedName name="project_3" localSheetId="1">#REF!</definedName>
    <definedName name="project_3">#REF!</definedName>
    <definedName name="project2">'[34]RC LIST'!$E$7:$E$60</definedName>
    <definedName name="projects" localSheetId="16">#REF!</definedName>
    <definedName name="projects" localSheetId="14">#REF!</definedName>
    <definedName name="projects" localSheetId="10">#REF!</definedName>
    <definedName name="projects" localSheetId="8">#REF!</definedName>
    <definedName name="projects" localSheetId="3">#REF!</definedName>
    <definedName name="projects" localSheetId="2">#REF!</definedName>
    <definedName name="projects" localSheetId="1">#REF!</definedName>
    <definedName name="projects">#REF!</definedName>
    <definedName name="punch">[16]CRITERIA2!$B$21</definedName>
    <definedName name="punch_12">[14]CRITERIA2!$B$21</definedName>
    <definedName name="Q" localSheetId="16">#REF!</definedName>
    <definedName name="Q" localSheetId="14">#REF!</definedName>
    <definedName name="Q" localSheetId="10">#REF!</definedName>
    <definedName name="Q" localSheetId="8">#REF!</definedName>
    <definedName name="Q" localSheetId="3">#REF!</definedName>
    <definedName name="Q" localSheetId="2">#REF!</definedName>
    <definedName name="Q" localSheetId="1">#REF!</definedName>
    <definedName name="Q">#REF!</definedName>
    <definedName name="qqqq">[5]CRITERIA2!$B$15</definedName>
    <definedName name="qqqq_12">[6]CRITERIA2!$B$15</definedName>
    <definedName name="qqqqq" localSheetId="14">#REF!</definedName>
    <definedName name="qqqqq" localSheetId="8">#REF!</definedName>
    <definedName name="qqqqq" localSheetId="1">[5]CRITERIA1!$B$2</definedName>
    <definedName name="qqqqq">#REF!</definedName>
    <definedName name="qqqqq_12">[6]CRITERIA1!$B$2</definedName>
    <definedName name="quezon203" localSheetId="16">#REF!</definedName>
    <definedName name="quezon203" localSheetId="14">#REF!</definedName>
    <definedName name="quezon203" localSheetId="10">#REF!</definedName>
    <definedName name="quezon203" localSheetId="8">#REF!</definedName>
    <definedName name="quezon203" localSheetId="3">#REF!</definedName>
    <definedName name="quezon203" localSheetId="2">#REF!</definedName>
    <definedName name="quezon203" localSheetId="1">#REF!</definedName>
    <definedName name="quezon203">#REF!</definedName>
    <definedName name="QXJ" localSheetId="16">#REF!</definedName>
    <definedName name="QXJ" localSheetId="14">#REF!</definedName>
    <definedName name="QXJ" localSheetId="10">#REF!</definedName>
    <definedName name="QXJ" localSheetId="8">#REF!</definedName>
    <definedName name="QXJ" localSheetId="3">#REF!</definedName>
    <definedName name="QXJ" localSheetId="2">#REF!</definedName>
    <definedName name="QXJ" localSheetId="1">#REF!</definedName>
    <definedName name="QXJ">#REF!</definedName>
    <definedName name="qzz0" localSheetId="16">#REF!</definedName>
    <definedName name="qzz0" localSheetId="14">#REF!</definedName>
    <definedName name="qzz0" localSheetId="10">#REF!</definedName>
    <definedName name="qzz0" localSheetId="8">#REF!</definedName>
    <definedName name="qzz0" localSheetId="3">#REF!</definedName>
    <definedName name="qzz0" localSheetId="2">#REF!</definedName>
    <definedName name="qzz0" localSheetId="1">#REF!</definedName>
    <definedName name="qzz0">#REF!</definedName>
    <definedName name="rbv_12">[9]CRITERIA1!$H$3</definedName>
    <definedName name="RCdbase">'[35]RC database'!$B$7:$B$348</definedName>
    <definedName name="RCENTER" localSheetId="16">#REF!</definedName>
    <definedName name="RCENTER" localSheetId="14">#REF!</definedName>
    <definedName name="RCENTER" localSheetId="10">#REF!</definedName>
    <definedName name="RCENTER" localSheetId="8">#REF!</definedName>
    <definedName name="RCENTER" localSheetId="3">#REF!</definedName>
    <definedName name="RCENTER" localSheetId="2">#REF!</definedName>
    <definedName name="RCENTER" localSheetId="1">#REF!</definedName>
    <definedName name="RCENTER">#REF!</definedName>
    <definedName name="RCLIST" localSheetId="16">#REF!</definedName>
    <definedName name="RCLIST" localSheetId="14">#REF!</definedName>
    <definedName name="RCLIST" localSheetId="10">#REF!</definedName>
    <definedName name="RCLIST" localSheetId="8">#REF!</definedName>
    <definedName name="RCLIST" localSheetId="3">#REF!</definedName>
    <definedName name="RCLIST" localSheetId="2">#REF!</definedName>
    <definedName name="RCLIST" localSheetId="1">#REF!</definedName>
    <definedName name="RCLIST">#REF!</definedName>
    <definedName name="RCLIST1">[36]RCLIST1!$B$7:$B$79</definedName>
    <definedName name="repcar" localSheetId="14">'[13]Rep-car dtb'!#REF!</definedName>
    <definedName name="repcar" localSheetId="8">'[13]Rep-car dtb'!#REF!</definedName>
    <definedName name="repcar" localSheetId="1">'[13]Rep-car dtb'!#REF!</definedName>
    <definedName name="repcar">'[13]Rep-car dtb'!#REF!</definedName>
    <definedName name="revenue" localSheetId="16">#REF!</definedName>
    <definedName name="revenue" localSheetId="14">#REF!</definedName>
    <definedName name="revenue" localSheetId="10">#REF!</definedName>
    <definedName name="revenue" localSheetId="8">#REF!</definedName>
    <definedName name="revenue" localSheetId="3">#REF!</definedName>
    <definedName name="revenue" localSheetId="2">#REF!</definedName>
    <definedName name="revenue" localSheetId="1">#REF!</definedName>
    <definedName name="revenue">#REF!</definedName>
    <definedName name="Revenue_Center" localSheetId="16">#REF!</definedName>
    <definedName name="Revenue_Center" localSheetId="14">#REF!</definedName>
    <definedName name="Revenue_Center" localSheetId="10">#REF!</definedName>
    <definedName name="Revenue_Center" localSheetId="8">#REF!</definedName>
    <definedName name="Revenue_Center" localSheetId="3">#REF!</definedName>
    <definedName name="Revenue_Center" localSheetId="2">#REF!</definedName>
    <definedName name="Revenue_Center" localSheetId="1">#REF!</definedName>
    <definedName name="Revenue_Center">#REF!</definedName>
    <definedName name="RPT">[8]Assumptions!$E$76</definedName>
    <definedName name="RRR" localSheetId="16">#REF!</definedName>
    <definedName name="RRR" localSheetId="14">#REF!</definedName>
    <definedName name="RRR" localSheetId="10">#REF!</definedName>
    <definedName name="RRR" localSheetId="8">#REF!</definedName>
    <definedName name="RRR" localSheetId="3">#REF!</definedName>
    <definedName name="RRR" localSheetId="2">#REF!</definedName>
    <definedName name="RRR" localSheetId="1">#REF!</definedName>
    <definedName name="RRR">#REF!</definedName>
    <definedName name="rrrr">[5]CRITERIA3!$B$15</definedName>
    <definedName name="rrrr_12">[6]CRITERIA3!$B$15</definedName>
    <definedName name="rrrrr">[5]CRITERIA2!$B$2</definedName>
    <definedName name="rrrrr_12">[6]CRITERIA2!$B$2</definedName>
    <definedName name="S" localSheetId="16">#REF!</definedName>
    <definedName name="S" localSheetId="14">#REF!</definedName>
    <definedName name="S" localSheetId="10">#REF!</definedName>
    <definedName name="S" localSheetId="8">#REF!</definedName>
    <definedName name="S" localSheetId="3">#REF!</definedName>
    <definedName name="S" localSheetId="2">#REF!</definedName>
    <definedName name="S" localSheetId="1">#REF!</definedName>
    <definedName name="S">#REF!</definedName>
    <definedName name="Sales_Chart_2007" localSheetId="16">#REF!</definedName>
    <definedName name="Sales_Chart_2007" localSheetId="14">#REF!</definedName>
    <definedName name="Sales_Chart_2007" localSheetId="10">#REF!</definedName>
    <definedName name="Sales_Chart_2007" localSheetId="8">#REF!</definedName>
    <definedName name="Sales_Chart_2007" localSheetId="3">#REF!</definedName>
    <definedName name="Sales_Chart_2007" localSheetId="2">#REF!</definedName>
    <definedName name="Sales_Chart_2007" localSheetId="1">#REF!</definedName>
    <definedName name="Sales_Chart_2007">#REF!</definedName>
    <definedName name="Sales_Chart_2008" localSheetId="16">#REF!</definedName>
    <definedName name="Sales_Chart_2008" localSheetId="14">#REF!</definedName>
    <definedName name="Sales_Chart_2008" localSheetId="10">#REF!</definedName>
    <definedName name="Sales_Chart_2008" localSheetId="8">#REF!</definedName>
    <definedName name="Sales_Chart_2008" localSheetId="3">#REF!</definedName>
    <definedName name="Sales_Chart_2008" localSheetId="2">#REF!</definedName>
    <definedName name="Sales_Chart_2008" localSheetId="1">#REF!</definedName>
    <definedName name="Sales_Chart_2008">#REF!</definedName>
    <definedName name="sas">'[37]0100'!$A$2:$A$2</definedName>
    <definedName name="SBU" localSheetId="16">#REF!</definedName>
    <definedName name="SBU" localSheetId="14">#REF!</definedName>
    <definedName name="SBU" localSheetId="10">#REF!</definedName>
    <definedName name="SBU" localSheetId="8">#REF!</definedName>
    <definedName name="SBU" localSheetId="3">#REF!</definedName>
    <definedName name="SBU" localSheetId="2">#REF!</definedName>
    <definedName name="SBU" localSheetId="1">#REF!</definedName>
    <definedName name="SBU">#REF!</definedName>
    <definedName name="SBUHeads">[38]dbase!$E$16:$E$27</definedName>
    <definedName name="SBUHeads1">[26]dbase!$E$16:$E$27</definedName>
    <definedName name="SeanARrrom" localSheetId="16">#REF!</definedName>
    <definedName name="SeanARrrom" localSheetId="14">#REF!</definedName>
    <definedName name="SeanARrrom" localSheetId="10">#REF!</definedName>
    <definedName name="SeanARrrom" localSheetId="8">#REF!</definedName>
    <definedName name="SeanARrrom" localSheetId="3">#REF!</definedName>
    <definedName name="SeanARrrom" localSheetId="2">#REF!</definedName>
    <definedName name="SeanARrrom" localSheetId="1">#REF!</definedName>
    <definedName name="SeanARrrom">#REF!</definedName>
    <definedName name="shuffle_12">[14]CRITERIA1!$B$2</definedName>
    <definedName name="sidehil" localSheetId="16">#REF!</definedName>
    <definedName name="sidehil" localSheetId="14">#REF!</definedName>
    <definedName name="sidehil" localSheetId="10">#REF!</definedName>
    <definedName name="sidehil" localSheetId="8">#REF!</definedName>
    <definedName name="sidehil" localSheetId="3">#REF!</definedName>
    <definedName name="sidehil" localSheetId="2">#REF!</definedName>
    <definedName name="sidehil" localSheetId="1">#REF!</definedName>
    <definedName name="sidehil">#REF!</definedName>
    <definedName name="SIZE_INTL" localSheetId="16">#REF!</definedName>
    <definedName name="SIZE_INTL" localSheetId="14">#REF!</definedName>
    <definedName name="SIZE_INTL" localSheetId="10">#REF!</definedName>
    <definedName name="SIZE_INTL" localSheetId="8">#REF!</definedName>
    <definedName name="SIZE_INTL" localSheetId="3">#REF!</definedName>
    <definedName name="SIZE_INTL" localSheetId="2">#REF!</definedName>
    <definedName name="SIZE_INTL" localSheetId="1">#REF!</definedName>
    <definedName name="SIZE_INTL">#REF!</definedName>
    <definedName name="SIZES" localSheetId="16">#REF!</definedName>
    <definedName name="SIZES" localSheetId="14">#REF!</definedName>
    <definedName name="SIZES" localSheetId="10">#REF!</definedName>
    <definedName name="SIZES" localSheetId="8">#REF!</definedName>
    <definedName name="SIZES" localSheetId="3">#REF!</definedName>
    <definedName name="SIZES" localSheetId="2">#REF!</definedName>
    <definedName name="SIZES" localSheetId="1">#REF!</definedName>
    <definedName name="SIZES">#REF!</definedName>
    <definedName name="SUM_CF_CONSO" localSheetId="16">#REF!</definedName>
    <definedName name="SUM_CF_CONSO" localSheetId="14">#REF!</definedName>
    <definedName name="SUM_CF_CONSO" localSheetId="10">#REF!</definedName>
    <definedName name="SUM_CF_CONSO" localSheetId="8">#REF!</definedName>
    <definedName name="SUM_CF_CONSO" localSheetId="3">#REF!</definedName>
    <definedName name="SUM_CF_CONSO" localSheetId="2">#REF!</definedName>
    <definedName name="SUM_CF_CONSO" localSheetId="1">#REF!</definedName>
    <definedName name="SUM_CF_CONSO">#REF!</definedName>
    <definedName name="SUM_CONSO_PNL" localSheetId="16">#REF!</definedName>
    <definedName name="SUM_CONSO_PNL" localSheetId="14">#REF!</definedName>
    <definedName name="SUM_CONSO_PNL" localSheetId="10">#REF!</definedName>
    <definedName name="SUM_CONSO_PNL" localSheetId="8">#REF!</definedName>
    <definedName name="SUM_CONSO_PNL" localSheetId="3">#REF!</definedName>
    <definedName name="SUM_CONSO_PNL" localSheetId="2">#REF!</definedName>
    <definedName name="SUM_CONSO_PNL" localSheetId="1">#REF!</definedName>
    <definedName name="SUM_CONSO_PNL">#REF!</definedName>
    <definedName name="SUM_PNL_1" localSheetId="16">#REF!</definedName>
    <definedName name="SUM_PNL_1" localSheetId="14">#REF!</definedName>
    <definedName name="SUM_PNL_1" localSheetId="10">#REF!</definedName>
    <definedName name="SUM_PNL_1" localSheetId="8">#REF!</definedName>
    <definedName name="SUM_PNL_1" localSheetId="3">#REF!</definedName>
    <definedName name="SUM_PNL_1" localSheetId="2">#REF!</definedName>
    <definedName name="SUM_PNL_1" localSheetId="1">#REF!</definedName>
    <definedName name="SUM_PNL_1">#REF!</definedName>
    <definedName name="SUMM_CF_1" localSheetId="16">#REF!</definedName>
    <definedName name="SUMM_CF_1" localSheetId="14">#REF!</definedName>
    <definedName name="SUMM_CF_1" localSheetId="10">#REF!</definedName>
    <definedName name="SUMM_CF_1" localSheetId="8">#REF!</definedName>
    <definedName name="SUMM_CF_1" localSheetId="3">#REF!</definedName>
    <definedName name="SUMM_CF_1" localSheetId="2">#REF!</definedName>
    <definedName name="SUMM_CF_1" localSheetId="1">#REF!</definedName>
    <definedName name="SUMM_CF_1">#REF!</definedName>
    <definedName name="SUMMARY" localSheetId="16">#REF!</definedName>
    <definedName name="SUMMARY" localSheetId="14">#REF!</definedName>
    <definedName name="SUMMARY" localSheetId="10">#REF!</definedName>
    <definedName name="SUMMARY" localSheetId="8">#REF!</definedName>
    <definedName name="SUMMARY" localSheetId="3">#REF!</definedName>
    <definedName name="SUMMARY" localSheetId="2">#REF!</definedName>
    <definedName name="SUMMARY" localSheetId="1">#REF!</definedName>
    <definedName name="SUMMARY">#REF!</definedName>
    <definedName name="SUMMARY_PNL_1" localSheetId="16">#REF!</definedName>
    <definedName name="SUMMARY_PNL_1" localSheetId="14">#REF!</definedName>
    <definedName name="SUMMARY_PNL_1" localSheetId="10">#REF!</definedName>
    <definedName name="SUMMARY_PNL_1" localSheetId="8">#REF!</definedName>
    <definedName name="SUMMARY_PNL_1" localSheetId="3">#REF!</definedName>
    <definedName name="SUMMARY_PNL_1" localSheetId="2">#REF!</definedName>
    <definedName name="SUMMARY_PNL_1" localSheetId="1">#REF!</definedName>
    <definedName name="SUMMARY_PNL_1">#REF!</definedName>
    <definedName name="supplies" localSheetId="16">#REF!</definedName>
    <definedName name="supplies" localSheetId="14">#REF!</definedName>
    <definedName name="supplies" localSheetId="10">#REF!</definedName>
    <definedName name="supplies" localSheetId="8">#REF!</definedName>
    <definedName name="supplies" localSheetId="3">#REF!</definedName>
    <definedName name="supplies" localSheetId="2">#REF!</definedName>
    <definedName name="supplies" localSheetId="1">#REF!</definedName>
    <definedName name="supplies">#REF!</definedName>
    <definedName name="T" localSheetId="16">#REF!</definedName>
    <definedName name="T" localSheetId="14">#REF!</definedName>
    <definedName name="T" localSheetId="10">#REF!</definedName>
    <definedName name="T" localSheetId="8">#REF!</definedName>
    <definedName name="T" localSheetId="3">#REF!</definedName>
    <definedName name="T" localSheetId="2">#REF!</definedName>
    <definedName name="T" localSheetId="1">#REF!</definedName>
    <definedName name="T">#REF!</definedName>
    <definedName name="t0ll" localSheetId="16">#REF!</definedName>
    <definedName name="t0ll" localSheetId="14">#REF!</definedName>
    <definedName name="t0ll" localSheetId="10">#REF!</definedName>
    <definedName name="t0ll" localSheetId="8">#REF!</definedName>
    <definedName name="t0ll" localSheetId="3">#REF!</definedName>
    <definedName name="t0ll" localSheetId="2">#REF!</definedName>
    <definedName name="t0ll" localSheetId="1">#REF!</definedName>
    <definedName name="t0ll">#REF!</definedName>
    <definedName name="talaganamana_999" localSheetId="16">#REF!</definedName>
    <definedName name="talaganamana_999" localSheetId="14">#REF!</definedName>
    <definedName name="talaganamana_999" localSheetId="10">#REF!</definedName>
    <definedName name="talaganamana_999" localSheetId="8">#REF!</definedName>
    <definedName name="talaganamana_999" localSheetId="3">#REF!</definedName>
    <definedName name="talaganamana_999" localSheetId="2">#REF!</definedName>
    <definedName name="talaganamana_999" localSheetId="1">#REF!</definedName>
    <definedName name="talaganamana_999">#REF!</definedName>
    <definedName name="TinaBacud" localSheetId="16">#REF!</definedName>
    <definedName name="TinaBacud" localSheetId="14">#REF!</definedName>
    <definedName name="TinaBacud" localSheetId="10">#REF!</definedName>
    <definedName name="TinaBacud" localSheetId="8">#REF!</definedName>
    <definedName name="TinaBacud" localSheetId="3">#REF!</definedName>
    <definedName name="TinaBacud" localSheetId="2">#REF!</definedName>
    <definedName name="TinaBacud" localSheetId="1">#REF!</definedName>
    <definedName name="TinaBacud">#REF!</definedName>
    <definedName name="trip" localSheetId="16">#REF!</definedName>
    <definedName name="trip" localSheetId="14">#REF!</definedName>
    <definedName name="trip" localSheetId="10">#REF!</definedName>
    <definedName name="trip" localSheetId="8">#REF!</definedName>
    <definedName name="trip" localSheetId="3">#REF!</definedName>
    <definedName name="trip" localSheetId="2">#REF!</definedName>
    <definedName name="trip" localSheetId="1">#REF!</definedName>
    <definedName name="trip">#REF!</definedName>
    <definedName name="tttttt">[5]CRITERIA1!$B$19</definedName>
    <definedName name="tttttt_12">[6]CRITERIA1!$B$19</definedName>
    <definedName name="U" localSheetId="16">#REF!</definedName>
    <definedName name="U" localSheetId="14">#REF!</definedName>
    <definedName name="U" localSheetId="10">#REF!</definedName>
    <definedName name="U" localSheetId="8">#REF!</definedName>
    <definedName name="U" localSheetId="3">#REF!</definedName>
    <definedName name="U" localSheetId="2">#REF!</definedName>
    <definedName name="U" localSheetId="1">#REF!</definedName>
    <definedName name="U">#REF!</definedName>
    <definedName name="ucrp">'[22]GAE8''97'!$H$8:$H$9</definedName>
    <definedName name="upm">'[39]Take-Up'!$B$5</definedName>
    <definedName name="upm_1">'[39]Take-Up'!$B$5</definedName>
    <definedName name="Urban_2007" localSheetId="16">#REF!</definedName>
    <definedName name="Urban_2007" localSheetId="14">#REF!</definedName>
    <definedName name="Urban_2007" localSheetId="10">#REF!</definedName>
    <definedName name="Urban_2007" localSheetId="8">#REF!</definedName>
    <definedName name="Urban_2007" localSheetId="3">#REF!</definedName>
    <definedName name="Urban_2007" localSheetId="2">#REF!</definedName>
    <definedName name="Urban_2007" localSheetId="1">#REF!</definedName>
    <definedName name="Urban_2007">#REF!</definedName>
    <definedName name="Urban_2008" localSheetId="16">#REF!</definedName>
    <definedName name="Urban_2008" localSheetId="14">#REF!</definedName>
    <definedName name="Urban_2008" localSheetId="10">#REF!</definedName>
    <definedName name="Urban_2008" localSheetId="8">#REF!</definedName>
    <definedName name="Urban_2008" localSheetId="3">#REF!</definedName>
    <definedName name="Urban_2008" localSheetId="2">#REF!</definedName>
    <definedName name="Urban_2008" localSheetId="1">#REF!</definedName>
    <definedName name="Urban_2008">#REF!</definedName>
    <definedName name="Urban_annual" localSheetId="16">#REF!</definedName>
    <definedName name="Urban_annual" localSheetId="14">#REF!</definedName>
    <definedName name="Urban_annual" localSheetId="10">#REF!</definedName>
    <definedName name="Urban_annual" localSheetId="8">#REF!</definedName>
    <definedName name="Urban_annual" localSheetId="3">#REF!</definedName>
    <definedName name="Urban_annual" localSheetId="2">#REF!</definedName>
    <definedName name="Urban_annual" localSheetId="1">#REF!</definedName>
    <definedName name="Urban_annual">#REF!</definedName>
    <definedName name="uuuu_12">[6]CRITERIA3!$B$13</definedName>
    <definedName name="uuuuu">[5]CRITERIA2!$B$19</definedName>
    <definedName name="uuuuu_12">[6]CRITERIA2!$B$19</definedName>
    <definedName name="V" localSheetId="16">#REF!</definedName>
    <definedName name="V" localSheetId="14">#REF!</definedName>
    <definedName name="V" localSheetId="10">#REF!</definedName>
    <definedName name="V" localSheetId="8">#REF!</definedName>
    <definedName name="V" localSheetId="3">#REF!</definedName>
    <definedName name="V" localSheetId="2">#REF!</definedName>
    <definedName name="V" localSheetId="1">#REF!</definedName>
    <definedName name="V">#REF!</definedName>
    <definedName name="vjkz">'[7]tax-ss'!$R$7:$R$37</definedName>
    <definedName name="vrhfruhfrui_111" localSheetId="16">#REF!</definedName>
    <definedName name="vrhfruhfrui_111" localSheetId="14">#REF!</definedName>
    <definedName name="vrhfruhfrui_111" localSheetId="10">#REF!</definedName>
    <definedName name="vrhfruhfrui_111" localSheetId="8">#REF!</definedName>
    <definedName name="vrhfruhfrui_111" localSheetId="3">#REF!</definedName>
    <definedName name="vrhfruhfrui_111" localSheetId="2">#REF!</definedName>
    <definedName name="vrhfruhfrui_111" localSheetId="1">#REF!</definedName>
    <definedName name="vrhfruhfrui_111">#REF!</definedName>
    <definedName name="vsr">'[40]lot summary'!$F:$J</definedName>
    <definedName name="vvvvv_12">[6]CRITERIA3!$B$19</definedName>
    <definedName name="W" localSheetId="16">#REF!</definedName>
    <definedName name="W" localSheetId="14">#REF!</definedName>
    <definedName name="W" localSheetId="10">#REF!</definedName>
    <definedName name="W" localSheetId="8">#REF!</definedName>
    <definedName name="W" localSheetId="3">#REF!</definedName>
    <definedName name="W" localSheetId="2">#REF!</definedName>
    <definedName name="W" localSheetId="1">#REF!</definedName>
    <definedName name="W">#REF!</definedName>
    <definedName name="w23w2" localSheetId="16">#REF!</definedName>
    <definedName name="w23w2" localSheetId="14">#REF!</definedName>
    <definedName name="w23w2" localSheetId="10">#REF!</definedName>
    <definedName name="w23w2" localSheetId="8">#REF!</definedName>
    <definedName name="w23w2" localSheetId="3">#REF!</definedName>
    <definedName name="w23w2" localSheetId="2">#REF!</definedName>
    <definedName name="w23w2" localSheetId="1">#REF!</definedName>
    <definedName name="w23w2">#REF!</definedName>
    <definedName name="WLP" localSheetId="16">#REF!</definedName>
    <definedName name="WLP" localSheetId="14">#REF!</definedName>
    <definedName name="WLP" localSheetId="10">#REF!</definedName>
    <definedName name="WLP" localSheetId="8">#REF!</definedName>
    <definedName name="WLP" localSheetId="3">#REF!</definedName>
    <definedName name="WLP" localSheetId="2">#REF!</definedName>
    <definedName name="WLP" localSheetId="1">#REF!</definedName>
    <definedName name="WLP">#REF!</definedName>
    <definedName name="wpl_12">[9]CRITERIA3!$B$15</definedName>
    <definedName name="wps">'[41]FF-6'!$A$5:$K$9</definedName>
    <definedName name="wpt">[11]CRITERIA3!$F$2</definedName>
    <definedName name="wpt_12">[9]CRITERIA3!$F$2</definedName>
    <definedName name="wr">'[37]0100'!$K$14:$K$106</definedName>
    <definedName name="X" localSheetId="16">#REF!</definedName>
    <definedName name="X" localSheetId="14">#REF!</definedName>
    <definedName name="X" localSheetId="10">#REF!</definedName>
    <definedName name="X" localSheetId="8">#REF!</definedName>
    <definedName name="X" localSheetId="3">#REF!</definedName>
    <definedName name="X" localSheetId="2">#REF!</definedName>
    <definedName name="X" localSheetId="1">#REF!</definedName>
    <definedName name="X">#REF!</definedName>
    <definedName name="xavier" localSheetId="16">#REF!</definedName>
    <definedName name="xavier" localSheetId="14">#REF!</definedName>
    <definedName name="xavier" localSheetId="10">#REF!</definedName>
    <definedName name="xavier" localSheetId="8">#REF!</definedName>
    <definedName name="xavier" localSheetId="3">#REF!</definedName>
    <definedName name="xavier" localSheetId="2">#REF!</definedName>
    <definedName name="xavier" localSheetId="1">#REF!</definedName>
    <definedName name="xavier">#REF!</definedName>
    <definedName name="XRs" localSheetId="16">#REF!</definedName>
    <definedName name="XRs" localSheetId="14">#REF!</definedName>
    <definedName name="XRs" localSheetId="10">#REF!</definedName>
    <definedName name="XRs" localSheetId="8">#REF!</definedName>
    <definedName name="XRs" localSheetId="3">#REF!</definedName>
    <definedName name="XRs" localSheetId="2">#REF!</definedName>
    <definedName name="XRs" localSheetId="1">#REF!</definedName>
    <definedName name="XRs">#REF!</definedName>
    <definedName name="xxxx_12">[6]CRITERIA3!$B$21</definedName>
    <definedName name="xzzzz." localSheetId="16">#REF!</definedName>
    <definedName name="xzzzz." localSheetId="14">#REF!</definedName>
    <definedName name="xzzzz." localSheetId="10">#REF!</definedName>
    <definedName name="xzzzz." localSheetId="8">#REF!</definedName>
    <definedName name="xzzzz." localSheetId="3">#REF!</definedName>
    <definedName name="xzzzz." localSheetId="2">#REF!</definedName>
    <definedName name="xzzzz." localSheetId="1">#REF!</definedName>
    <definedName name="xzzzz.">#REF!</definedName>
    <definedName name="Y" localSheetId="16">#REF!</definedName>
    <definedName name="Y" localSheetId="14">#REF!</definedName>
    <definedName name="Y" localSheetId="10">#REF!</definedName>
    <definedName name="Y" localSheetId="8">#REF!</definedName>
    <definedName name="Y" localSheetId="3">#REF!</definedName>
    <definedName name="Y" localSheetId="2">#REF!</definedName>
    <definedName name="Y" localSheetId="1">#REF!</definedName>
    <definedName name="Y">#REF!</definedName>
    <definedName name="Year">[42]dbase!$B$22:$B$27</definedName>
    <definedName name="YEAR1">[31]dbase!$B$22:$B$27</definedName>
    <definedName name="YESNO" localSheetId="16">#REF!</definedName>
    <definedName name="YESNO" localSheetId="14">#REF!</definedName>
    <definedName name="YESNO" localSheetId="10">#REF!</definedName>
    <definedName name="YESNO" localSheetId="8">#REF!</definedName>
    <definedName name="YESNO" localSheetId="3">#REF!</definedName>
    <definedName name="YESNO" localSheetId="2">#REF!</definedName>
    <definedName name="YESNO" localSheetId="1">#REF!</definedName>
    <definedName name="YESNO">#REF!</definedName>
    <definedName name="YorN">[38]dbase!$C$5:$C$6</definedName>
    <definedName name="yorn1">[26]dbase!$C$5:$C$6</definedName>
    <definedName name="yyyy_12">[6]CRITERIA1!$B$18</definedName>
    <definedName name="z" localSheetId="16">#REF!</definedName>
    <definedName name="z" localSheetId="14">#REF!</definedName>
    <definedName name="z" localSheetId="10">#REF!</definedName>
    <definedName name="z" localSheetId="8">#REF!</definedName>
    <definedName name="z" localSheetId="3">#REF!</definedName>
    <definedName name="z" localSheetId="2">#REF!</definedName>
    <definedName name="z" localSheetId="1">#REF!</definedName>
    <definedName name="z">#REF!</definedName>
    <definedName name="ZZ_12">[6]CRITERIA2!$J$1</definedName>
    <definedName name="ZZZ">[5]CRITERIA3!$D$1</definedName>
    <definedName name="ZZZ_12">[6]CRITERIA3!$D$1</definedName>
    <definedName name="zzzz">[5]CRITERIA2!$B$18</definedName>
    <definedName name="zzzz_12">[6]CRITERIA2!$B$18</definedName>
    <definedName name="zzzzz">[5]CRITERIA1!$B$20</definedName>
    <definedName name="zzzzz_12">[6]CRITERIA1!$B$20</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17" i="15" l="1"/>
  <c r="C19" i="15"/>
  <c r="C16" i="22"/>
  <c r="C19" i="22"/>
  <c r="C16" i="12"/>
  <c r="C19" i="12"/>
  <c r="C16" i="11"/>
  <c r="C17" i="23"/>
  <c r="C20" i="23"/>
  <c r="C17" i="8"/>
  <c r="C20" i="8"/>
  <c r="C17" i="6"/>
  <c r="C20" i="6"/>
  <c r="D27" i="22"/>
  <c r="D28" i="22" s="1"/>
  <c r="D29" i="22" s="1"/>
  <c r="D27" i="12"/>
  <c r="D28" i="12"/>
  <c r="D26" i="11"/>
  <c r="D27" i="11"/>
  <c r="C11" i="5"/>
  <c r="C18" i="5" s="1"/>
  <c r="C9" i="12" s="1"/>
  <c r="D15" i="12" s="1"/>
  <c r="F15" i="12" s="1"/>
  <c r="D5" i="3"/>
  <c r="H5" i="3"/>
  <c r="C18" i="16"/>
  <c r="C20" i="16"/>
  <c r="C16" i="14"/>
  <c r="C15" i="14"/>
  <c r="C19" i="11"/>
  <c r="D26" i="23"/>
  <c r="D27" i="23" s="1"/>
  <c r="D28" i="23" s="1"/>
  <c r="D29" i="23" s="1"/>
  <c r="D30" i="23"/>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26" i="8"/>
  <c r="D27" i="8" s="1"/>
  <c r="D28" i="8" s="1"/>
  <c r="D29" i="8" s="1"/>
  <c r="D30" i="8" s="1"/>
  <c r="D31" i="8" s="1"/>
  <c r="D32" i="8" s="1"/>
  <c r="D33" i="8" s="1"/>
  <c r="D34" i="8" s="1"/>
  <c r="D35" i="8" s="1"/>
  <c r="D36" i="8" s="1"/>
  <c r="D37" i="8" s="1"/>
  <c r="D38" i="8" s="1"/>
  <c r="D39" i="8" s="1"/>
  <c r="D40" i="8" s="1"/>
  <c r="D41" i="8" s="1"/>
  <c r="D42" i="8" s="1"/>
  <c r="D43" i="8" s="1"/>
  <c r="D44" i="8" s="1"/>
  <c r="D45" i="8" s="1"/>
  <c r="D46" i="8" s="1"/>
  <c r="D47" i="8" s="1"/>
  <c r="D48" i="8" s="1"/>
  <c r="D49" i="8" s="1"/>
  <c r="D50" i="8" s="1"/>
  <c r="D51" i="8" s="1"/>
  <c r="D52" i="8" s="1"/>
  <c r="D53" i="8" s="1"/>
  <c r="D54" i="8" s="1"/>
  <c r="D55" i="8" s="1"/>
  <c r="D56" i="8" s="1"/>
  <c r="D57" i="8" s="1"/>
  <c r="D58" i="8" s="1"/>
  <c r="D59" i="8" s="1"/>
  <c r="D60" i="8" s="1"/>
  <c r="D61" i="8" s="1"/>
  <c r="D62" i="8" s="1"/>
  <c r="D63" i="8" s="1"/>
  <c r="D64" i="8" s="1"/>
  <c r="D65" i="8" s="1"/>
  <c r="D66" i="8" s="1"/>
  <c r="D67" i="8" s="1"/>
  <c r="D68" i="8" s="1"/>
  <c r="D69" i="8" s="1"/>
  <c r="D70" i="8" s="1"/>
  <c r="D71" i="8" s="1"/>
  <c r="D72" i="8" s="1"/>
  <c r="D73" i="8" s="1"/>
  <c r="D74" i="8" s="1"/>
  <c r="D75" i="8" s="1"/>
  <c r="D76" i="8" s="1"/>
  <c r="D77" i="8" s="1"/>
  <c r="D78" i="8" s="1"/>
  <c r="D79" i="8" s="1"/>
  <c r="D80" i="8" s="1"/>
  <c r="D81" i="8" s="1"/>
  <c r="D82" i="8" s="1"/>
  <c r="D83" i="8" s="1"/>
  <c r="D84" i="8" s="1"/>
  <c r="D85" i="8" s="1"/>
  <c r="D86" i="8" s="1"/>
  <c r="D87" i="8" s="1"/>
  <c r="D88" i="8" s="1"/>
  <c r="D26" i="6"/>
  <c r="D27" i="6" s="1"/>
  <c r="D28" i="6" s="1"/>
  <c r="D29" i="6" s="1"/>
  <c r="D30" i="6" s="1"/>
  <c r="D31" i="6" s="1"/>
  <c r="D32" i="6" s="1"/>
  <c r="D33" i="6" s="1"/>
  <c r="D34" i="6" s="1"/>
  <c r="D35" i="6" s="1"/>
  <c r="D36" i="6" s="1"/>
  <c r="D37" i="6" s="1"/>
  <c r="D38" i="6" s="1"/>
  <c r="D39" i="6" s="1"/>
  <c r="D40" i="6" s="1"/>
  <c r="D41" i="6" s="1"/>
  <c r="D42" i="6" s="1"/>
  <c r="D43" i="6" s="1"/>
  <c r="D44" i="6" s="1"/>
  <c r="D45" i="6" s="1"/>
  <c r="D46" i="6" s="1"/>
  <c r="D47" i="6" s="1"/>
  <c r="D48" i="6" s="1"/>
  <c r="D49" i="6" s="1"/>
  <c r="D50" i="6" s="1"/>
  <c r="D51" i="6" s="1"/>
  <c r="D52" i="6" s="1"/>
  <c r="D53" i="6" s="1"/>
  <c r="D54" i="6" s="1"/>
  <c r="D55" i="6" s="1"/>
  <c r="D56" i="6" s="1"/>
  <c r="D57" i="6" s="1"/>
  <c r="D58" i="6" s="1"/>
  <c r="D59" i="6" s="1"/>
  <c r="D60" i="6" s="1"/>
  <c r="D61" i="6" s="1"/>
  <c r="D62" i="6" s="1"/>
  <c r="D63" i="6" s="1"/>
  <c r="D64" i="6" s="1"/>
  <c r="D65" i="6" s="1"/>
  <c r="D66" i="6" s="1"/>
  <c r="D67" i="6" s="1"/>
  <c r="D68" i="6" s="1"/>
  <c r="D69" i="6" s="1"/>
  <c r="D70" i="6" s="1"/>
  <c r="D71" i="6" s="1"/>
  <c r="D72" i="6" s="1"/>
  <c r="D73" i="6" s="1"/>
  <c r="D74" i="6" s="1"/>
  <c r="D75" i="6" s="1"/>
  <c r="D76" i="6" s="1"/>
  <c r="D77" i="6" s="1"/>
  <c r="D78" i="6" s="1"/>
  <c r="D79" i="6" s="1"/>
  <c r="D80" i="6" s="1"/>
  <c r="D81" i="6" s="1"/>
  <c r="D82" i="6" s="1"/>
  <c r="D83" i="6" s="1"/>
  <c r="D84" i="6" s="1"/>
  <c r="D85" i="6" s="1"/>
  <c r="D86" i="6" s="1"/>
  <c r="D87" i="6" s="1"/>
  <c r="D28" i="11"/>
  <c r="D29" i="11" s="1"/>
  <c r="D30" i="11"/>
  <c r="D31" i="11" s="1"/>
  <c r="D32" i="11" s="1"/>
  <c r="D33" i="11" s="1"/>
  <c r="D34" i="11" s="1"/>
  <c r="D35" i="11" s="1"/>
  <c r="D36" i="11" s="1"/>
  <c r="D37" i="11" s="1"/>
  <c r="D38" i="11" s="1"/>
  <c r="D39" i="11" s="1"/>
  <c r="D40" i="11" s="1"/>
  <c r="D41" i="11" s="1"/>
  <c r="D42" i="11" s="1"/>
  <c r="D43" i="11" s="1"/>
  <c r="D44" i="11" s="1"/>
  <c r="D45" i="11" s="1"/>
  <c r="D46" i="11" s="1"/>
  <c r="D47" i="11" s="1"/>
  <c r="D48" i="11" s="1"/>
  <c r="D49" i="11" s="1"/>
  <c r="D50" i="11" s="1"/>
  <c r="D51" i="11" s="1"/>
  <c r="D52" i="11" s="1"/>
  <c r="D53" i="11" s="1"/>
  <c r="D54" i="11" s="1"/>
  <c r="D55" i="11" s="1"/>
  <c r="D56" i="11" s="1"/>
  <c r="D57" i="11" s="1"/>
  <c r="D58" i="11" s="1"/>
  <c r="D59" i="11" s="1"/>
  <c r="D60" i="11" s="1"/>
  <c r="D61" i="11" s="1"/>
  <c r="D62" i="11" s="1"/>
  <c r="D63" i="11" s="1"/>
  <c r="D64" i="11" s="1"/>
  <c r="D65" i="11" s="1"/>
  <c r="D66" i="11" s="1"/>
  <c r="D67" i="11" s="1"/>
  <c r="D68" i="11" s="1"/>
  <c r="D69" i="11" s="1"/>
  <c r="D70" i="11" s="1"/>
  <c r="D71" i="11" s="1"/>
  <c r="D72" i="11" s="1"/>
  <c r="D73" i="11" s="1"/>
  <c r="D74" i="11" s="1"/>
  <c r="D75" i="11" s="1"/>
  <c r="D76" i="11" s="1"/>
  <c r="D77" i="11" s="1"/>
  <c r="D78" i="11" s="1"/>
  <c r="D79" i="11" s="1"/>
  <c r="D80" i="11" s="1"/>
  <c r="D81" i="11" s="1"/>
  <c r="D82" i="11" s="1"/>
  <c r="D83" i="11" s="1"/>
  <c r="D84" i="11" s="1"/>
  <c r="D85" i="11" s="1"/>
  <c r="D86" i="11" s="1"/>
  <c r="D87" i="11" s="1"/>
  <c r="D29" i="12"/>
  <c r="D30" i="12" s="1"/>
  <c r="D31" i="12" s="1"/>
  <c r="D32" i="12" s="1"/>
  <c r="D33" i="12" s="1"/>
  <c r="D34" i="12" s="1"/>
  <c r="D35" i="12" s="1"/>
  <c r="D36" i="12" s="1"/>
  <c r="D37" i="12" s="1"/>
  <c r="D38" i="12" s="1"/>
  <c r="D39" i="12" s="1"/>
  <c r="D40" i="12" s="1"/>
  <c r="D41" i="12" s="1"/>
  <c r="D42" i="12" s="1"/>
  <c r="D43" i="12" s="1"/>
  <c r="D44" i="12" s="1"/>
  <c r="D45" i="12" s="1"/>
  <c r="D46" i="12" s="1"/>
  <c r="D47" i="12" s="1"/>
  <c r="D48" i="12" s="1"/>
  <c r="D49" i="12" s="1"/>
  <c r="D50" i="12" s="1"/>
  <c r="D51" i="12" s="1"/>
  <c r="D52" i="12" s="1"/>
  <c r="D53" i="12" s="1"/>
  <c r="D54" i="12" s="1"/>
  <c r="D55" i="12" s="1"/>
  <c r="D56" i="12" s="1"/>
  <c r="D57" i="12" s="1"/>
  <c r="D58" i="12" s="1"/>
  <c r="D59" i="12" s="1"/>
  <c r="D60" i="12" s="1"/>
  <c r="D61" i="12" s="1"/>
  <c r="D62" i="12" s="1"/>
  <c r="D63" i="12" s="1"/>
  <c r="D64" i="12" s="1"/>
  <c r="D65" i="12" s="1"/>
  <c r="D66" i="12" s="1"/>
  <c r="D67" i="12" s="1"/>
  <c r="D68" i="12" s="1"/>
  <c r="D69" i="12" s="1"/>
  <c r="D70" i="12" s="1"/>
  <c r="D71" i="12" s="1"/>
  <c r="D72" i="12" s="1"/>
  <c r="D73" i="12" s="1"/>
  <c r="D74" i="12" s="1"/>
  <c r="D75" i="12" s="1"/>
  <c r="D76" i="12" s="1"/>
  <c r="D77" i="12" s="1"/>
  <c r="D78" i="12" s="1"/>
  <c r="D79" i="12" s="1"/>
  <c r="D80" i="12" s="1"/>
  <c r="D81" i="12" s="1"/>
  <c r="D82" i="12" s="1"/>
  <c r="D83" i="12" s="1"/>
  <c r="D84" i="12" s="1"/>
  <c r="D85" i="12" s="1"/>
  <c r="D86" i="12" s="1"/>
  <c r="D87" i="12" s="1"/>
  <c r="D88" i="12" s="1"/>
  <c r="D89" i="12" s="1"/>
  <c r="D30" i="22"/>
  <c r="D31" i="22"/>
  <c r="D32" i="22" s="1"/>
  <c r="D33" i="22" s="1"/>
  <c r="D34" i="22" s="1"/>
  <c r="D35" i="22" s="1"/>
  <c r="D36" i="22" s="1"/>
  <c r="D37" i="22" s="1"/>
  <c r="D38" i="22" s="1"/>
  <c r="D39" i="22" s="1"/>
  <c r="D40" i="22" s="1"/>
  <c r="D41" i="22" s="1"/>
  <c r="D42" i="22" s="1"/>
  <c r="D43" i="22" s="1"/>
  <c r="D44" i="22" s="1"/>
  <c r="D45" i="22" s="1"/>
  <c r="D46" i="22" s="1"/>
  <c r="D47" i="22" s="1"/>
  <c r="D48" i="22" s="1"/>
  <c r="D49" i="22" s="1"/>
  <c r="D50" i="22" s="1"/>
  <c r="D51" i="22" s="1"/>
  <c r="D52" i="22" s="1"/>
  <c r="D53" i="22" s="1"/>
  <c r="D54" i="22" s="1"/>
  <c r="D55" i="22" s="1"/>
  <c r="D56" i="22" s="1"/>
  <c r="D57" i="22" s="1"/>
  <c r="D58" i="22" s="1"/>
  <c r="D59" i="22" s="1"/>
  <c r="D60" i="22" s="1"/>
  <c r="D61" i="22" s="1"/>
  <c r="D62" i="22" s="1"/>
  <c r="D63" i="22" s="1"/>
  <c r="D64" i="22" s="1"/>
  <c r="D65" i="22" s="1"/>
  <c r="D66" i="22" s="1"/>
  <c r="D67" i="22" s="1"/>
  <c r="D68" i="22" s="1"/>
  <c r="D69" i="22" s="1"/>
  <c r="D70" i="22" s="1"/>
  <c r="D71" i="22" s="1"/>
  <c r="D72" i="22" s="1"/>
  <c r="D73" i="22" s="1"/>
  <c r="D74" i="22" s="1"/>
  <c r="D75" i="22" s="1"/>
  <c r="D76" i="22" s="1"/>
  <c r="D77" i="22" s="1"/>
  <c r="D78" i="22" s="1"/>
  <c r="D79" i="22" s="1"/>
  <c r="D80" i="22" s="1"/>
  <c r="D81" i="22" s="1"/>
  <c r="D82" i="22" s="1"/>
  <c r="D83" i="22" s="1"/>
  <c r="D84" i="22" s="1"/>
  <c r="D85" i="22" s="1"/>
  <c r="D86" i="22" s="1"/>
  <c r="D87" i="22" s="1"/>
  <c r="D88" i="22" s="1"/>
  <c r="D89" i="22" s="1"/>
  <c r="D6" i="3"/>
  <c r="D7" i="3"/>
  <c r="H6" i="3"/>
  <c r="H7" i="3"/>
  <c r="D8" i="3"/>
  <c r="H8" i="3"/>
  <c r="D9" i="3"/>
  <c r="H9" i="3"/>
  <c r="D10" i="3"/>
  <c r="H10" i="3"/>
  <c r="D11" i="3"/>
  <c r="H11" i="3"/>
  <c r="D12" i="3"/>
  <c r="H12" i="3"/>
  <c r="D13" i="3"/>
  <c r="H13" i="3"/>
  <c r="D14" i="3"/>
  <c r="H14" i="3"/>
  <c r="D15" i="3"/>
  <c r="H15" i="3"/>
  <c r="D16" i="3"/>
  <c r="H16" i="3"/>
  <c r="D17" i="3"/>
  <c r="H17" i="3"/>
  <c r="D18" i="3"/>
  <c r="H18" i="3"/>
  <c r="D19" i="3"/>
  <c r="H19" i="3"/>
  <c r="D20" i="3"/>
  <c r="H20" i="3"/>
  <c r="D21" i="3"/>
  <c r="H21" i="3"/>
  <c r="D22" i="3"/>
  <c r="H22" i="3"/>
  <c r="D23" i="3"/>
  <c r="H23" i="3"/>
  <c r="D24" i="3"/>
  <c r="H24" i="3"/>
  <c r="D25" i="3"/>
  <c r="H25" i="3"/>
  <c r="D26" i="3"/>
  <c r="H26" i="3"/>
  <c r="D27" i="3"/>
  <c r="H27" i="3"/>
  <c r="D28" i="3"/>
  <c r="H28" i="3"/>
  <c r="D29" i="3"/>
  <c r="H29" i="3"/>
  <c r="D30" i="3"/>
  <c r="H30" i="3"/>
  <c r="D31" i="3"/>
  <c r="H31" i="3"/>
  <c r="D32" i="3"/>
  <c r="H32" i="3"/>
  <c r="D33" i="3"/>
  <c r="H33" i="3"/>
  <c r="D34" i="3"/>
  <c r="H34" i="3"/>
  <c r="D35" i="3"/>
  <c r="H35" i="3"/>
  <c r="D36" i="3"/>
  <c r="H36" i="3"/>
  <c r="D37" i="3"/>
  <c r="H37" i="3"/>
  <c r="D38" i="3"/>
  <c r="H38" i="3"/>
  <c r="D39" i="3"/>
  <c r="H39" i="3"/>
  <c r="D40" i="3"/>
  <c r="H40" i="3"/>
  <c r="D41" i="3"/>
  <c r="H41" i="3"/>
  <c r="D42" i="3"/>
  <c r="H42" i="3"/>
  <c r="D43" i="3"/>
  <c r="H43" i="3"/>
  <c r="D44" i="3"/>
  <c r="H44" i="3"/>
  <c r="D45" i="3"/>
  <c r="H45" i="3"/>
  <c r="D46" i="3"/>
  <c r="H46" i="3"/>
  <c r="D47" i="3"/>
  <c r="H47" i="3"/>
  <c r="D48" i="3"/>
  <c r="H48" i="3"/>
  <c r="D49" i="3"/>
  <c r="H49" i="3"/>
  <c r="D50" i="3"/>
  <c r="H50" i="3"/>
  <c r="D51" i="3"/>
  <c r="H51" i="3"/>
  <c r="D52" i="3"/>
  <c r="H52" i="3"/>
  <c r="D53" i="3"/>
  <c r="H53" i="3"/>
  <c r="D54" i="3"/>
  <c r="H54" i="3"/>
  <c r="D55" i="3"/>
  <c r="H55" i="3"/>
  <c r="D56" i="3"/>
  <c r="H56" i="3"/>
  <c r="D57" i="3"/>
  <c r="H57" i="3"/>
  <c r="D58" i="3"/>
  <c r="H58" i="3"/>
  <c r="D59" i="3"/>
  <c r="H59" i="3"/>
  <c r="D60" i="3"/>
  <c r="H60" i="3"/>
  <c r="D61" i="3"/>
  <c r="H61" i="3"/>
  <c r="D62" i="3"/>
  <c r="H62" i="3"/>
  <c r="D63" i="3"/>
  <c r="H63" i="3"/>
  <c r="D64" i="3"/>
  <c r="H64" i="3"/>
  <c r="D65" i="3"/>
  <c r="H65" i="3"/>
  <c r="D66" i="3"/>
  <c r="H66" i="3"/>
  <c r="D67" i="3"/>
  <c r="H67" i="3"/>
  <c r="D68" i="3"/>
  <c r="H68" i="3"/>
  <c r="D69" i="3"/>
  <c r="H69" i="3"/>
  <c r="D70" i="3"/>
  <c r="H70" i="3"/>
  <c r="D71" i="3"/>
  <c r="H71" i="3"/>
  <c r="D72" i="3"/>
  <c r="H72" i="3"/>
  <c r="D73" i="3"/>
  <c r="H73" i="3"/>
  <c r="D74" i="3"/>
  <c r="H74" i="3"/>
  <c r="D75" i="3"/>
  <c r="H75" i="3"/>
  <c r="D76" i="3"/>
  <c r="H76" i="3"/>
  <c r="D77" i="3"/>
  <c r="H77" i="3"/>
  <c r="D78" i="3"/>
  <c r="H78" i="3"/>
  <c r="D79" i="3"/>
  <c r="H79" i="3"/>
  <c r="D80" i="3"/>
  <c r="H80" i="3"/>
  <c r="D81" i="3"/>
  <c r="H81" i="3"/>
  <c r="D82" i="3"/>
  <c r="H82" i="3"/>
  <c r="D83" i="3"/>
  <c r="H83" i="3"/>
  <c r="D84" i="3"/>
  <c r="H84" i="3"/>
  <c r="D85" i="3"/>
  <c r="H85" i="3"/>
  <c r="D86" i="3"/>
  <c r="H86" i="3"/>
  <c r="D87" i="3"/>
  <c r="H87" i="3"/>
  <c r="D88" i="3"/>
  <c r="H88" i="3"/>
  <c r="D89" i="3"/>
  <c r="H89" i="3"/>
  <c r="D90" i="3"/>
  <c r="H90" i="3"/>
  <c r="D91" i="3"/>
  <c r="H91" i="3"/>
  <c r="D92" i="3"/>
  <c r="H92" i="3"/>
  <c r="D93" i="3"/>
  <c r="H93" i="3"/>
  <c r="D94" i="3"/>
  <c r="H94" i="3"/>
  <c r="D95" i="3"/>
  <c r="H95" i="3"/>
  <c r="D96" i="3"/>
  <c r="H96" i="3"/>
  <c r="D97" i="3"/>
  <c r="H97" i="3"/>
  <c r="D98" i="3"/>
  <c r="H98" i="3"/>
  <c r="D99" i="3"/>
  <c r="H99" i="3"/>
  <c r="D100" i="3"/>
  <c r="H100" i="3"/>
  <c r="D101" i="3"/>
  <c r="H101" i="3"/>
  <c r="D102" i="3"/>
  <c r="H102" i="3"/>
  <c r="D103" i="3"/>
  <c r="H103" i="3"/>
  <c r="D104" i="3"/>
  <c r="H104" i="3"/>
  <c r="D105" i="3"/>
  <c r="H105" i="3"/>
  <c r="D106" i="3"/>
  <c r="H106" i="3"/>
  <c r="D107" i="3"/>
  <c r="H107" i="3"/>
  <c r="D108" i="3"/>
  <c r="H108" i="3"/>
  <c r="G112" i="3"/>
  <c r="F116" i="3" a="1"/>
  <c r="F116" i="3"/>
  <c r="F117" i="3" a="1"/>
  <c r="F117" i="3" s="1"/>
  <c r="H25" i="16"/>
  <c r="K80" i="3"/>
  <c r="L80" i="3" s="1"/>
  <c r="M80" i="3" s="1"/>
  <c r="K53" i="3"/>
  <c r="L53" i="3"/>
  <c r="M53" i="3"/>
  <c r="K99" i="3"/>
  <c r="L99" i="3"/>
  <c r="O99" i="3"/>
  <c r="K100" i="3"/>
  <c r="L100" i="3"/>
  <c r="M100" i="3" s="1"/>
  <c r="C17" i="10"/>
  <c r="L88" i="23"/>
  <c r="L89" i="23" s="1"/>
  <c r="H26" i="23"/>
  <c r="M26" i="23"/>
  <c r="C6" i="23"/>
  <c r="L89" i="22"/>
  <c r="H27" i="22"/>
  <c r="M27" i="22"/>
  <c r="C6" i="22"/>
  <c r="F3" i="20"/>
  <c r="S3" i="20"/>
  <c r="S2" i="20"/>
  <c r="S4" i="20"/>
  <c r="S5" i="20"/>
  <c r="H177" i="20"/>
  <c r="I177" i="20"/>
  <c r="L177" i="20"/>
  <c r="K177" i="20"/>
  <c r="H178" i="20"/>
  <c r="I178" i="20"/>
  <c r="L178" i="20" s="1"/>
  <c r="M178" i="20" s="1"/>
  <c r="K178" i="20"/>
  <c r="H179" i="20"/>
  <c r="I179" i="20"/>
  <c r="L179" i="20" s="1"/>
  <c r="K179" i="20"/>
  <c r="H180" i="20"/>
  <c r="I180" i="20"/>
  <c r="L180" i="20" s="1"/>
  <c r="K180" i="20"/>
  <c r="H181" i="20"/>
  <c r="I181" i="20"/>
  <c r="L181" i="20" s="1"/>
  <c r="K181" i="20"/>
  <c r="H182" i="20"/>
  <c r="I182" i="20"/>
  <c r="L182" i="20" s="1"/>
  <c r="K182" i="20"/>
  <c r="H183" i="20"/>
  <c r="I183" i="20"/>
  <c r="L183" i="20" s="1"/>
  <c r="K183" i="20"/>
  <c r="H184" i="20"/>
  <c r="I184" i="20"/>
  <c r="L184" i="20"/>
  <c r="K184" i="20"/>
  <c r="C188" i="20"/>
  <c r="C189" i="20"/>
  <c r="F186" i="20"/>
  <c r="G186"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84" i="20"/>
  <c r="H85" i="20"/>
  <c r="H86" i="20"/>
  <c r="H87" i="20"/>
  <c r="H88" i="20"/>
  <c r="H89" i="20"/>
  <c r="H90" i="20"/>
  <c r="H91" i="20"/>
  <c r="H92" i="20"/>
  <c r="H93" i="20"/>
  <c r="H94" i="20"/>
  <c r="H95" i="20"/>
  <c r="H96" i="20"/>
  <c r="H97" i="20"/>
  <c r="H98" i="20"/>
  <c r="H99" i="20"/>
  <c r="H100" i="20"/>
  <c r="H101" i="20"/>
  <c r="H102" i="20"/>
  <c r="H103" i="20"/>
  <c r="H104" i="20"/>
  <c r="H105" i="20"/>
  <c r="H106" i="20"/>
  <c r="H107" i="20"/>
  <c r="H108" i="20"/>
  <c r="H109" i="20"/>
  <c r="H110" i="20"/>
  <c r="H111" i="20"/>
  <c r="H112" i="20"/>
  <c r="H113" i="20"/>
  <c r="H114" i="20"/>
  <c r="H115" i="20"/>
  <c r="H116" i="20"/>
  <c r="H117" i="20"/>
  <c r="H118" i="20"/>
  <c r="H119" i="20"/>
  <c r="H120" i="20"/>
  <c r="H121" i="20"/>
  <c r="H122" i="20"/>
  <c r="H123" i="20"/>
  <c r="H124" i="20"/>
  <c r="H125" i="20"/>
  <c r="H126" i="20"/>
  <c r="H127" i="20"/>
  <c r="H128" i="20"/>
  <c r="H129" i="20"/>
  <c r="H130" i="20"/>
  <c r="H131" i="20"/>
  <c r="H132" i="20"/>
  <c r="H133" i="20"/>
  <c r="H134" i="20"/>
  <c r="H135" i="20"/>
  <c r="H136" i="20"/>
  <c r="H137" i="20"/>
  <c r="H138" i="20"/>
  <c r="H139" i="20"/>
  <c r="H140" i="20"/>
  <c r="H141" i="20"/>
  <c r="H142" i="20"/>
  <c r="H143" i="20"/>
  <c r="H144" i="20"/>
  <c r="H145" i="20"/>
  <c r="H146" i="20"/>
  <c r="H147" i="20"/>
  <c r="H148" i="20"/>
  <c r="H149" i="20"/>
  <c r="H150" i="20"/>
  <c r="H151" i="20"/>
  <c r="H152" i="20"/>
  <c r="H153" i="20"/>
  <c r="H154" i="20"/>
  <c r="H155" i="20"/>
  <c r="H156" i="20"/>
  <c r="H157" i="20"/>
  <c r="H158" i="20"/>
  <c r="H159" i="20"/>
  <c r="H160" i="20"/>
  <c r="H161" i="20"/>
  <c r="H162" i="20"/>
  <c r="H163" i="20"/>
  <c r="H164" i="20"/>
  <c r="H165" i="20"/>
  <c r="H166" i="20"/>
  <c r="H167" i="20"/>
  <c r="H168" i="20"/>
  <c r="H169" i="20"/>
  <c r="H170" i="20"/>
  <c r="H171" i="20"/>
  <c r="H172" i="20"/>
  <c r="H173" i="20"/>
  <c r="H174" i="20"/>
  <c r="H175" i="20"/>
  <c r="H176" i="20"/>
  <c r="I186" i="20"/>
  <c r="I10" i="20"/>
  <c r="L10" i="20"/>
  <c r="I11" i="20"/>
  <c r="L11" i="20" s="1"/>
  <c r="I12" i="20"/>
  <c r="L12" i="20" s="1"/>
  <c r="I13" i="20"/>
  <c r="L13" i="20"/>
  <c r="M13" i="20"/>
  <c r="I14" i="20"/>
  <c r="L14" i="20"/>
  <c r="I15" i="20"/>
  <c r="L15" i="20"/>
  <c r="N15" i="20" s="1"/>
  <c r="O15" i="20" s="1"/>
  <c r="I16" i="20"/>
  <c r="L16" i="20"/>
  <c r="I17" i="20"/>
  <c r="L17" i="20"/>
  <c r="N17" i="20" s="1"/>
  <c r="O17" i="20" s="1"/>
  <c r="I18" i="20"/>
  <c r="L18" i="20" s="1"/>
  <c r="I19" i="20"/>
  <c r="L19" i="20"/>
  <c r="I20" i="20"/>
  <c r="L20" i="20" s="1"/>
  <c r="I21" i="20"/>
  <c r="L21" i="20"/>
  <c r="N21" i="20" s="1"/>
  <c r="O21" i="20" s="1"/>
  <c r="I22" i="20"/>
  <c r="L22" i="20"/>
  <c r="N22" i="20"/>
  <c r="I23" i="20"/>
  <c r="L23" i="20" s="1"/>
  <c r="I24" i="20"/>
  <c r="L24" i="20" s="1"/>
  <c r="N24" i="20" s="1"/>
  <c r="O24" i="20" s="1"/>
  <c r="I25" i="20"/>
  <c r="L25" i="20"/>
  <c r="I26" i="20"/>
  <c r="L26" i="20" s="1"/>
  <c r="I27" i="20"/>
  <c r="L27" i="20"/>
  <c r="I28" i="20"/>
  <c r="L28" i="20" s="1"/>
  <c r="I29" i="20"/>
  <c r="L29" i="20"/>
  <c r="I30" i="20"/>
  <c r="L30" i="20" s="1"/>
  <c r="M30" i="20"/>
  <c r="I31" i="20"/>
  <c r="L31" i="20"/>
  <c r="I32" i="20"/>
  <c r="L32" i="20" s="1"/>
  <c r="I33" i="20"/>
  <c r="L33" i="20"/>
  <c r="N33" i="20" s="1"/>
  <c r="O33" i="20"/>
  <c r="I34" i="20"/>
  <c r="L34" i="20" s="1"/>
  <c r="I35" i="20"/>
  <c r="L35" i="20" s="1"/>
  <c r="I36" i="20"/>
  <c r="L36" i="20" s="1"/>
  <c r="I37" i="20"/>
  <c r="L37" i="20"/>
  <c r="N37" i="20"/>
  <c r="O37" i="20" s="1"/>
  <c r="I38" i="20"/>
  <c r="I39" i="20"/>
  <c r="L39" i="20" s="1"/>
  <c r="I40" i="20"/>
  <c r="L40" i="20" s="1"/>
  <c r="I41" i="20"/>
  <c r="L41" i="20"/>
  <c r="I42" i="20"/>
  <c r="L42" i="20" s="1"/>
  <c r="I43" i="20"/>
  <c r="L43" i="20" s="1"/>
  <c r="I44" i="20"/>
  <c r="I45" i="20"/>
  <c r="L45" i="20"/>
  <c r="M45" i="20"/>
  <c r="I46" i="20"/>
  <c r="L46" i="20" s="1"/>
  <c r="I47" i="20"/>
  <c r="L47" i="20" s="1"/>
  <c r="N47" i="20" s="1"/>
  <c r="O47" i="20" s="1"/>
  <c r="I48" i="20"/>
  <c r="L48" i="20"/>
  <c r="I49" i="20"/>
  <c r="L49" i="20"/>
  <c r="I50" i="20"/>
  <c r="L50" i="20"/>
  <c r="N50" i="20" s="1"/>
  <c r="O50" i="20" s="1"/>
  <c r="I51" i="20"/>
  <c r="L51" i="20" s="1"/>
  <c r="I52" i="20"/>
  <c r="L52" i="20"/>
  <c r="I53" i="20"/>
  <c r="L53" i="20" s="1"/>
  <c r="I54" i="20"/>
  <c r="L54" i="20" s="1"/>
  <c r="I55" i="20"/>
  <c r="L55" i="20" s="1"/>
  <c r="M55" i="20" s="1"/>
  <c r="I56" i="20"/>
  <c r="L56" i="20"/>
  <c r="I57" i="20"/>
  <c r="L57" i="20" s="1"/>
  <c r="I58" i="20"/>
  <c r="L58" i="20"/>
  <c r="M58" i="20"/>
  <c r="I59" i="20"/>
  <c r="L59" i="20"/>
  <c r="I60" i="20"/>
  <c r="L60" i="20" s="1"/>
  <c r="N60" i="20" s="1"/>
  <c r="O60" i="20" s="1"/>
  <c r="I61" i="20"/>
  <c r="L61" i="20"/>
  <c r="I62" i="20"/>
  <c r="L62" i="20"/>
  <c r="I63" i="20"/>
  <c r="L63" i="20" s="1"/>
  <c r="I64" i="20"/>
  <c r="L64" i="20"/>
  <c r="I65" i="20"/>
  <c r="L65" i="20"/>
  <c r="I66" i="20"/>
  <c r="L66" i="20"/>
  <c r="I67" i="20"/>
  <c r="L67" i="20" s="1"/>
  <c r="I68" i="20"/>
  <c r="L68" i="20"/>
  <c r="M68" i="20"/>
  <c r="I69" i="20"/>
  <c r="L69" i="20" s="1"/>
  <c r="I70" i="20"/>
  <c r="L70" i="20"/>
  <c r="M70" i="20" s="1"/>
  <c r="I71" i="20"/>
  <c r="L71" i="20" s="1"/>
  <c r="N71" i="20" s="1"/>
  <c r="O71" i="20" s="1"/>
  <c r="R71" i="20" s="1"/>
  <c r="I72" i="20"/>
  <c r="L72" i="20" s="1"/>
  <c r="I73" i="20"/>
  <c r="L73" i="20" s="1"/>
  <c r="I74" i="20"/>
  <c r="L74" i="20" s="1"/>
  <c r="N74" i="20" s="1"/>
  <c r="O74" i="20" s="1"/>
  <c r="I75" i="20"/>
  <c r="L75" i="20"/>
  <c r="N75" i="20" s="1"/>
  <c r="O75" i="20" s="1"/>
  <c r="R75" i="20" s="1"/>
  <c r="I76" i="20"/>
  <c r="L76" i="20" s="1"/>
  <c r="M76" i="20" s="1"/>
  <c r="I77" i="20"/>
  <c r="L77" i="20" s="1"/>
  <c r="M77" i="20"/>
  <c r="I78" i="20"/>
  <c r="L78" i="20"/>
  <c r="I79" i="20"/>
  <c r="L79" i="20"/>
  <c r="N79" i="20" s="1"/>
  <c r="O79" i="20" s="1"/>
  <c r="I80" i="20"/>
  <c r="L80" i="20"/>
  <c r="I81" i="20"/>
  <c r="L81" i="20"/>
  <c r="I82" i="20"/>
  <c r="L82" i="20"/>
  <c r="I83" i="20"/>
  <c r="L83" i="20" s="1"/>
  <c r="I84" i="20"/>
  <c r="L84" i="20"/>
  <c r="M84" i="20"/>
  <c r="I85" i="20"/>
  <c r="L85" i="20"/>
  <c r="I86" i="20"/>
  <c r="L86" i="20" s="1"/>
  <c r="I87" i="20"/>
  <c r="L87" i="20" s="1"/>
  <c r="I88" i="20"/>
  <c r="L88" i="20"/>
  <c r="M88" i="20"/>
  <c r="I89" i="20"/>
  <c r="L89" i="20"/>
  <c r="I90" i="20"/>
  <c r="L90" i="20" s="1"/>
  <c r="I91" i="20"/>
  <c r="L91" i="20"/>
  <c r="I92" i="20"/>
  <c r="L92" i="20"/>
  <c r="I93" i="20"/>
  <c r="L93" i="20"/>
  <c r="I94" i="20"/>
  <c r="L94" i="20" s="1"/>
  <c r="I95" i="20"/>
  <c r="L95" i="20"/>
  <c r="I96" i="20"/>
  <c r="L96" i="20"/>
  <c r="N96" i="20"/>
  <c r="O96" i="20"/>
  <c r="I97" i="20"/>
  <c r="L97" i="20" s="1"/>
  <c r="N97" i="20" s="1"/>
  <c r="O97" i="20" s="1"/>
  <c r="R97" i="20" s="1"/>
  <c r="W97" i="20" s="1"/>
  <c r="I98" i="20"/>
  <c r="L98" i="20"/>
  <c r="I99" i="20"/>
  <c r="L99" i="20"/>
  <c r="N99" i="20" s="1"/>
  <c r="I100" i="20"/>
  <c r="L100" i="20" s="1"/>
  <c r="I101" i="20"/>
  <c r="L101" i="20"/>
  <c r="I102" i="20"/>
  <c r="L102" i="20"/>
  <c r="I103" i="20"/>
  <c r="L103" i="20" s="1"/>
  <c r="I104" i="20"/>
  <c r="L104" i="20" s="1"/>
  <c r="I105" i="20"/>
  <c r="L105" i="20"/>
  <c r="I106" i="20"/>
  <c r="L106" i="20"/>
  <c r="I107" i="20"/>
  <c r="L107" i="20" s="1"/>
  <c r="I108" i="20"/>
  <c r="L108" i="20" s="1"/>
  <c r="I109" i="20"/>
  <c r="L109" i="20"/>
  <c r="I110" i="20"/>
  <c r="L110" i="20"/>
  <c r="I111" i="20"/>
  <c r="L111" i="20" s="1"/>
  <c r="I112" i="20"/>
  <c r="L112" i="20" s="1"/>
  <c r="I113" i="20"/>
  <c r="I114" i="20"/>
  <c r="L114" i="20"/>
  <c r="I115" i="20"/>
  <c r="L115" i="20" s="1"/>
  <c r="I116" i="20"/>
  <c r="L116" i="20"/>
  <c r="N116" i="20"/>
  <c r="O116" i="20"/>
  <c r="I117" i="20"/>
  <c r="L117" i="20"/>
  <c r="M117" i="20" s="1"/>
  <c r="I118" i="20"/>
  <c r="L118" i="20" s="1"/>
  <c r="N118" i="20" s="1"/>
  <c r="O118" i="20" s="1"/>
  <c r="I119" i="20"/>
  <c r="L119" i="20"/>
  <c r="I120" i="20"/>
  <c r="L120" i="20" s="1"/>
  <c r="I121" i="20"/>
  <c r="L121" i="20" s="1"/>
  <c r="N121" i="20" s="1"/>
  <c r="I122" i="20"/>
  <c r="L122" i="20"/>
  <c r="I123" i="20"/>
  <c r="L123" i="20"/>
  <c r="I124" i="20"/>
  <c r="L124" i="20" s="1"/>
  <c r="I125" i="20"/>
  <c r="L125" i="20" s="1"/>
  <c r="I126" i="20"/>
  <c r="L126" i="20"/>
  <c r="I127" i="20"/>
  <c r="L127" i="20" s="1"/>
  <c r="I128" i="20"/>
  <c r="L128" i="20" s="1"/>
  <c r="N128" i="20" s="1"/>
  <c r="O128" i="20" s="1"/>
  <c r="I129" i="20"/>
  <c r="L129" i="20"/>
  <c r="N129" i="20"/>
  <c r="O129" i="20" s="1"/>
  <c r="P129" i="20" s="1"/>
  <c r="I130" i="20"/>
  <c r="L130" i="20"/>
  <c r="I131" i="20"/>
  <c r="I132" i="20"/>
  <c r="L132" i="20"/>
  <c r="I133" i="20"/>
  <c r="L133" i="20" s="1"/>
  <c r="I134" i="20"/>
  <c r="L134" i="20" s="1"/>
  <c r="I135" i="20"/>
  <c r="L135" i="20"/>
  <c r="I136" i="20"/>
  <c r="L136" i="20"/>
  <c r="N136" i="20"/>
  <c r="I137" i="20"/>
  <c r="L137" i="20" s="1"/>
  <c r="I138" i="20"/>
  <c r="L138" i="20"/>
  <c r="N138" i="20"/>
  <c r="O138" i="20"/>
  <c r="I139" i="20"/>
  <c r="L139" i="20"/>
  <c r="M139" i="20" s="1"/>
  <c r="I140" i="20"/>
  <c r="L140" i="20"/>
  <c r="I141" i="20"/>
  <c r="L141" i="20"/>
  <c r="I142" i="20"/>
  <c r="L142" i="20"/>
  <c r="M142" i="20" s="1"/>
  <c r="I143" i="20"/>
  <c r="L143" i="20" s="1"/>
  <c r="N143" i="20" s="1"/>
  <c r="O143" i="20" s="1"/>
  <c r="I144" i="20"/>
  <c r="L144" i="20"/>
  <c r="I145" i="20"/>
  <c r="L145" i="20" s="1"/>
  <c r="I146" i="20"/>
  <c r="L146" i="20" s="1"/>
  <c r="I147" i="20"/>
  <c r="L147" i="20"/>
  <c r="I148" i="20"/>
  <c r="L148" i="20"/>
  <c r="I149" i="20"/>
  <c r="L149" i="20" s="1"/>
  <c r="I150" i="20"/>
  <c r="L150" i="20" s="1"/>
  <c r="I151" i="20"/>
  <c r="L151" i="20"/>
  <c r="I152" i="20"/>
  <c r="L152" i="20"/>
  <c r="M152" i="20"/>
  <c r="I153" i="20"/>
  <c r="L153" i="20" s="1"/>
  <c r="I154" i="20"/>
  <c r="L154" i="20"/>
  <c r="M154" i="20" s="1"/>
  <c r="I155" i="20"/>
  <c r="L155" i="20" s="1"/>
  <c r="I156" i="20"/>
  <c r="L156" i="20"/>
  <c r="I157" i="20"/>
  <c r="L157" i="20"/>
  <c r="I158" i="20"/>
  <c r="L158" i="20" s="1"/>
  <c r="I159" i="20"/>
  <c r="L159" i="20"/>
  <c r="I160" i="20"/>
  <c r="L160" i="20"/>
  <c r="N160" i="20" s="1"/>
  <c r="O160" i="20" s="1"/>
  <c r="I161" i="20"/>
  <c r="L161" i="20"/>
  <c r="M161" i="20"/>
  <c r="I162" i="20"/>
  <c r="L162" i="20"/>
  <c r="N162" i="20"/>
  <c r="O162" i="20" s="1"/>
  <c r="I163" i="20"/>
  <c r="L163" i="20" s="1"/>
  <c r="I164" i="20"/>
  <c r="L164" i="20"/>
  <c r="I165" i="20"/>
  <c r="L165" i="20"/>
  <c r="I166" i="20"/>
  <c r="L166" i="20" s="1"/>
  <c r="I167" i="20"/>
  <c r="L167" i="20" s="1"/>
  <c r="I168" i="20"/>
  <c r="L168" i="20"/>
  <c r="I169" i="20"/>
  <c r="L169" i="20"/>
  <c r="I170" i="20"/>
  <c r="L170" i="20" s="1"/>
  <c r="M170" i="20" s="1"/>
  <c r="I171" i="20"/>
  <c r="L171" i="20"/>
  <c r="N171" i="20"/>
  <c r="K171" i="20"/>
  <c r="I172" i="20"/>
  <c r="L172" i="20"/>
  <c r="N172" i="20" s="1"/>
  <c r="I173" i="20"/>
  <c r="L173" i="20" s="1"/>
  <c r="K173" i="20"/>
  <c r="I174" i="20"/>
  <c r="L174" i="20"/>
  <c r="I175" i="20"/>
  <c r="L175" i="20" s="1"/>
  <c r="I176" i="20"/>
  <c r="L176" i="20" s="1"/>
  <c r="K176" i="20"/>
  <c r="N13" i="20"/>
  <c r="O13" i="20"/>
  <c r="N30" i="20"/>
  <c r="O30" i="20"/>
  <c r="N45" i="20"/>
  <c r="O45" i="20" s="1"/>
  <c r="N84" i="20"/>
  <c r="O84" i="20"/>
  <c r="N161" i="20"/>
  <c r="O161" i="20"/>
  <c r="K170" i="20"/>
  <c r="K172" i="20"/>
  <c r="K174" i="20"/>
  <c r="K175" i="20"/>
  <c r="F188" i="20"/>
  <c r="G188" i="20"/>
  <c r="E211" i="20" s="1"/>
  <c r="F189" i="20"/>
  <c r="G189" i="20"/>
  <c r="F190" i="20"/>
  <c r="C191" i="20"/>
  <c r="C193" i="20" s="1"/>
  <c r="C192" i="20"/>
  <c r="F191" i="20"/>
  <c r="G191" i="20"/>
  <c r="M15" i="20"/>
  <c r="M33" i="20"/>
  <c r="M37" i="20"/>
  <c r="M50" i="20"/>
  <c r="M79" i="20"/>
  <c r="M171" i="20"/>
  <c r="T191" i="20"/>
  <c r="U191" i="20"/>
  <c r="U193" i="20" s="1"/>
  <c r="V191" i="20"/>
  <c r="F192" i="20"/>
  <c r="G192" i="20"/>
  <c r="T192" i="20"/>
  <c r="U192" i="20"/>
  <c r="V192" i="20"/>
  <c r="E199" i="20" a="1"/>
  <c r="E199" i="20" s="1"/>
  <c r="F199" i="20" a="1"/>
  <c r="F199" i="20" s="1"/>
  <c r="L199" i="20" a="1"/>
  <c r="L199" i="20" s="1"/>
  <c r="N199" i="20" a="1"/>
  <c r="N199" i="20" s="1"/>
  <c r="E200" i="20" a="1"/>
  <c r="E200" i="20" s="1"/>
  <c r="F200" i="20" a="1"/>
  <c r="F200" i="20" s="1"/>
  <c r="L200" i="20" a="1"/>
  <c r="L200" i="20" s="1"/>
  <c r="N200" i="20" a="1"/>
  <c r="N200" i="20" s="1"/>
  <c r="J205" i="20" a="1"/>
  <c r="J205" i="20" s="1"/>
  <c r="J210" i="20" s="1"/>
  <c r="E201" i="20" a="1"/>
  <c r="E201" i="20"/>
  <c r="F201" i="20" a="1"/>
  <c r="F201" i="20"/>
  <c r="L201" i="20" a="1"/>
  <c r="L201" i="20"/>
  <c r="N201" i="20" a="1"/>
  <c r="N201" i="20"/>
  <c r="E204" i="20" a="1"/>
  <c r="E204" i="20"/>
  <c r="E209" i="20" s="1"/>
  <c r="F204" i="20" a="1"/>
  <c r="F204" i="20" s="1"/>
  <c r="I204" i="20" a="1"/>
  <c r="I204" i="20" s="1"/>
  <c r="J204" i="20" a="1"/>
  <c r="J204" i="20" s="1"/>
  <c r="J209" i="20" s="1"/>
  <c r="E205" i="20" a="1"/>
  <c r="E205" i="20"/>
  <c r="F205" i="20" a="1"/>
  <c r="F205" i="20"/>
  <c r="I205" i="20" a="1"/>
  <c r="I205" i="20"/>
  <c r="I210" i="20" s="1"/>
  <c r="E206" i="20" a="1"/>
  <c r="E206" i="20" s="1"/>
  <c r="F206" i="20" a="1"/>
  <c r="F206" i="20" s="1"/>
  <c r="I206" i="20" a="1"/>
  <c r="I206" i="20" s="1"/>
  <c r="J206" i="20" a="1"/>
  <c r="J206" i="20" s="1"/>
  <c r="E212" i="20"/>
  <c r="I211" i="20"/>
  <c r="D169" i="20"/>
  <c r="D170" i="20"/>
  <c r="D171" i="20"/>
  <c r="D172" i="20"/>
  <c r="D173" i="20"/>
  <c r="D174" i="20"/>
  <c r="D175" i="20"/>
  <c r="D176" i="20"/>
  <c r="D113" i="20"/>
  <c r="D114" i="20"/>
  <c r="D115" i="20"/>
  <c r="D116" i="20"/>
  <c r="D117" i="20"/>
  <c r="D118" i="20"/>
  <c r="D119" i="20"/>
  <c r="D120" i="20"/>
  <c r="D121" i="20"/>
  <c r="D122" i="20"/>
  <c r="D123" i="20"/>
  <c r="D124" i="20"/>
  <c r="D125" i="20"/>
  <c r="D126" i="20"/>
  <c r="D127" i="20"/>
  <c r="D128" i="20"/>
  <c r="D129" i="20"/>
  <c r="D130" i="20"/>
  <c r="D131" i="20"/>
  <c r="D132" i="20"/>
  <c r="D133" i="20"/>
  <c r="D134" i="20"/>
  <c r="D135" i="20"/>
  <c r="D136" i="20"/>
  <c r="D137" i="20"/>
  <c r="D138" i="20"/>
  <c r="D139" i="20"/>
  <c r="D140" i="20"/>
  <c r="D141" i="20"/>
  <c r="D142" i="20"/>
  <c r="D143" i="20"/>
  <c r="D144" i="20"/>
  <c r="D145" i="20"/>
  <c r="D146" i="20"/>
  <c r="D147" i="20"/>
  <c r="D148" i="20"/>
  <c r="D149" i="20"/>
  <c r="D150" i="20"/>
  <c r="D151" i="20"/>
  <c r="D152" i="20"/>
  <c r="D153" i="20"/>
  <c r="D154" i="20"/>
  <c r="D155" i="20"/>
  <c r="D156" i="20"/>
  <c r="D157" i="20"/>
  <c r="D158" i="20"/>
  <c r="D159" i="20"/>
  <c r="D160" i="20"/>
  <c r="D161" i="20"/>
  <c r="D162" i="20"/>
  <c r="D163" i="20"/>
  <c r="D164" i="20"/>
  <c r="D165" i="20"/>
  <c r="D166" i="20"/>
  <c r="D167" i="20"/>
  <c r="D168"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62" i="20"/>
  <c r="D63" i="20"/>
  <c r="D64" i="20"/>
  <c r="D65" i="20"/>
  <c r="D66" i="20"/>
  <c r="D67" i="20"/>
  <c r="D68" i="20"/>
  <c r="D69" i="20"/>
  <c r="D70" i="20"/>
  <c r="D71" i="20"/>
  <c r="D72" i="20"/>
  <c r="D73" i="20"/>
  <c r="D74" i="20"/>
  <c r="D75" i="20"/>
  <c r="D76" i="20"/>
  <c r="D77" i="20"/>
  <c r="D78" i="20"/>
  <c r="D79" i="20"/>
  <c r="D80" i="20"/>
  <c r="D81" i="20"/>
  <c r="D82" i="20"/>
  <c r="D83" i="20"/>
  <c r="D84" i="20"/>
  <c r="D85" i="20"/>
  <c r="D86" i="20"/>
  <c r="D87" i="20"/>
  <c r="D88" i="20"/>
  <c r="D89" i="20"/>
  <c r="D90" i="20"/>
  <c r="D91" i="20"/>
  <c r="D92" i="20"/>
  <c r="D93" i="20"/>
  <c r="D94" i="20"/>
  <c r="D95" i="20"/>
  <c r="D96" i="20"/>
  <c r="D97" i="20"/>
  <c r="D98" i="20"/>
  <c r="D99" i="20"/>
  <c r="D100" i="20"/>
  <c r="D101" i="20"/>
  <c r="D102" i="20"/>
  <c r="D103" i="20"/>
  <c r="D104" i="20"/>
  <c r="D105" i="20"/>
  <c r="D106" i="20"/>
  <c r="D107" i="20"/>
  <c r="D108" i="20"/>
  <c r="D109" i="20"/>
  <c r="D110" i="20"/>
  <c r="D111" i="20"/>
  <c r="D112" i="20"/>
  <c r="D11" i="20"/>
  <c r="D10" i="20"/>
  <c r="U169" i="20"/>
  <c r="T169" i="20"/>
  <c r="U168" i="20"/>
  <c r="T168" i="20"/>
  <c r="U167" i="20"/>
  <c r="T167" i="20"/>
  <c r="U160" i="20"/>
  <c r="T160" i="20"/>
  <c r="U131" i="20"/>
  <c r="T131" i="20"/>
  <c r="U123" i="20"/>
  <c r="T123" i="20"/>
  <c r="U117" i="20"/>
  <c r="T117" i="20"/>
  <c r="U112" i="20"/>
  <c r="T112" i="20"/>
  <c r="U111" i="20"/>
  <c r="T111" i="20"/>
  <c r="U93" i="20"/>
  <c r="T93" i="20"/>
  <c r="U92" i="20"/>
  <c r="T92" i="20"/>
  <c r="U59" i="20"/>
  <c r="T59" i="20"/>
  <c r="U58" i="20"/>
  <c r="T58" i="20"/>
  <c r="U47" i="20"/>
  <c r="T47" i="20"/>
  <c r="U46" i="20"/>
  <c r="T46" i="20"/>
  <c r="U34" i="20"/>
  <c r="T34" i="20"/>
  <c r="U32" i="20"/>
  <c r="T32" i="20"/>
  <c r="U31" i="20"/>
  <c r="T31" i="20"/>
  <c r="U30" i="20"/>
  <c r="T30" i="20"/>
  <c r="U24" i="20"/>
  <c r="T24" i="20"/>
  <c r="U23" i="20"/>
  <c r="T23" i="20"/>
  <c r="U20" i="20"/>
  <c r="T20" i="20"/>
  <c r="U16" i="20"/>
  <c r="T16" i="20"/>
  <c r="U14" i="20"/>
  <c r="T14" i="20"/>
  <c r="U10" i="20"/>
  <c r="T10" i="20"/>
  <c r="V8" i="20"/>
  <c r="H23" i="14"/>
  <c r="H22" i="10"/>
  <c r="H26" i="8"/>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26" i="6"/>
  <c r="H26" i="15"/>
  <c r="H27" i="12"/>
  <c r="H26"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28" i="11"/>
  <c r="L88" i="16"/>
  <c r="M25" i="16"/>
  <c r="C6" i="16"/>
  <c r="L89" i="15"/>
  <c r="M26" i="15"/>
  <c r="C6" i="15"/>
  <c r="K72" i="3"/>
  <c r="L72" i="3"/>
  <c r="M72" i="3"/>
  <c r="K73" i="3"/>
  <c r="L73" i="3"/>
  <c r="M73" i="3" s="1"/>
  <c r="K74" i="3"/>
  <c r="L74" i="3"/>
  <c r="M74" i="3" s="1"/>
  <c r="K75" i="3"/>
  <c r="L75" i="3" s="1"/>
  <c r="M75" i="3" s="1"/>
  <c r="K76" i="3"/>
  <c r="L76" i="3" s="1"/>
  <c r="M76" i="3" s="1"/>
  <c r="K77" i="3"/>
  <c r="L77" i="3"/>
  <c r="M77" i="3" s="1"/>
  <c r="K78" i="3"/>
  <c r="L78" i="3"/>
  <c r="M78" i="3" s="1"/>
  <c r="K79" i="3"/>
  <c r="L79" i="3" s="1"/>
  <c r="M79" i="3" s="1"/>
  <c r="K81" i="3"/>
  <c r="L81" i="3"/>
  <c r="M81" i="3" s="1"/>
  <c r="K82" i="3"/>
  <c r="L82" i="3"/>
  <c r="M82" i="3" s="1"/>
  <c r="K83" i="3"/>
  <c r="L83" i="3"/>
  <c r="M83" i="3"/>
  <c r="K84" i="3"/>
  <c r="L84" i="3" s="1"/>
  <c r="M84" i="3" s="1"/>
  <c r="K85" i="3"/>
  <c r="L85" i="3" s="1"/>
  <c r="K86" i="3"/>
  <c r="L86" i="3"/>
  <c r="O86" i="3"/>
  <c r="K87" i="3"/>
  <c r="L87" i="3" s="1"/>
  <c r="K88" i="3"/>
  <c r="L88" i="3"/>
  <c r="K89" i="3"/>
  <c r="L89" i="3"/>
  <c r="K22" i="3"/>
  <c r="L22" i="3"/>
  <c r="M22" i="3" s="1"/>
  <c r="K23" i="3"/>
  <c r="L23" i="3" s="1"/>
  <c r="M23" i="3" s="1"/>
  <c r="K24" i="3"/>
  <c r="L24" i="3"/>
  <c r="M24" i="3"/>
  <c r="K25" i="3"/>
  <c r="L25" i="3" s="1"/>
  <c r="M25" i="3"/>
  <c r="K26" i="3"/>
  <c r="L26" i="3" s="1"/>
  <c r="M26" i="3" s="1"/>
  <c r="K27" i="3"/>
  <c r="L27" i="3" s="1"/>
  <c r="M27" i="3" s="1"/>
  <c r="K28" i="3"/>
  <c r="L28" i="3" s="1"/>
  <c r="M28" i="3"/>
  <c r="K29" i="3"/>
  <c r="L29" i="3" s="1"/>
  <c r="M29" i="3" s="1"/>
  <c r="K30" i="3"/>
  <c r="L30" i="3" s="1"/>
  <c r="M30" i="3" s="1"/>
  <c r="K31" i="3"/>
  <c r="L31" i="3" s="1"/>
  <c r="M31" i="3"/>
  <c r="K32" i="3"/>
  <c r="L32" i="3"/>
  <c r="M32" i="3"/>
  <c r="K33" i="3"/>
  <c r="L33" i="3"/>
  <c r="M33" i="3"/>
  <c r="K34" i="3"/>
  <c r="L34" i="3"/>
  <c r="M34" i="3" s="1"/>
  <c r="K35" i="3"/>
  <c r="L35" i="3" s="1"/>
  <c r="M35" i="3" s="1"/>
  <c r="K36" i="3"/>
  <c r="L36" i="3"/>
  <c r="M36" i="3"/>
  <c r="K37" i="3"/>
  <c r="L37" i="3" s="1"/>
  <c r="M37" i="3"/>
  <c r="K38" i="3"/>
  <c r="L38" i="3" s="1"/>
  <c r="M38" i="3" s="1"/>
  <c r="K39" i="3"/>
  <c r="L39" i="3"/>
  <c r="M39" i="3"/>
  <c r="K40" i="3"/>
  <c r="L40" i="3"/>
  <c r="M40" i="3" s="1"/>
  <c r="K41" i="3"/>
  <c r="L41" i="3"/>
  <c r="M41" i="3" s="1"/>
  <c r="K42" i="3"/>
  <c r="L42" i="3"/>
  <c r="M42" i="3" s="1"/>
  <c r="K43" i="3"/>
  <c r="L43" i="3"/>
  <c r="M43" i="3"/>
  <c r="K44" i="3"/>
  <c r="L44" i="3"/>
  <c r="M44" i="3" s="1"/>
  <c r="K45" i="3"/>
  <c r="L45" i="3" s="1"/>
  <c r="M45" i="3"/>
  <c r="K46" i="3"/>
  <c r="L46" i="3"/>
  <c r="M46" i="3" s="1"/>
  <c r="K47" i="3"/>
  <c r="L47" i="3"/>
  <c r="M47" i="3" s="1"/>
  <c r="K48" i="3"/>
  <c r="L48" i="3"/>
  <c r="M48" i="3" s="1"/>
  <c r="K49" i="3"/>
  <c r="L49" i="3"/>
  <c r="M49" i="3" s="1"/>
  <c r="K50" i="3"/>
  <c r="L50" i="3" s="1"/>
  <c r="M50" i="3" s="1"/>
  <c r="K51" i="3"/>
  <c r="L51" i="3"/>
  <c r="M51" i="3" s="1"/>
  <c r="K52" i="3"/>
  <c r="L52" i="3" s="1"/>
  <c r="M52" i="3" s="1"/>
  <c r="K5" i="3"/>
  <c r="L5" i="3" s="1"/>
  <c r="O5" i="3" s="1"/>
  <c r="K6" i="3"/>
  <c r="L6" i="3"/>
  <c r="L85" i="14"/>
  <c r="M23" i="14"/>
  <c r="C6" i="14"/>
  <c r="L89" i="12"/>
  <c r="M27" i="12"/>
  <c r="C6" i="12"/>
  <c r="M26" i="11"/>
  <c r="C6" i="11"/>
  <c r="B17" i="4"/>
  <c r="B13" i="4"/>
  <c r="C13" i="4" s="1"/>
  <c r="L84" i="10"/>
  <c r="M22" i="10"/>
  <c r="C6" i="10"/>
  <c r="L88" i="8"/>
  <c r="L89" i="8"/>
  <c r="M26" i="8"/>
  <c r="C6" i="8"/>
  <c r="C6" i="6"/>
  <c r="B18" i="7"/>
  <c r="B14" i="7"/>
  <c r="L87" i="6"/>
  <c r="L88" i="6"/>
  <c r="M26" i="6"/>
  <c r="E24" i="7"/>
  <c r="E23" i="4"/>
  <c r="B14" i="4"/>
  <c r="C14" i="4"/>
  <c r="D14" i="4"/>
  <c r="E14" i="4"/>
  <c r="K108" i="3"/>
  <c r="L108" i="3"/>
  <c r="O108" i="3"/>
  <c r="K107" i="3"/>
  <c r="L107" i="3" s="1"/>
  <c r="M107" i="3" s="1"/>
  <c r="K106" i="3"/>
  <c r="L106" i="3" s="1"/>
  <c r="K105" i="3"/>
  <c r="L105" i="3" s="1"/>
  <c r="K104" i="3"/>
  <c r="L104" i="3" s="1"/>
  <c r="O104" i="3" s="1"/>
  <c r="K103" i="3"/>
  <c r="L103" i="3" s="1"/>
  <c r="O103" i="3" s="1"/>
  <c r="K102" i="3"/>
  <c r="L102" i="3" s="1"/>
  <c r="K101" i="3"/>
  <c r="L101" i="3"/>
  <c r="M101" i="3" s="1"/>
  <c r="K98" i="3"/>
  <c r="L98" i="3"/>
  <c r="O98" i="3" s="1"/>
  <c r="K97" i="3"/>
  <c r="L97" i="3"/>
  <c r="M97" i="3" s="1"/>
  <c r="K96" i="3"/>
  <c r="L96" i="3" s="1"/>
  <c r="K95" i="3"/>
  <c r="L95" i="3"/>
  <c r="K94" i="3"/>
  <c r="L94" i="3" s="1"/>
  <c r="K93" i="3"/>
  <c r="L93" i="3"/>
  <c r="K92" i="3"/>
  <c r="L92" i="3"/>
  <c r="K91" i="3"/>
  <c r="L91" i="3"/>
  <c r="K90" i="3"/>
  <c r="L90" i="3" s="1"/>
  <c r="O90" i="3" s="1"/>
  <c r="K71" i="3"/>
  <c r="L71" i="3"/>
  <c r="K70" i="3"/>
  <c r="L70" i="3"/>
  <c r="K69" i="3"/>
  <c r="L69" i="3"/>
  <c r="M69" i="3"/>
  <c r="K68" i="3"/>
  <c r="L68" i="3" s="1"/>
  <c r="K67" i="3"/>
  <c r="L67" i="3" s="1"/>
  <c r="K66" i="3"/>
  <c r="L66" i="3" s="1"/>
  <c r="M66" i="3" s="1"/>
  <c r="K65" i="3"/>
  <c r="L65" i="3"/>
  <c r="M65" i="3" s="1"/>
  <c r="K64" i="3"/>
  <c r="L64" i="3"/>
  <c r="M64" i="3"/>
  <c r="K63" i="3"/>
  <c r="L63" i="3"/>
  <c r="O63" i="3" s="1"/>
  <c r="K62" i="3"/>
  <c r="L62" i="3" s="1"/>
  <c r="O62" i="3"/>
  <c r="K61" i="3"/>
  <c r="L61" i="3"/>
  <c r="K60" i="3"/>
  <c r="L60" i="3" s="1"/>
  <c r="K59" i="3"/>
  <c r="L59" i="3" s="1"/>
  <c r="K58" i="3"/>
  <c r="L58" i="3"/>
  <c r="M58" i="3" s="1"/>
  <c r="K57" i="3"/>
  <c r="L57" i="3" s="1"/>
  <c r="K56" i="3"/>
  <c r="L56" i="3"/>
  <c r="K55" i="3"/>
  <c r="L55" i="3" s="1"/>
  <c r="K54" i="3"/>
  <c r="L54" i="3"/>
  <c r="M54" i="3" s="1"/>
  <c r="K21" i="3"/>
  <c r="L21" i="3"/>
  <c r="K20" i="3"/>
  <c r="L20" i="3" s="1"/>
  <c r="K19" i="3"/>
  <c r="L19" i="3"/>
  <c r="K18" i="3"/>
  <c r="L18" i="3" s="1"/>
  <c r="K17" i="3"/>
  <c r="L17" i="3" s="1"/>
  <c r="O17" i="3" s="1"/>
  <c r="K16" i="3"/>
  <c r="L16" i="3"/>
  <c r="K15" i="3"/>
  <c r="L15" i="3"/>
  <c r="M15" i="3" s="1"/>
  <c r="K14" i="3"/>
  <c r="L14" i="3"/>
  <c r="M14" i="3" s="1"/>
  <c r="K13" i="3"/>
  <c r="L13" i="3"/>
  <c r="K12" i="3"/>
  <c r="L12" i="3"/>
  <c r="O12" i="3" s="1"/>
  <c r="K11" i="3"/>
  <c r="L11" i="3" s="1"/>
  <c r="K10" i="3"/>
  <c r="L10" i="3" s="1"/>
  <c r="K9" i="3"/>
  <c r="L9" i="3" s="1"/>
  <c r="K8" i="3"/>
  <c r="L8" i="3"/>
  <c r="O8" i="3" s="1"/>
  <c r="K7" i="3"/>
  <c r="L7" i="3"/>
  <c r="E193" i="2" a="1"/>
  <c r="E193" i="2"/>
  <c r="E192" i="2" a="1"/>
  <c r="E192" i="2" s="1"/>
  <c r="E194" i="2"/>
  <c r="J183" i="2"/>
  <c r="K183" i="2"/>
  <c r="L183" i="2" s="1"/>
  <c r="J5" i="2"/>
  <c r="K5" i="2"/>
  <c r="J6" i="2"/>
  <c r="K6" i="2" s="1"/>
  <c r="J7" i="2"/>
  <c r="K7" i="2" s="1"/>
  <c r="N7" i="2"/>
  <c r="L7" i="2"/>
  <c r="J8" i="2"/>
  <c r="K8" i="2"/>
  <c r="N8" i="2"/>
  <c r="J9" i="2"/>
  <c r="K9" i="2"/>
  <c r="J10" i="2"/>
  <c r="K10" i="2"/>
  <c r="L10" i="2"/>
  <c r="J11" i="2"/>
  <c r="K11" i="2"/>
  <c r="J12" i="2"/>
  <c r="K12" i="2" s="1"/>
  <c r="J13" i="2"/>
  <c r="K13" i="2" s="1"/>
  <c r="J14" i="2"/>
  <c r="K14" i="2" s="1"/>
  <c r="J15" i="2"/>
  <c r="K15" i="2"/>
  <c r="J16" i="2"/>
  <c r="K16" i="2" s="1"/>
  <c r="J17" i="2"/>
  <c r="K17" i="2" s="1"/>
  <c r="J18" i="2"/>
  <c r="K18" i="2" s="1"/>
  <c r="N18" i="2" s="1"/>
  <c r="J19" i="2"/>
  <c r="K19" i="2"/>
  <c r="N19" i="2" s="1"/>
  <c r="L19" i="2"/>
  <c r="J20" i="2"/>
  <c r="K20" i="2" s="1"/>
  <c r="L20" i="2" s="1"/>
  <c r="J21" i="2"/>
  <c r="K21" i="2" s="1"/>
  <c r="J22" i="2"/>
  <c r="K22" i="2"/>
  <c r="N22" i="2" s="1"/>
  <c r="J23" i="2"/>
  <c r="K23" i="2" s="1"/>
  <c r="J24" i="2"/>
  <c r="K24" i="2"/>
  <c r="N24" i="2"/>
  <c r="J25" i="2"/>
  <c r="K25" i="2"/>
  <c r="J26" i="2"/>
  <c r="K26" i="2" s="1"/>
  <c r="L26" i="2" s="1"/>
  <c r="J27" i="2"/>
  <c r="K27" i="2"/>
  <c r="N27" i="2"/>
  <c r="J28" i="2"/>
  <c r="K28" i="2" s="1"/>
  <c r="J29" i="2"/>
  <c r="K29" i="2"/>
  <c r="J30" i="2"/>
  <c r="K30" i="2" s="1"/>
  <c r="L30" i="2"/>
  <c r="J31" i="2"/>
  <c r="K31" i="2"/>
  <c r="J32" i="2"/>
  <c r="K32" i="2" s="1"/>
  <c r="J33" i="2"/>
  <c r="K33" i="2"/>
  <c r="J34" i="2"/>
  <c r="K34" i="2"/>
  <c r="L34" i="2" s="1"/>
  <c r="J35" i="2"/>
  <c r="K35" i="2"/>
  <c r="L35" i="2" s="1"/>
  <c r="J36" i="2"/>
  <c r="K36" i="2"/>
  <c r="J37" i="2"/>
  <c r="K37" i="2" s="1"/>
  <c r="J38" i="2"/>
  <c r="K38" i="2"/>
  <c r="J39" i="2"/>
  <c r="K39" i="2"/>
  <c r="L39" i="2" s="1"/>
  <c r="N39" i="2"/>
  <c r="J40" i="2"/>
  <c r="K40" i="2"/>
  <c r="L40" i="2"/>
  <c r="J41" i="2"/>
  <c r="K41" i="2"/>
  <c r="J42" i="2"/>
  <c r="K42" i="2"/>
  <c r="L42" i="2" s="1"/>
  <c r="J43" i="2"/>
  <c r="K43" i="2" s="1"/>
  <c r="J44" i="2"/>
  <c r="K44" i="2"/>
  <c r="N44" i="2" s="1"/>
  <c r="J45" i="2"/>
  <c r="K45" i="2" s="1"/>
  <c r="J46" i="2"/>
  <c r="K46" i="2" s="1"/>
  <c r="J47" i="2"/>
  <c r="K47" i="2"/>
  <c r="N47" i="2"/>
  <c r="J48" i="2"/>
  <c r="K48" i="2"/>
  <c r="J49" i="2"/>
  <c r="K49" i="2"/>
  <c r="L49" i="2" s="1"/>
  <c r="J50" i="2"/>
  <c r="K50" i="2"/>
  <c r="J51" i="2"/>
  <c r="K51" i="2" s="1"/>
  <c r="L51" i="2" s="1"/>
  <c r="J52" i="2"/>
  <c r="K52" i="2"/>
  <c r="J53" i="2"/>
  <c r="K53" i="2" s="1"/>
  <c r="L53" i="2" s="1"/>
  <c r="J54" i="2"/>
  <c r="K54" i="2"/>
  <c r="J55" i="2"/>
  <c r="K55" i="2"/>
  <c r="J56" i="2"/>
  <c r="K56" i="2" s="1"/>
  <c r="N56" i="2" s="1"/>
  <c r="J57" i="2"/>
  <c r="K57" i="2"/>
  <c r="J58" i="2"/>
  <c r="K58" i="2" s="1"/>
  <c r="N58" i="2" s="1"/>
  <c r="J59" i="2"/>
  <c r="K59" i="2"/>
  <c r="N59" i="2" s="1"/>
  <c r="J60" i="2"/>
  <c r="K60" i="2" s="1"/>
  <c r="L60" i="2" s="1"/>
  <c r="J61" i="2"/>
  <c r="K61" i="2" s="1"/>
  <c r="L61" i="2"/>
  <c r="J62" i="2"/>
  <c r="K62" i="2"/>
  <c r="J63" i="2"/>
  <c r="K63" i="2" s="1"/>
  <c r="L63" i="2" s="1"/>
  <c r="J64" i="2"/>
  <c r="K64" i="2"/>
  <c r="L64" i="2" s="1"/>
  <c r="J65" i="2"/>
  <c r="K65" i="2" s="1"/>
  <c r="N65" i="2" s="1"/>
  <c r="J66" i="2"/>
  <c r="K66" i="2"/>
  <c r="J67" i="2"/>
  <c r="K67" i="2" s="1"/>
  <c r="N67" i="2"/>
  <c r="J68" i="2"/>
  <c r="K68" i="2"/>
  <c r="J69" i="2"/>
  <c r="K69" i="2" s="1"/>
  <c r="J70" i="2"/>
  <c r="K70" i="2"/>
  <c r="N70" i="2" s="1"/>
  <c r="J71" i="2"/>
  <c r="K71" i="2" s="1"/>
  <c r="L71" i="2" s="1"/>
  <c r="J72" i="2"/>
  <c r="K72" i="2"/>
  <c r="J73" i="2"/>
  <c r="K73" i="2"/>
  <c r="L73" i="2"/>
  <c r="J74" i="2"/>
  <c r="K74" i="2"/>
  <c r="L74" i="2" s="1"/>
  <c r="J75" i="2"/>
  <c r="K75" i="2" s="1"/>
  <c r="J76" i="2"/>
  <c r="K76" i="2"/>
  <c r="N76" i="2"/>
  <c r="J77" i="2"/>
  <c r="K77" i="2"/>
  <c r="J78" i="2"/>
  <c r="K78" i="2" s="1"/>
  <c r="J79" i="2"/>
  <c r="K79" i="2"/>
  <c r="J80" i="2"/>
  <c r="K80" i="2" s="1"/>
  <c r="J81" i="2"/>
  <c r="K81" i="2" s="1"/>
  <c r="J82" i="2"/>
  <c r="K82" i="2"/>
  <c r="J83" i="2"/>
  <c r="K83" i="2"/>
  <c r="J84" i="2"/>
  <c r="K84" i="2" s="1"/>
  <c r="J85" i="2"/>
  <c r="K85" i="2" s="1"/>
  <c r="J86" i="2"/>
  <c r="K86" i="2" s="1"/>
  <c r="J87" i="2"/>
  <c r="K87" i="2"/>
  <c r="J88" i="2"/>
  <c r="K88" i="2" s="1"/>
  <c r="N88" i="2" s="1"/>
  <c r="J89" i="2"/>
  <c r="K89" i="2"/>
  <c r="N89" i="2" s="1"/>
  <c r="J90" i="2"/>
  <c r="K90" i="2" s="1"/>
  <c r="J91" i="2"/>
  <c r="K91" i="2"/>
  <c r="L91" i="2" s="1"/>
  <c r="J92" i="2"/>
  <c r="K92" i="2" s="1"/>
  <c r="L92" i="2"/>
  <c r="J93" i="2"/>
  <c r="K93" i="2" s="1"/>
  <c r="J94" i="2"/>
  <c r="K94" i="2"/>
  <c r="J95" i="2"/>
  <c r="K95" i="2"/>
  <c r="J96" i="2"/>
  <c r="K96" i="2"/>
  <c r="J97" i="2"/>
  <c r="K97" i="2" s="1"/>
  <c r="L97" i="2" s="1"/>
  <c r="J98" i="2"/>
  <c r="K98" i="2" s="1"/>
  <c r="J99" i="2"/>
  <c r="K99" i="2" s="1"/>
  <c r="L99" i="2"/>
  <c r="J100" i="2"/>
  <c r="K100" i="2" s="1"/>
  <c r="J101" i="2"/>
  <c r="K101" i="2"/>
  <c r="J102" i="2"/>
  <c r="K102" i="2"/>
  <c r="N102" i="2" s="1"/>
  <c r="J103" i="2"/>
  <c r="K103" i="2"/>
  <c r="J104" i="2"/>
  <c r="K104" i="2" s="1"/>
  <c r="J105" i="2"/>
  <c r="K105" i="2" s="1"/>
  <c r="N105" i="2" s="1"/>
  <c r="J106" i="2"/>
  <c r="K106" i="2" s="1"/>
  <c r="J107" i="2"/>
  <c r="K107" i="2"/>
  <c r="L107" i="2" s="1"/>
  <c r="J108" i="2"/>
  <c r="K108" i="2"/>
  <c r="N108" i="2" s="1"/>
  <c r="J109" i="2"/>
  <c r="K109" i="2" s="1"/>
  <c r="J110" i="2"/>
  <c r="K110" i="2" s="1"/>
  <c r="J111" i="2"/>
  <c r="K111" i="2"/>
  <c r="J112" i="2"/>
  <c r="K112" i="2" s="1"/>
  <c r="L112" i="2"/>
  <c r="J113" i="2"/>
  <c r="K113" i="2"/>
  <c r="L113" i="2"/>
  <c r="J114" i="2"/>
  <c r="K114" i="2"/>
  <c r="J115" i="2"/>
  <c r="K115" i="2" s="1"/>
  <c r="L115" i="2"/>
  <c r="J116" i="2"/>
  <c r="K116" i="2"/>
  <c r="J117" i="2"/>
  <c r="K117" i="2" s="1"/>
  <c r="J118" i="2"/>
  <c r="K118" i="2"/>
  <c r="L118" i="2" s="1"/>
  <c r="J119" i="2"/>
  <c r="K119" i="2" s="1"/>
  <c r="N119" i="2" s="1"/>
  <c r="J120" i="2"/>
  <c r="K120" i="2"/>
  <c r="J121" i="2"/>
  <c r="K121" i="2"/>
  <c r="N121" i="2" s="1"/>
  <c r="L121" i="2"/>
  <c r="J122" i="2"/>
  <c r="K122" i="2" s="1"/>
  <c r="L122" i="2" s="1"/>
  <c r="J123" i="2"/>
  <c r="K123" i="2" s="1"/>
  <c r="J124" i="2"/>
  <c r="K124" i="2"/>
  <c r="L124" i="2" s="1"/>
  <c r="J125" i="2"/>
  <c r="K125" i="2" s="1"/>
  <c r="N125" i="2" s="1"/>
  <c r="J126" i="2"/>
  <c r="K126" i="2" s="1"/>
  <c r="J127" i="2"/>
  <c r="K127" i="2"/>
  <c r="L127" i="2"/>
  <c r="J128" i="2"/>
  <c r="K128" i="2"/>
  <c r="N128" i="2" s="1"/>
  <c r="J129" i="2"/>
  <c r="K129" i="2" s="1"/>
  <c r="J130" i="2"/>
  <c r="K130" i="2"/>
  <c r="L130" i="2"/>
  <c r="J131" i="2"/>
  <c r="K131" i="2"/>
  <c r="L131" i="2" s="1"/>
  <c r="J132" i="2"/>
  <c r="K132" i="2"/>
  <c r="J133" i="2"/>
  <c r="K133" i="2"/>
  <c r="J134" i="2"/>
  <c r="K134" i="2"/>
  <c r="N134" i="2" s="1"/>
  <c r="J135" i="2"/>
  <c r="K135" i="2"/>
  <c r="J136" i="2"/>
  <c r="K136" i="2" s="1"/>
  <c r="J137" i="2"/>
  <c r="K137" i="2"/>
  <c r="J138" i="2"/>
  <c r="K138" i="2"/>
  <c r="N138" i="2" s="1"/>
  <c r="J139" i="2"/>
  <c r="K139" i="2" s="1"/>
  <c r="L139" i="2" s="1"/>
  <c r="J140" i="2"/>
  <c r="K140" i="2"/>
  <c r="J141" i="2"/>
  <c r="K141" i="2" s="1"/>
  <c r="N141" i="2" s="1"/>
  <c r="J142" i="2"/>
  <c r="K142" i="2" s="1"/>
  <c r="J143" i="2"/>
  <c r="K143" i="2"/>
  <c r="J144" i="2"/>
  <c r="K144" i="2"/>
  <c r="J145" i="2"/>
  <c r="K145" i="2" s="1"/>
  <c r="L145" i="2" s="1"/>
  <c r="N145" i="2"/>
  <c r="J146" i="2"/>
  <c r="K146" i="2"/>
  <c r="N146" i="2" s="1"/>
  <c r="J147" i="2"/>
  <c r="K147" i="2"/>
  <c r="J148" i="2"/>
  <c r="K148" i="2" s="1"/>
  <c r="J149" i="2"/>
  <c r="K149" i="2" s="1"/>
  <c r="L149" i="2" s="1"/>
  <c r="J150" i="2"/>
  <c r="K150" i="2"/>
  <c r="N150" i="2" s="1"/>
  <c r="J151" i="2"/>
  <c r="K151" i="2"/>
  <c r="N151" i="2"/>
  <c r="J152" i="2"/>
  <c r="K152" i="2"/>
  <c r="J153" i="2"/>
  <c r="K153" i="2"/>
  <c r="J154" i="2"/>
  <c r="K154" i="2" s="1"/>
  <c r="N154" i="2" s="1"/>
  <c r="J155" i="2"/>
  <c r="K155" i="2"/>
  <c r="N155" i="2" s="1"/>
  <c r="J156" i="2"/>
  <c r="K156" i="2" s="1"/>
  <c r="J157" i="2"/>
  <c r="K157" i="2" s="1"/>
  <c r="N157" i="2" s="1"/>
  <c r="J158" i="2"/>
  <c r="K158" i="2"/>
  <c r="J159" i="2"/>
  <c r="K159" i="2" s="1"/>
  <c r="N159" i="2" s="1"/>
  <c r="J160" i="2"/>
  <c r="K160" i="2"/>
  <c r="N160" i="2" s="1"/>
  <c r="J161" i="2"/>
  <c r="K161" i="2"/>
  <c r="J162" i="2"/>
  <c r="K162" i="2" s="1"/>
  <c r="J163" i="2"/>
  <c r="K163" i="2" s="1"/>
  <c r="J164" i="2"/>
  <c r="K164" i="2" s="1"/>
  <c r="J165" i="2"/>
  <c r="K165" i="2"/>
  <c r="N165" i="2"/>
  <c r="J166" i="2"/>
  <c r="K166" i="2"/>
  <c r="L166" i="2" s="1"/>
  <c r="J167" i="2"/>
  <c r="K167" i="2"/>
  <c r="J168" i="2"/>
  <c r="K168" i="2" s="1"/>
  <c r="L168" i="2" s="1"/>
  <c r="J169" i="2"/>
  <c r="K169" i="2" s="1"/>
  <c r="J170" i="2"/>
  <c r="K170" i="2" s="1"/>
  <c r="J171" i="2"/>
  <c r="K171" i="2" s="1"/>
  <c r="N171" i="2" s="1"/>
  <c r="J172" i="2"/>
  <c r="K172" i="2"/>
  <c r="J173" i="2"/>
  <c r="K173" i="2" s="1"/>
  <c r="J174" i="2"/>
  <c r="K174" i="2" s="1"/>
  <c r="N174" i="2" s="1"/>
  <c r="L174" i="2"/>
  <c r="J175" i="2"/>
  <c r="K175" i="2"/>
  <c r="N175" i="2"/>
  <c r="J176" i="2"/>
  <c r="K176" i="2"/>
  <c r="L176" i="2" s="1"/>
  <c r="J177" i="2"/>
  <c r="K177" i="2" s="1"/>
  <c r="L177" i="2" s="1"/>
  <c r="J178" i="2"/>
  <c r="K178" i="2"/>
  <c r="N178" i="2" s="1"/>
  <c r="L178" i="2"/>
  <c r="J179" i="2"/>
  <c r="K179" i="2"/>
  <c r="J180" i="2"/>
  <c r="K180" i="2"/>
  <c r="N180" i="2" s="1"/>
  <c r="J181" i="2"/>
  <c r="K181" i="2"/>
  <c r="J182" i="2"/>
  <c r="K182" i="2" s="1"/>
  <c r="N182" i="2" s="1"/>
  <c r="J184" i="2"/>
  <c r="K184" i="2"/>
  <c r="J185" i="2"/>
  <c r="K185" i="2" s="1"/>
  <c r="N185" i="2" s="1"/>
  <c r="J186" i="2"/>
  <c r="K186" i="2"/>
  <c r="J187" i="2"/>
  <c r="K187" i="2"/>
  <c r="L187" i="2" s="1"/>
  <c r="J188" i="2"/>
  <c r="K188" i="2"/>
  <c r="L188" i="2" s="1"/>
  <c r="J4" i="2"/>
  <c r="K4" i="2"/>
  <c r="L87" i="11"/>
  <c r="L88" i="11"/>
  <c r="L76" i="2"/>
  <c r="L44" i="2"/>
  <c r="L24" i="2"/>
  <c r="H189"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4" i="2"/>
  <c r="F189" i="2"/>
  <c r="O15" i="3"/>
  <c r="O100" i="3"/>
  <c r="M62" i="3"/>
  <c r="O101" i="3"/>
  <c r="L8" i="2"/>
  <c r="L182" i="2"/>
  <c r="M86" i="3"/>
  <c r="O69" i="3"/>
  <c r="M90" i="3"/>
  <c r="G194" i="20"/>
  <c r="L4" i="2"/>
  <c r="L70" i="2"/>
  <c r="N40" i="2"/>
  <c r="L90" i="12"/>
  <c r="M63" i="3"/>
  <c r="N51" i="2"/>
  <c r="N112" i="2"/>
  <c r="N168" i="20"/>
  <c r="O168" i="20" s="1"/>
  <c r="M168" i="20"/>
  <c r="N152" i="20"/>
  <c r="O152" i="20" s="1"/>
  <c r="O136" i="20"/>
  <c r="P136" i="20"/>
  <c r="M136" i="20"/>
  <c r="N120" i="20"/>
  <c r="O120" i="20" s="1"/>
  <c r="M120" i="20"/>
  <c r="N104" i="20"/>
  <c r="O104" i="20" s="1"/>
  <c r="R104" i="20" s="1"/>
  <c r="W104" i="20" s="1"/>
  <c r="M104" i="20"/>
  <c r="N88" i="20"/>
  <c r="O88" i="20" s="1"/>
  <c r="P88" i="20"/>
  <c r="M80" i="20"/>
  <c r="N80" i="20"/>
  <c r="O80" i="20"/>
  <c r="P80" i="20"/>
  <c r="M72" i="20"/>
  <c r="N72" i="20"/>
  <c r="O72" i="20" s="1"/>
  <c r="M64" i="20"/>
  <c r="N64" i="20"/>
  <c r="O64" i="20" s="1"/>
  <c r="M56" i="20"/>
  <c r="N56" i="20"/>
  <c r="O56" i="20" s="1"/>
  <c r="R56" i="20"/>
  <c r="W56" i="20" s="1"/>
  <c r="M40" i="20"/>
  <c r="N40" i="20"/>
  <c r="O40" i="20" s="1"/>
  <c r="R40" i="20" s="1"/>
  <c r="W40" i="20" s="1"/>
  <c r="M32" i="20"/>
  <c r="N32" i="20"/>
  <c r="O32" i="20" s="1"/>
  <c r="M24" i="20"/>
  <c r="M16" i="20"/>
  <c r="N16" i="20"/>
  <c r="O16" i="20"/>
  <c r="M183" i="20"/>
  <c r="N183" i="20"/>
  <c r="O183" i="20"/>
  <c r="N170" i="20"/>
  <c r="O170" i="20"/>
  <c r="R170" i="20" s="1"/>
  <c r="W170" i="20" s="1"/>
  <c r="M162" i="20"/>
  <c r="N154" i="20"/>
  <c r="O154" i="20"/>
  <c r="R154" i="20" s="1"/>
  <c r="W154" i="20" s="1"/>
  <c r="M138" i="20"/>
  <c r="N130" i="20"/>
  <c r="O130" i="20"/>
  <c r="P130" i="20" s="1"/>
  <c r="M130" i="20"/>
  <c r="N122" i="20"/>
  <c r="O122" i="20" s="1"/>
  <c r="M122" i="20"/>
  <c r="N114" i="20"/>
  <c r="O114" i="20"/>
  <c r="P114" i="20" s="1"/>
  <c r="M114" i="20"/>
  <c r="N106" i="20"/>
  <c r="O106" i="20"/>
  <c r="P106" i="20" s="1"/>
  <c r="M106" i="20"/>
  <c r="N98" i="20"/>
  <c r="O98" i="20"/>
  <c r="M98" i="20"/>
  <c r="N90" i="20"/>
  <c r="O90" i="20"/>
  <c r="M90" i="20"/>
  <c r="M74" i="20"/>
  <c r="N58" i="20"/>
  <c r="O58" i="20" s="1"/>
  <c r="R58" i="20"/>
  <c r="W58" i="20" s="1"/>
  <c r="N42" i="20"/>
  <c r="O42" i="20"/>
  <c r="R42" i="20"/>
  <c r="W42" i="20" s="1"/>
  <c r="P42" i="20"/>
  <c r="M42" i="20"/>
  <c r="N26" i="20"/>
  <c r="O26" i="20"/>
  <c r="M26" i="20"/>
  <c r="N10" i="20"/>
  <c r="O10" i="20"/>
  <c r="R10" i="20" s="1"/>
  <c r="W10" i="20"/>
  <c r="M10" i="20"/>
  <c r="N182" i="20"/>
  <c r="O182" i="20" s="1"/>
  <c r="M182" i="20"/>
  <c r="M160" i="20"/>
  <c r="M128" i="20"/>
  <c r="N100" i="20"/>
  <c r="O100" i="20"/>
  <c r="M100" i="20"/>
  <c r="M92" i="20"/>
  <c r="N92" i="20"/>
  <c r="O92" i="20" s="1"/>
  <c r="N68" i="20"/>
  <c r="O68" i="20" s="1"/>
  <c r="M60" i="20"/>
  <c r="M36" i="20"/>
  <c r="N36" i="20"/>
  <c r="O36" i="20"/>
  <c r="M28" i="20"/>
  <c r="N28" i="20"/>
  <c r="O28" i="20"/>
  <c r="M177" i="20"/>
  <c r="N177" i="20"/>
  <c r="O177" i="20"/>
  <c r="M174" i="20"/>
  <c r="N174" i="20"/>
  <c r="O174" i="20"/>
  <c r="P174" i="20" s="1"/>
  <c r="M150" i="20"/>
  <c r="N150" i="20"/>
  <c r="O150" i="20" s="1"/>
  <c r="N142" i="20"/>
  <c r="O142" i="20"/>
  <c r="M118" i="20"/>
  <c r="N86" i="20"/>
  <c r="O86" i="20" s="1"/>
  <c r="M86" i="20"/>
  <c r="M78" i="20"/>
  <c r="N78" i="20"/>
  <c r="O78" i="20"/>
  <c r="R78" i="20"/>
  <c r="W78" i="20" s="1"/>
  <c r="N54" i="20"/>
  <c r="O54" i="20" s="1"/>
  <c r="M54" i="20"/>
  <c r="M46" i="20"/>
  <c r="N46" i="20"/>
  <c r="O46" i="20"/>
  <c r="O22" i="20"/>
  <c r="M22" i="20"/>
  <c r="N178" i="20"/>
  <c r="O178" i="20" s="1"/>
  <c r="M99" i="3"/>
  <c r="F211" i="20"/>
  <c r="I191" i="20"/>
  <c r="M184" i="20"/>
  <c r="N184" i="20"/>
  <c r="O184" i="20" s="1"/>
  <c r="P184" i="20" s="1"/>
  <c r="L90" i="22"/>
  <c r="P40" i="20"/>
  <c r="R80" i="20"/>
  <c r="W80" i="20"/>
  <c r="R136" i="20"/>
  <c r="W136" i="20" s="1"/>
  <c r="C16" i="10"/>
  <c r="B15" i="4"/>
  <c r="E15" i="4"/>
  <c r="B16" i="7"/>
  <c r="L67" i="2"/>
  <c r="O65" i="3"/>
  <c r="R161" i="20"/>
  <c r="W161" i="20" s="1"/>
  <c r="P161" i="20"/>
  <c r="N148" i="20"/>
  <c r="O148" i="20"/>
  <c r="R148" i="20" s="1"/>
  <c r="W148" i="20" s="1"/>
  <c r="M148" i="20"/>
  <c r="O99" i="20"/>
  <c r="P99" i="20" s="1"/>
  <c r="M99" i="20"/>
  <c r="N61" i="20"/>
  <c r="O61" i="20" s="1"/>
  <c r="M61" i="20"/>
  <c r="R50" i="20"/>
  <c r="W50" i="20" s="1"/>
  <c r="P50" i="20"/>
  <c r="R37" i="20"/>
  <c r="W37" i="20" s="1"/>
  <c r="P37" i="20"/>
  <c r="M27" i="20"/>
  <c r="N27" i="20"/>
  <c r="O27" i="20" s="1"/>
  <c r="M19" i="20"/>
  <c r="N19" i="20"/>
  <c r="O19" i="20" s="1"/>
  <c r="R106" i="20"/>
  <c r="W106" i="20"/>
  <c r="L96" i="2"/>
  <c r="N96" i="2"/>
  <c r="M132" i="20"/>
  <c r="N132" i="20"/>
  <c r="O132" i="20"/>
  <c r="M102" i="20"/>
  <c r="N102" i="20"/>
  <c r="O102" i="20"/>
  <c r="P102" i="20" s="1"/>
  <c r="M52" i="20"/>
  <c r="N52" i="20"/>
  <c r="O52" i="20" s="1"/>
  <c r="M14" i="20"/>
  <c r="N14" i="20"/>
  <c r="O14" i="20" s="1"/>
  <c r="H186" i="20"/>
  <c r="E202" i="20" s="1"/>
  <c r="E207" i="20"/>
  <c r="D13" i="4"/>
  <c r="E13" i="4"/>
  <c r="N175" i="20"/>
  <c r="O175" i="20"/>
  <c r="M175" i="20"/>
  <c r="P97" i="20"/>
  <c r="N66" i="20"/>
  <c r="O66" i="20"/>
  <c r="M66" i="20"/>
  <c r="P183" i="20"/>
  <c r="R183" i="20"/>
  <c r="W183" i="20" s="1"/>
  <c r="G195" i="20"/>
  <c r="G193" i="20"/>
  <c r="G196" i="20"/>
  <c r="M145" i="20"/>
  <c r="N145" i="20"/>
  <c r="O145" i="20"/>
  <c r="M121" i="20"/>
  <c r="O121" i="20"/>
  <c r="R74" i="20"/>
  <c r="W74" i="20" s="1"/>
  <c r="P74" i="20"/>
  <c r="N59" i="20"/>
  <c r="O59" i="20"/>
  <c r="P59" i="20"/>
  <c r="M59" i="20"/>
  <c r="M48" i="20"/>
  <c r="N48" i="20"/>
  <c r="O48" i="20" s="1"/>
  <c r="M41" i="20"/>
  <c r="N41" i="20"/>
  <c r="O41" i="20"/>
  <c r="T193" i="20"/>
  <c r="O97" i="3"/>
  <c r="D17" i="4"/>
  <c r="D18" i="4"/>
  <c r="N70" i="20"/>
  <c r="O70" i="20" s="1"/>
  <c r="N60" i="2"/>
  <c r="E17" i="4"/>
  <c r="E18" i="4"/>
  <c r="P10" i="20"/>
  <c r="P162" i="20"/>
  <c r="R162" i="20"/>
  <c r="W162" i="20" s="1"/>
  <c r="L155" i="2"/>
  <c r="M135" i="20"/>
  <c r="N135" i="20"/>
  <c r="O135" i="20"/>
  <c r="P135" i="20" s="1"/>
  <c r="R129" i="20"/>
  <c r="W129" i="20" s="1"/>
  <c r="M93" i="20"/>
  <c r="N93" i="20"/>
  <c r="O93" i="20"/>
  <c r="M89" i="20"/>
  <c r="N89" i="20"/>
  <c r="O89" i="20"/>
  <c r="N87" i="20"/>
  <c r="O87" i="20" s="1"/>
  <c r="P87" i="20" s="1"/>
  <c r="M87" i="20"/>
  <c r="M85" i="20"/>
  <c r="N85" i="20"/>
  <c r="O85" i="20" s="1"/>
  <c r="R85" i="20" s="1"/>
  <c r="M83" i="20"/>
  <c r="N83" i="20"/>
  <c r="O83" i="20" s="1"/>
  <c r="N77" i="20"/>
  <c r="O77" i="20"/>
  <c r="R77" i="20"/>
  <c r="P71" i="20"/>
  <c r="W71" i="20"/>
  <c r="R21" i="20"/>
  <c r="W21" i="20"/>
  <c r="P21" i="20"/>
  <c r="N18" i="20"/>
  <c r="O18" i="20"/>
  <c r="R18" i="20"/>
  <c r="M18" i="20"/>
  <c r="N107" i="2"/>
  <c r="N37" i="2"/>
  <c r="L37" i="2"/>
  <c r="M71" i="20"/>
  <c r="M21" i="20"/>
  <c r="W75" i="20"/>
  <c r="P75" i="20"/>
  <c r="N81" i="20"/>
  <c r="O81" i="20" s="1"/>
  <c r="P81" i="20" s="1"/>
  <c r="M81" i="20"/>
  <c r="P104" i="20"/>
  <c r="P78" i="20"/>
  <c r="P168" i="20"/>
  <c r="R168" i="20"/>
  <c r="W168" i="20" s="1"/>
  <c r="N10" i="2"/>
  <c r="L160" i="2"/>
  <c r="N82" i="2"/>
  <c r="L82" i="2"/>
  <c r="L29" i="2"/>
  <c r="N29" i="2"/>
  <c r="M70" i="3"/>
  <c r="O70" i="3"/>
  <c r="M91" i="3"/>
  <c r="O91" i="3"/>
  <c r="N167" i="2"/>
  <c r="L167" i="2"/>
  <c r="N87" i="2"/>
  <c r="L87" i="2"/>
  <c r="N79" i="2"/>
  <c r="L79" i="2"/>
  <c r="R142" i="20"/>
  <c r="W142" i="20"/>
  <c r="P142" i="20"/>
  <c r="M96" i="20"/>
  <c r="M108" i="3"/>
  <c r="O64" i="3"/>
  <c r="L162" i="2"/>
  <c r="N162" i="2"/>
  <c r="L5" i="2"/>
  <c r="N5" i="2"/>
  <c r="L108" i="2"/>
  <c r="N131" i="2"/>
  <c r="O58" i="3"/>
  <c r="E210" i="20"/>
  <c r="N144" i="20"/>
  <c r="O144" i="20"/>
  <c r="P144" i="20"/>
  <c r="M144" i="20"/>
  <c r="R128" i="20"/>
  <c r="W128" i="20" s="1"/>
  <c r="P128" i="20"/>
  <c r="N123" i="20"/>
  <c r="O123" i="20"/>
  <c r="M123" i="20"/>
  <c r="N23" i="20"/>
  <c r="O23" i="20" s="1"/>
  <c r="R23" i="20" s="1"/>
  <c r="M23" i="20"/>
  <c r="R17" i="20"/>
  <c r="W17" i="20" s="1"/>
  <c r="P17" i="20"/>
  <c r="N99" i="2"/>
  <c r="N176" i="20"/>
  <c r="O176" i="20" s="1"/>
  <c r="R176" i="20" s="1"/>
  <c r="M176" i="20"/>
  <c r="M73" i="20"/>
  <c r="N73" i="20"/>
  <c r="O73" i="20"/>
  <c r="M67" i="20"/>
  <c r="N67" i="20"/>
  <c r="O67" i="20"/>
  <c r="P67" i="20" s="1"/>
  <c r="M62" i="20"/>
  <c r="N62" i="20"/>
  <c r="O62" i="20"/>
  <c r="M51" i="20"/>
  <c r="N51" i="20"/>
  <c r="O51" i="20"/>
  <c r="N49" i="20"/>
  <c r="O49" i="20" s="1"/>
  <c r="P49" i="20" s="1"/>
  <c r="M49" i="20"/>
  <c r="R47" i="20"/>
  <c r="W47" i="20"/>
  <c r="P47" i="20"/>
  <c r="R45" i="20"/>
  <c r="W45" i="20"/>
  <c r="P45" i="20"/>
  <c r="N167" i="20"/>
  <c r="O167" i="20"/>
  <c r="R167" i="20" s="1"/>
  <c r="W167" i="20" s="1"/>
  <c r="M167" i="20"/>
  <c r="N119" i="20"/>
  <c r="O119" i="20" s="1"/>
  <c r="R119" i="20" s="1"/>
  <c r="M119" i="20"/>
  <c r="N109" i="20"/>
  <c r="O109" i="20" s="1"/>
  <c r="M109" i="20"/>
  <c r="N69" i="20"/>
  <c r="O69" i="20" s="1"/>
  <c r="M69" i="20"/>
  <c r="N39" i="20"/>
  <c r="O39" i="20" s="1"/>
  <c r="M39" i="20"/>
  <c r="M35" i="20"/>
  <c r="N35" i="20"/>
  <c r="O35" i="20" s="1"/>
  <c r="P35" i="20" s="1"/>
  <c r="N31" i="20"/>
  <c r="O31" i="20"/>
  <c r="P31" i="20"/>
  <c r="M31" i="20"/>
  <c r="C186" i="20"/>
  <c r="F209" i="20"/>
  <c r="M47" i="20"/>
  <c r="M17" i="20"/>
  <c r="N76" i="20"/>
  <c r="O76" i="20"/>
  <c r="P76" i="20"/>
  <c r="M143" i="20"/>
  <c r="M129" i="20"/>
  <c r="M97" i="20"/>
  <c r="O171" i="20"/>
  <c r="P58" i="20"/>
  <c r="R138" i="20"/>
  <c r="W138" i="20"/>
  <c r="P138" i="20"/>
  <c r="L154" i="2"/>
  <c r="R114" i="20"/>
  <c r="W114" i="20"/>
  <c r="N114" i="2"/>
  <c r="L114" i="2"/>
  <c r="O89" i="3"/>
  <c r="M89" i="3"/>
  <c r="M164" i="20"/>
  <c r="N164" i="20"/>
  <c r="O164" i="20"/>
  <c r="R164" i="20" s="1"/>
  <c r="W164" i="20" s="1"/>
  <c r="N159" i="20"/>
  <c r="O159" i="20"/>
  <c r="P159" i="20" s="1"/>
  <c r="M159" i="20"/>
  <c r="N140" i="20"/>
  <c r="O140" i="20" s="1"/>
  <c r="M140" i="20"/>
  <c r="L175" i="2"/>
  <c r="N172" i="2"/>
  <c r="L172" i="2"/>
  <c r="N169" i="2"/>
  <c r="L169" i="2"/>
  <c r="N166" i="2"/>
  <c r="N163" i="2"/>
  <c r="L163" i="2"/>
  <c r="N161" i="2"/>
  <c r="L161" i="2"/>
  <c r="L119" i="2"/>
  <c r="N116" i="2"/>
  <c r="L116" i="2"/>
  <c r="M146" i="20"/>
  <c r="N146" i="20"/>
  <c r="O146" i="20" s="1"/>
  <c r="R146" i="20" s="1"/>
  <c r="R16" i="20"/>
  <c r="W16" i="20" s="1"/>
  <c r="P16" i="20"/>
  <c r="P56" i="20"/>
  <c r="N144" i="2"/>
  <c r="L144" i="2"/>
  <c r="L140" i="2"/>
  <c r="N140" i="2"/>
  <c r="L137" i="2"/>
  <c r="N137" i="2"/>
  <c r="N133" i="2"/>
  <c r="L133" i="2"/>
  <c r="C16" i="7"/>
  <c r="R86" i="20"/>
  <c r="W86" i="20" s="1"/>
  <c r="P86" i="20"/>
  <c r="P177" i="20"/>
  <c r="R177" i="20"/>
  <c r="W177" i="20"/>
  <c r="R132" i="20"/>
  <c r="W132" i="20"/>
  <c r="P132" i="20"/>
  <c r="R122" i="20"/>
  <c r="W122" i="20"/>
  <c r="P122" i="20"/>
  <c r="P32" i="20"/>
  <c r="R32" i="20"/>
  <c r="W32" i="20"/>
  <c r="R120" i="20"/>
  <c r="W120" i="20" s="1"/>
  <c r="P120" i="20"/>
  <c r="N149" i="2"/>
  <c r="N109" i="2"/>
  <c r="L109" i="2"/>
  <c r="L89" i="2"/>
  <c r="N75" i="2"/>
  <c r="L75" i="2"/>
  <c r="N69" i="2"/>
  <c r="L69" i="2"/>
  <c r="L66" i="2"/>
  <c r="N66" i="2"/>
  <c r="N63" i="2"/>
  <c r="N61" i="2"/>
  <c r="L50" i="2"/>
  <c r="N50" i="2"/>
  <c r="O13" i="3"/>
  <c r="M13" i="3"/>
  <c r="M55" i="3"/>
  <c r="O55" i="3"/>
  <c r="M98" i="3"/>
  <c r="N127" i="2"/>
  <c r="L151" i="2"/>
  <c r="M17" i="3"/>
  <c r="L165" i="2"/>
  <c r="N34" i="2"/>
  <c r="N187" i="2"/>
  <c r="L181" i="2"/>
  <c r="N181" i="2"/>
  <c r="N176" i="2"/>
  <c r="N168" i="2"/>
  <c r="N153" i="2"/>
  <c r="L153" i="2"/>
  <c r="N148" i="2"/>
  <c r="L148" i="2"/>
  <c r="N139" i="2"/>
  <c r="N136" i="2"/>
  <c r="L136" i="2"/>
  <c r="L128" i="2"/>
  <c r="L125" i="2"/>
  <c r="N113" i="2"/>
  <c r="N94" i="2"/>
  <c r="L94" i="2"/>
  <c r="N92" i="2"/>
  <c r="N84" i="2"/>
  <c r="L84" i="2"/>
  <c r="N71" i="2"/>
  <c r="N38" i="2"/>
  <c r="L38" i="2"/>
  <c r="N26" i="2"/>
  <c r="L15" i="2"/>
  <c r="N15" i="2"/>
  <c r="O7" i="3"/>
  <c r="M7" i="3"/>
  <c r="M56" i="3"/>
  <c r="O56" i="3"/>
  <c r="M5" i="3"/>
  <c r="F210" i="20"/>
  <c r="R116" i="20"/>
  <c r="W116" i="20" s="1"/>
  <c r="P116" i="20"/>
  <c r="D15" i="4"/>
  <c r="C15" i="4"/>
  <c r="R118" i="20"/>
  <c r="W118" i="20" s="1"/>
  <c r="P118" i="20"/>
  <c r="P24" i="20"/>
  <c r="R24" i="20"/>
  <c r="W24" i="20" s="1"/>
  <c r="R88" i="20"/>
  <c r="W88" i="20" s="1"/>
  <c r="L186" i="2"/>
  <c r="N186" i="2"/>
  <c r="L171" i="2"/>
  <c r="N158" i="2"/>
  <c r="L158" i="2"/>
  <c r="N142" i="2"/>
  <c r="L142" i="2"/>
  <c r="L117" i="2"/>
  <c r="N117" i="2"/>
  <c r="L103" i="2"/>
  <c r="N103" i="2"/>
  <c r="N73" i="2"/>
  <c r="L56" i="2"/>
  <c r="N52" i="2"/>
  <c r="L52" i="2"/>
  <c r="N25" i="2"/>
  <c r="L25" i="2"/>
  <c r="N17" i="2"/>
  <c r="L17" i="2"/>
  <c r="M8" i="3"/>
  <c r="O14" i="3"/>
  <c r="O59" i="3"/>
  <c r="M59" i="3"/>
  <c r="C14" i="7"/>
  <c r="C15" i="7"/>
  <c r="D14" i="7"/>
  <c r="D15" i="7"/>
  <c r="B15" i="7"/>
  <c r="E14" i="7"/>
  <c r="E15" i="7" s="1"/>
  <c r="R33" i="20"/>
  <c r="W33" i="20"/>
  <c r="P33" i="20"/>
  <c r="M110" i="20"/>
  <c r="N110" i="20"/>
  <c r="O110" i="20" s="1"/>
  <c r="N107" i="20"/>
  <c r="O107" i="20" s="1"/>
  <c r="P107" i="20" s="1"/>
  <c r="M107" i="20"/>
  <c r="L191" i="20"/>
  <c r="L211" i="20" s="1"/>
  <c r="L44" i="20"/>
  <c r="N44" i="20" s="1"/>
  <c r="O44" i="20" s="1"/>
  <c r="R60" i="20"/>
  <c r="W60" i="20" s="1"/>
  <c r="P60" i="20"/>
  <c r="N130" i="2"/>
  <c r="N4" i="2"/>
  <c r="L150" i="2"/>
  <c r="L138" i="2"/>
  <c r="L134" i="2"/>
  <c r="N111" i="2"/>
  <c r="L111" i="2"/>
  <c r="N48" i="2"/>
  <c r="L48" i="2"/>
  <c r="N42" i="2"/>
  <c r="L36" i="2"/>
  <c r="N36" i="2"/>
  <c r="N28" i="2"/>
  <c r="L28" i="2"/>
  <c r="M9" i="3"/>
  <c r="O9" i="3"/>
  <c r="O54" i="3"/>
  <c r="O68" i="3"/>
  <c r="M68" i="3"/>
  <c r="O92" i="3"/>
  <c r="M92" i="3"/>
  <c r="M95" i="3"/>
  <c r="O95" i="3"/>
  <c r="M102" i="3"/>
  <c r="O102" i="3"/>
  <c r="I209" i="20"/>
  <c r="J211" i="20"/>
  <c r="F193" i="20"/>
  <c r="I212" i="20" s="1"/>
  <c r="R84" i="20"/>
  <c r="W84" i="20"/>
  <c r="P84" i="20"/>
  <c r="L113" i="20"/>
  <c r="I188" i="20"/>
  <c r="N97" i="2"/>
  <c r="M103" i="3"/>
  <c r="L47" i="2"/>
  <c r="M12" i="3"/>
  <c r="N64" i="2"/>
  <c r="R13" i="20"/>
  <c r="W13" i="20" s="1"/>
  <c r="P13" i="20"/>
  <c r="N151" i="20"/>
  <c r="O151" i="20"/>
  <c r="P151" i="20" s="1"/>
  <c r="M151" i="20"/>
  <c r="N115" i="20"/>
  <c r="O115" i="20"/>
  <c r="P115" i="20" s="1"/>
  <c r="M115" i="20"/>
  <c r="N103" i="20"/>
  <c r="O103" i="20" s="1"/>
  <c r="M103" i="20"/>
  <c r="N11" i="20"/>
  <c r="O11" i="20" s="1"/>
  <c r="R11" i="20" s="1"/>
  <c r="W11" i="20" s="1"/>
  <c r="M11" i="20"/>
  <c r="R171" i="20"/>
  <c r="W171" i="20" s="1"/>
  <c r="P171" i="20"/>
  <c r="N124" i="20"/>
  <c r="O124" i="20" s="1"/>
  <c r="M124" i="20"/>
  <c r="M53" i="20"/>
  <c r="N53" i="20"/>
  <c r="O53" i="20"/>
  <c r="L38" i="20"/>
  <c r="M157" i="20"/>
  <c r="N157" i="20"/>
  <c r="O157" i="20" s="1"/>
  <c r="M155" i="20"/>
  <c r="N155" i="20"/>
  <c r="O155" i="20"/>
  <c r="P155" i="20"/>
  <c r="N147" i="20"/>
  <c r="O147" i="20"/>
  <c r="R147" i="20" s="1"/>
  <c r="W147" i="20" s="1"/>
  <c r="M147" i="20"/>
  <c r="M126" i="20"/>
  <c r="N126" i="20"/>
  <c r="O126" i="20"/>
  <c r="R126" i="20"/>
  <c r="W126" i="20" s="1"/>
  <c r="N111" i="20"/>
  <c r="O111" i="20" s="1"/>
  <c r="M111" i="20"/>
  <c r="N105" i="20"/>
  <c r="O105" i="20" s="1"/>
  <c r="R105" i="20"/>
  <c r="W105" i="20" s="1"/>
  <c r="M105" i="20"/>
  <c r="M94" i="20"/>
  <c r="N94" i="20"/>
  <c r="O94" i="20"/>
  <c r="R94" i="20" s="1"/>
  <c r="N169" i="20"/>
  <c r="O169" i="20" s="1"/>
  <c r="M169" i="20"/>
  <c r="N141" i="20"/>
  <c r="O141" i="20"/>
  <c r="R141" i="20" s="1"/>
  <c r="W141" i="20" s="1"/>
  <c r="M141" i="20"/>
  <c r="N127" i="20"/>
  <c r="O127" i="20" s="1"/>
  <c r="P127" i="20" s="1"/>
  <c r="M127" i="20"/>
  <c r="M116" i="20"/>
  <c r="N29" i="20"/>
  <c r="O29" i="20" s="1"/>
  <c r="P29" i="20" s="1"/>
  <c r="M29" i="20"/>
  <c r="M25" i="20"/>
  <c r="N25" i="20"/>
  <c r="O25" i="20" s="1"/>
  <c r="M180" i="20"/>
  <c r="N180" i="20"/>
  <c r="O180" i="20" s="1"/>
  <c r="O172" i="20"/>
  <c r="N108" i="20"/>
  <c r="O108" i="20" s="1"/>
  <c r="M108" i="20"/>
  <c r="N101" i="20"/>
  <c r="O101" i="20" s="1"/>
  <c r="R101" i="20" s="1"/>
  <c r="W101" i="20" s="1"/>
  <c r="M101" i="20"/>
  <c r="M12" i="20"/>
  <c r="N12" i="20"/>
  <c r="O12" i="20" s="1"/>
  <c r="M181" i="20"/>
  <c r="N181" i="20"/>
  <c r="O181" i="20" s="1"/>
  <c r="P181" i="20" s="1"/>
  <c r="R59" i="20"/>
  <c r="W59" i="20" s="1"/>
  <c r="P175" i="20"/>
  <c r="R175" i="20"/>
  <c r="W175" i="20" s="1"/>
  <c r="R102" i="20"/>
  <c r="W102" i="20"/>
  <c r="R19" i="20"/>
  <c r="W19" i="20" s="1"/>
  <c r="P19" i="20"/>
  <c r="R145" i="20"/>
  <c r="W145" i="20"/>
  <c r="P145" i="20"/>
  <c r="R144" i="20"/>
  <c r="W144" i="20" s="1"/>
  <c r="R76" i="20"/>
  <c r="W76" i="20" s="1"/>
  <c r="R73" i="20"/>
  <c r="W73" i="20" s="1"/>
  <c r="P73" i="20"/>
  <c r="W85" i="20"/>
  <c r="R31" i="20"/>
  <c r="W31" i="20"/>
  <c r="R49" i="20"/>
  <c r="W49" i="20"/>
  <c r="R123" i="20"/>
  <c r="W123" i="20" s="1"/>
  <c r="P123" i="20"/>
  <c r="R81" i="20"/>
  <c r="W81" i="20"/>
  <c r="R93" i="20"/>
  <c r="W93" i="20" s="1"/>
  <c r="P93" i="20"/>
  <c r="R135" i="20"/>
  <c r="W135" i="20" s="1"/>
  <c r="W77" i="20"/>
  <c r="R67" i="20"/>
  <c r="W67" i="20"/>
  <c r="W18" i="20"/>
  <c r="P18" i="20"/>
  <c r="R87" i="20"/>
  <c r="W87" i="20" s="1"/>
  <c r="W94" i="20"/>
  <c r="P126" i="20"/>
  <c r="R155" i="20"/>
  <c r="W155" i="20"/>
  <c r="M113" i="20"/>
  <c r="N113" i="20"/>
  <c r="O113" i="20"/>
  <c r="P113" i="20" s="1"/>
  <c r="L188" i="20"/>
  <c r="M44" i="20"/>
  <c r="P146" i="20"/>
  <c r="W146" i="20"/>
  <c r="R181" i="20"/>
  <c r="W181" i="20" s="1"/>
  <c r="R172" i="20"/>
  <c r="W172" i="20" s="1"/>
  <c r="P172" i="20"/>
  <c r="R107" i="20"/>
  <c r="W107" i="20"/>
  <c r="P141" i="20"/>
  <c r="R115" i="20"/>
  <c r="W115" i="20"/>
  <c r="R151" i="20"/>
  <c r="W151" i="20"/>
  <c r="P101" i="20"/>
  <c r="P180" i="20"/>
  <c r="R180" i="20"/>
  <c r="W180" i="20" s="1"/>
  <c r="P164" i="20"/>
  <c r="R44" i="20"/>
  <c r="W44" i="20" s="1"/>
  <c r="P44" i="20"/>
  <c r="L131" i="20"/>
  <c r="P119" i="20"/>
  <c r="W119" i="20"/>
  <c r="R89" i="20"/>
  <c r="W89" i="20"/>
  <c r="P89" i="20"/>
  <c r="P41" i="20"/>
  <c r="R41" i="20"/>
  <c r="W41" i="20" s="1"/>
  <c r="P66" i="20"/>
  <c r="R66" i="20"/>
  <c r="W66" i="20" s="1"/>
  <c r="P46" i="20"/>
  <c r="R46" i="20"/>
  <c r="R54" i="20"/>
  <c r="W54" i="20"/>
  <c r="P54" i="20"/>
  <c r="R150" i="20"/>
  <c r="W150" i="20"/>
  <c r="P150" i="20"/>
  <c r="P182" i="20"/>
  <c r="R182" i="20"/>
  <c r="W182" i="20" s="1"/>
  <c r="R26" i="20"/>
  <c r="W26" i="20" s="1"/>
  <c r="P26" i="20"/>
  <c r="P90" i="20"/>
  <c r="R90" i="20"/>
  <c r="W90" i="20" s="1"/>
  <c r="N106" i="2"/>
  <c r="L106" i="2"/>
  <c r="L81" i="2"/>
  <c r="N81" i="2"/>
  <c r="N57" i="2"/>
  <c r="L57" i="2"/>
  <c r="N54" i="2"/>
  <c r="L54" i="2"/>
  <c r="N41" i="2"/>
  <c r="L41" i="2"/>
  <c r="N23" i="2"/>
  <c r="L23" i="2"/>
  <c r="L6" i="2"/>
  <c r="N6" i="2"/>
  <c r="O87" i="3"/>
  <c r="M87" i="3"/>
  <c r="R143" i="20"/>
  <c r="W143" i="20"/>
  <c r="P143" i="20"/>
  <c r="M137" i="20"/>
  <c r="N137" i="20"/>
  <c r="O137" i="20" s="1"/>
  <c r="M134" i="20"/>
  <c r="N134" i="20"/>
  <c r="O134" i="20" s="1"/>
  <c r="P134" i="20" s="1"/>
  <c r="I189" i="20"/>
  <c r="I192" i="20"/>
  <c r="I193" i="20" s="1"/>
  <c r="P96" i="20"/>
  <c r="R96" i="20"/>
  <c r="W96" i="20"/>
  <c r="N179" i="20"/>
  <c r="O179" i="20" s="1"/>
  <c r="M179" i="20"/>
  <c r="S6" i="20"/>
  <c r="T2" i="20" s="1"/>
  <c r="N20" i="2"/>
  <c r="R51" i="20"/>
  <c r="W51" i="20"/>
  <c r="P51" i="20"/>
  <c r="N91" i="2"/>
  <c r="N49" i="2"/>
  <c r="R121" i="20"/>
  <c r="W121" i="20"/>
  <c r="P121" i="20"/>
  <c r="R52" i="20"/>
  <c r="W52" i="20"/>
  <c r="P52" i="20"/>
  <c r="R178" i="20"/>
  <c r="W178" i="20"/>
  <c r="P178" i="20"/>
  <c r="P68" i="20"/>
  <c r="R68" i="20"/>
  <c r="W68" i="20"/>
  <c r="P72" i="20"/>
  <c r="R72" i="20"/>
  <c r="W72" i="20" s="1"/>
  <c r="P152" i="20"/>
  <c r="R152" i="20"/>
  <c r="W152" i="20" s="1"/>
  <c r="L184" i="2"/>
  <c r="N184" i="2"/>
  <c r="N164" i="2"/>
  <c r="L164" i="2"/>
  <c r="L157" i="2"/>
  <c r="N152" i="2"/>
  <c r="L152" i="2"/>
  <c r="L147" i="2"/>
  <c r="N147" i="2"/>
  <c r="N143" i="2"/>
  <c r="L143" i="2"/>
  <c r="N135" i="2"/>
  <c r="L135" i="2"/>
  <c r="L129" i="2"/>
  <c r="N129" i="2"/>
  <c r="L90" i="2"/>
  <c r="N90" i="2"/>
  <c r="L80" i="2"/>
  <c r="N80" i="2"/>
  <c r="L59" i="2"/>
  <c r="L46" i="2"/>
  <c r="N46" i="2"/>
  <c r="L43" i="2"/>
  <c r="N43" i="2"/>
  <c r="L32" i="2"/>
  <c r="N32" i="2"/>
  <c r="L11" i="2"/>
  <c r="N11" i="2"/>
  <c r="N9" i="2"/>
  <c r="L9" i="2"/>
  <c r="N205" i="20" a="1"/>
  <c r="N205" i="20" s="1"/>
  <c r="N210" i="20" s="1"/>
  <c r="R159" i="20"/>
  <c r="W159" i="20" s="1"/>
  <c r="R29" i="20"/>
  <c r="W29" i="20" s="1"/>
  <c r="R35" i="20"/>
  <c r="W35" i="20" s="1"/>
  <c r="P77" i="20"/>
  <c r="P85" i="20"/>
  <c r="P148" i="20"/>
  <c r="L27" i="2"/>
  <c r="R109" i="20"/>
  <c r="W109" i="20" s="1"/>
  <c r="P109" i="20"/>
  <c r="P23" i="20"/>
  <c r="W23" i="20"/>
  <c r="N115" i="2"/>
  <c r="L88" i="2"/>
  <c r="R174" i="20"/>
  <c r="W174" i="20"/>
  <c r="R36" i="20"/>
  <c r="P36" i="20"/>
  <c r="P100" i="20"/>
  <c r="R100" i="20"/>
  <c r="W100" i="20" s="1"/>
  <c r="R64" i="20"/>
  <c r="W64" i="20" s="1"/>
  <c r="P64" i="20"/>
  <c r="L173" i="2"/>
  <c r="N173" i="2"/>
  <c r="L120" i="2"/>
  <c r="N120" i="2"/>
  <c r="L105" i="2"/>
  <c r="N98" i="2"/>
  <c r="L98" i="2"/>
  <c r="N95" i="2"/>
  <c r="L95" i="2"/>
  <c r="N86" i="2"/>
  <c r="L86" i="2"/>
  <c r="L83" i="2"/>
  <c r="N83" i="2"/>
  <c r="N45" i="2"/>
  <c r="L45" i="2"/>
  <c r="N16" i="2"/>
  <c r="L16" i="2"/>
  <c r="N13" i="2"/>
  <c r="L13" i="2"/>
  <c r="M16" i="3"/>
  <c r="O16" i="3"/>
  <c r="M19" i="3"/>
  <c r="O19" i="3"/>
  <c r="O61" i="3"/>
  <c r="M61" i="3"/>
  <c r="O66" i="3"/>
  <c r="O93" i="3"/>
  <c r="M93" i="3"/>
  <c r="O105" i="3"/>
  <c r="M105" i="3"/>
  <c r="M6" i="3"/>
  <c r="O6" i="3"/>
  <c r="L205" i="20" a="1"/>
  <c r="L205" i="20" s="1"/>
  <c r="L210" i="20" s="1"/>
  <c r="N38" i="20"/>
  <c r="O38" i="20"/>
  <c r="P38" i="20" s="1"/>
  <c r="P105" i="20"/>
  <c r="P167" i="20"/>
  <c r="N188" i="2"/>
  <c r="R62" i="20"/>
  <c r="W62" i="20" s="1"/>
  <c r="P62" i="20"/>
  <c r="P176" i="20"/>
  <c r="W176" i="20"/>
  <c r="P48" i="20"/>
  <c r="R48" i="20"/>
  <c r="W48" i="20"/>
  <c r="R98" i="20"/>
  <c r="W98" i="20" s="1"/>
  <c r="P98" i="20"/>
  <c r="N177" i="2"/>
  <c r="N126" i="2"/>
  <c r="L126" i="2"/>
  <c r="N101" i="2"/>
  <c r="L101" i="2"/>
  <c r="N85" i="2"/>
  <c r="L85" i="2"/>
  <c r="L68" i="2"/>
  <c r="N68" i="2"/>
  <c r="N33" i="2"/>
  <c r="L33" i="2"/>
  <c r="M11" i="3"/>
  <c r="O11" i="3"/>
  <c r="M85" i="3"/>
  <c r="O85" i="3"/>
  <c r="P154" i="20"/>
  <c r="O20" i="3"/>
  <c r="M20" i="3"/>
  <c r="O94" i="3"/>
  <c r="M94" i="3"/>
  <c r="M106" i="3"/>
  <c r="O106" i="3"/>
  <c r="B19" i="7"/>
  <c r="E18" i="7"/>
  <c r="E19" i="7"/>
  <c r="N34" i="20"/>
  <c r="O34" i="20" s="1"/>
  <c r="M34" i="20"/>
  <c r="L180" i="2"/>
  <c r="N124" i="2"/>
  <c r="N72" i="2"/>
  <c r="L72" i="2"/>
  <c r="N30" i="2"/>
  <c r="M149" i="20"/>
  <c r="N149" i="20"/>
  <c r="O149" i="20"/>
  <c r="R79" i="20"/>
  <c r="W79" i="20"/>
  <c r="P79" i="20"/>
  <c r="L179" i="2"/>
  <c r="N179" i="2"/>
  <c r="N35" i="2"/>
  <c r="O10" i="3"/>
  <c r="M10" i="3"/>
  <c r="O18" i="3"/>
  <c r="M18" i="3"/>
  <c r="C17" i="4"/>
  <c r="C18" i="4" s="1"/>
  <c r="B18" i="4"/>
  <c r="R30" i="20"/>
  <c r="W30" i="20"/>
  <c r="P30" i="20"/>
  <c r="N166" i="20"/>
  <c r="O166" i="20" s="1"/>
  <c r="M166" i="20"/>
  <c r="P160" i="20"/>
  <c r="R160" i="20"/>
  <c r="W160" i="20"/>
  <c r="N65" i="20"/>
  <c r="O65" i="20" s="1"/>
  <c r="M65" i="20"/>
  <c r="M104" i="3"/>
  <c r="M165" i="20"/>
  <c r="N165" i="20"/>
  <c r="O165" i="20"/>
  <c r="R165" i="20" s="1"/>
  <c r="N156" i="20"/>
  <c r="O156" i="20" s="1"/>
  <c r="M156" i="20"/>
  <c r="N133" i="20"/>
  <c r="O133" i="20"/>
  <c r="M133" i="20"/>
  <c r="N117" i="20"/>
  <c r="O117" i="20" s="1"/>
  <c r="R117" i="20" s="1"/>
  <c r="N82" i="20"/>
  <c r="O82" i="20" s="1"/>
  <c r="R82" i="20" s="1"/>
  <c r="M82" i="20"/>
  <c r="N43" i="20"/>
  <c r="O43" i="20"/>
  <c r="R43" i="20" s="1"/>
  <c r="M43" i="20"/>
  <c r="N95" i="20"/>
  <c r="O95" i="20" s="1"/>
  <c r="P95" i="20" s="1"/>
  <c r="M95" i="20"/>
  <c r="N91" i="20"/>
  <c r="O91" i="20"/>
  <c r="M91" i="20"/>
  <c r="N63" i="20"/>
  <c r="O63" i="20"/>
  <c r="M63" i="20"/>
  <c r="M20" i="20"/>
  <c r="N20" i="20"/>
  <c r="O20" i="20"/>
  <c r="P20" i="20" s="1"/>
  <c r="M172" i="20"/>
  <c r="N55" i="20"/>
  <c r="O55" i="20"/>
  <c r="P65" i="20"/>
  <c r="R65" i="20"/>
  <c r="W65" i="20" s="1"/>
  <c r="R38" i="20"/>
  <c r="W38" i="20" s="1"/>
  <c r="W36" i="20"/>
  <c r="R137" i="20"/>
  <c r="W137" i="20" s="1"/>
  <c r="P137" i="20"/>
  <c r="R34" i="20"/>
  <c r="W34" i="20" s="1"/>
  <c r="P34" i="20"/>
  <c r="T4" i="20"/>
  <c r="T3" i="20"/>
  <c r="M131" i="20"/>
  <c r="N204" i="20" a="1"/>
  <c r="N204" i="20" s="1"/>
  <c r="N209" i="20" s="1"/>
  <c r="L189" i="20"/>
  <c r="L192" i="20"/>
  <c r="L186" i="20"/>
  <c r="L187" i="20" s="1"/>
  <c r="N131" i="20"/>
  <c r="O131" i="20"/>
  <c r="N206" i="20" a="1"/>
  <c r="N206" i="20"/>
  <c r="L206" i="20" a="1"/>
  <c r="L206" i="20" s="1"/>
  <c r="W82" i="20"/>
  <c r="P82" i="20"/>
  <c r="R20" i="20"/>
  <c r="W20" i="20" s="1"/>
  <c r="W117" i="20"/>
  <c r="P117" i="20"/>
  <c r="R156" i="20"/>
  <c r="W156" i="20" s="1"/>
  <c r="P156" i="20"/>
  <c r="R134" i="20"/>
  <c r="W134" i="20" s="1"/>
  <c r="W46" i="20"/>
  <c r="P91" i="20"/>
  <c r="R91" i="20"/>
  <c r="W91" i="20"/>
  <c r="P43" i="20"/>
  <c r="W43" i="20"/>
  <c r="P165" i="20"/>
  <c r="W165" i="20"/>
  <c r="R149" i="20"/>
  <c r="W149" i="20" s="1"/>
  <c r="P149" i="20"/>
  <c r="R131" i="20"/>
  <c r="W131" i="20" s="1"/>
  <c r="P131" i="20"/>
  <c r="C19" i="5" l="1"/>
  <c r="C7" i="23"/>
  <c r="C7" i="15"/>
  <c r="C7" i="16"/>
  <c r="B7" i="7"/>
  <c r="B12" i="7" s="1"/>
  <c r="C7" i="6"/>
  <c r="B17" i="7"/>
  <c r="B7" i="4"/>
  <c r="B12" i="4" s="1"/>
  <c r="C9" i="10"/>
  <c r="E14" i="10" s="1"/>
  <c r="B4" i="7"/>
  <c r="C7" i="22"/>
  <c r="B4" i="4"/>
  <c r="C7" i="11"/>
  <c r="C7" i="14"/>
  <c r="C17" i="5"/>
  <c r="C7" i="12"/>
  <c r="C7" i="8"/>
  <c r="C7" i="10"/>
  <c r="R12" i="20"/>
  <c r="P12" i="20"/>
  <c r="O191" i="20"/>
  <c r="P157" i="20"/>
  <c r="R157" i="20"/>
  <c r="W157" i="20" s="1"/>
  <c r="P39" i="20"/>
  <c r="R39" i="20"/>
  <c r="R63" i="20"/>
  <c r="W63" i="20" s="1"/>
  <c r="P63" i="20"/>
  <c r="P25" i="20"/>
  <c r="R25" i="20"/>
  <c r="W25" i="20" s="1"/>
  <c r="R83" i="20"/>
  <c r="W83" i="20" s="1"/>
  <c r="P83" i="20"/>
  <c r="R95" i="20"/>
  <c r="W95" i="20" s="1"/>
  <c r="R55" i="20"/>
  <c r="W55" i="20" s="1"/>
  <c r="P55" i="20"/>
  <c r="L116" i="3" a="1"/>
  <c r="L116" i="3" s="1"/>
  <c r="M57" i="3"/>
  <c r="O57" i="3"/>
  <c r="R111" i="20"/>
  <c r="W111" i="20" s="1"/>
  <c r="P111" i="20"/>
  <c r="N110" i="2"/>
  <c r="K192" i="2" a="1"/>
  <c r="K192" i="2" s="1"/>
  <c r="L110" i="2"/>
  <c r="K189" i="2"/>
  <c r="K199" i="2" s="1"/>
  <c r="K193" i="2" a="1"/>
  <c r="K193" i="2" s="1"/>
  <c r="R166" i="20"/>
  <c r="W166" i="20" s="1"/>
  <c r="P166" i="20"/>
  <c r="P179" i="20"/>
  <c r="R179" i="20"/>
  <c r="W179" i="20" s="1"/>
  <c r="R108" i="20"/>
  <c r="W108" i="20" s="1"/>
  <c r="P108" i="20"/>
  <c r="R103" i="20"/>
  <c r="W103" i="20" s="1"/>
  <c r="P103" i="20"/>
  <c r="R110" i="20"/>
  <c r="W110" i="20" s="1"/>
  <c r="P110" i="20"/>
  <c r="P61" i="20"/>
  <c r="R61" i="20"/>
  <c r="W61" i="20" s="1"/>
  <c r="N211" i="20"/>
  <c r="L193" i="20"/>
  <c r="R133" i="20"/>
  <c r="W133" i="20" s="1"/>
  <c r="P133" i="20"/>
  <c r="R124" i="20"/>
  <c r="W124" i="20" s="1"/>
  <c r="P124" i="20"/>
  <c r="P27" i="20"/>
  <c r="R27" i="20"/>
  <c r="W27" i="20" s="1"/>
  <c r="R127" i="20"/>
  <c r="W127" i="20" s="1"/>
  <c r="R169" i="20"/>
  <c r="W169" i="20" s="1"/>
  <c r="P169" i="20"/>
  <c r="P147" i="20"/>
  <c r="N123" i="2"/>
  <c r="L123" i="2"/>
  <c r="N100" i="2"/>
  <c r="L100" i="2"/>
  <c r="N55" i="2"/>
  <c r="L55" i="2"/>
  <c r="L18" i="2"/>
  <c r="N170" i="2"/>
  <c r="L170" i="2"/>
  <c r="L104" i="2"/>
  <c r="N104" i="2"/>
  <c r="L78" i="2"/>
  <c r="N78" i="2"/>
  <c r="O21" i="3"/>
  <c r="O123" i="3" s="1" a="1"/>
  <c r="O123" i="3" s="1"/>
  <c r="M21" i="3"/>
  <c r="M116" i="3" s="1" a="1"/>
  <c r="M116" i="3" s="1"/>
  <c r="L117" i="3" a="1"/>
  <c r="L117" i="3" s="1"/>
  <c r="R113" i="20"/>
  <c r="W113" i="20" s="1"/>
  <c r="M38" i="20"/>
  <c r="L204" i="20" a="1"/>
  <c r="L204" i="20" s="1"/>
  <c r="L209" i="20" s="1"/>
  <c r="R140" i="20"/>
  <c r="W140" i="20" s="1"/>
  <c r="P140" i="20"/>
  <c r="P69" i="20"/>
  <c r="R69" i="20"/>
  <c r="W69" i="20" s="1"/>
  <c r="R184" i="20"/>
  <c r="W184" i="20" s="1"/>
  <c r="L14" i="2"/>
  <c r="N14" i="2"/>
  <c r="O67" i="3"/>
  <c r="M67" i="3"/>
  <c r="M88" i="3"/>
  <c r="O88" i="3"/>
  <c r="T5" i="20"/>
  <c r="R53" i="20"/>
  <c r="W53" i="20" s="1"/>
  <c r="P53" i="20"/>
  <c r="L109" i="3"/>
  <c r="L123" i="3" s="1"/>
  <c r="P11" i="20"/>
  <c r="L12" i="2"/>
  <c r="L192" i="2" s="1" a="1"/>
  <c r="L192" i="2" s="1"/>
  <c r="N12" i="2"/>
  <c r="P22" i="20"/>
  <c r="R22" i="20"/>
  <c r="W22" i="20" s="1"/>
  <c r="R28" i="20"/>
  <c r="W28" i="20" s="1"/>
  <c r="P28" i="20"/>
  <c r="P92" i="20"/>
  <c r="R92" i="20"/>
  <c r="W92" i="20" s="1"/>
  <c r="L156" i="2"/>
  <c r="N156" i="2"/>
  <c r="D18" i="7"/>
  <c r="D19" i="7" s="1"/>
  <c r="C18" i="7"/>
  <c r="C19" i="7" s="1"/>
  <c r="P94" i="20"/>
  <c r="N122" i="2"/>
  <c r="P14" i="20"/>
  <c r="R14" i="20"/>
  <c r="L21" i="2"/>
  <c r="N21" i="2"/>
  <c r="L146" i="2"/>
  <c r="L58" i="2"/>
  <c r="N183" i="2"/>
  <c r="M71" i="3"/>
  <c r="O71" i="3"/>
  <c r="R70" i="20"/>
  <c r="W70" i="20" s="1"/>
  <c r="P70" i="20"/>
  <c r="P170" i="20"/>
  <c r="L159" i="2"/>
  <c r="N93" i="2"/>
  <c r="L93" i="2"/>
  <c r="L62" i="2"/>
  <c r="N62" i="2"/>
  <c r="N112" i="20"/>
  <c r="O112" i="20" s="1"/>
  <c r="M112" i="20"/>
  <c r="M191" i="20" s="1" a="1"/>
  <c r="M191" i="20" s="1"/>
  <c r="N132" i="2"/>
  <c r="L132" i="2"/>
  <c r="L102" i="2"/>
  <c r="O107" i="3"/>
  <c r="N53" i="2"/>
  <c r="L141" i="2"/>
  <c r="L77" i="2"/>
  <c r="N77" i="2"/>
  <c r="L65" i="2"/>
  <c r="M60" i="3"/>
  <c r="M117" i="3" s="1" a="1"/>
  <c r="M117" i="3" s="1"/>
  <c r="O60" i="3"/>
  <c r="R99" i="20"/>
  <c r="W99" i="20" s="1"/>
  <c r="L185" i="2"/>
  <c r="N74" i="2"/>
  <c r="M96" i="3"/>
  <c r="O96" i="3"/>
  <c r="O124" i="3" s="1" a="1"/>
  <c r="O124" i="3" s="1"/>
  <c r="R130" i="20"/>
  <c r="W130" i="20" s="1"/>
  <c r="D16" i="7"/>
  <c r="E16" i="7"/>
  <c r="N31" i="2"/>
  <c r="L31" i="2"/>
  <c r="N173" i="20"/>
  <c r="O173" i="20" s="1"/>
  <c r="M173" i="20"/>
  <c r="N57" i="20"/>
  <c r="O57" i="20" s="1"/>
  <c r="P204" i="20" s="1" a="1"/>
  <c r="P204" i="20" s="1"/>
  <c r="P209" i="20" s="1"/>
  <c r="M57" i="20"/>
  <c r="N118" i="2"/>
  <c r="L22" i="2"/>
  <c r="M163" i="20"/>
  <c r="N163" i="20"/>
  <c r="O163" i="20" s="1"/>
  <c r="R15" i="20"/>
  <c r="W15" i="20" s="1"/>
  <c r="P15" i="20"/>
  <c r="M158" i="20"/>
  <c r="N158" i="20"/>
  <c r="O158" i="20" s="1"/>
  <c r="M153" i="20"/>
  <c r="N153" i="20"/>
  <c r="O153" i="20" s="1"/>
  <c r="N125" i="20"/>
  <c r="O125" i="20" s="1"/>
  <c r="M125" i="20"/>
  <c r="N139" i="20"/>
  <c r="O139" i="20" s="1"/>
  <c r="M75" i="20"/>
  <c r="D16" i="12"/>
  <c r="D17" i="12" s="1"/>
  <c r="C9" i="16"/>
  <c r="D16" i="16" s="1"/>
  <c r="C9" i="14"/>
  <c r="C9" i="15"/>
  <c r="C9" i="11"/>
  <c r="D15" i="11" s="1"/>
  <c r="C9" i="23"/>
  <c r="C9" i="22"/>
  <c r="D15" i="22" s="1"/>
  <c r="C9" i="8"/>
  <c r="C9" i="6"/>
  <c r="D15" i="6" s="1"/>
  <c r="F118" i="3"/>
  <c r="D14" i="10" l="1"/>
  <c r="C12" i="7"/>
  <c r="C17" i="7" s="1"/>
  <c r="C21" i="7" s="1"/>
  <c r="C22" i="7" s="1"/>
  <c r="C33" i="7" s="1"/>
  <c r="D12" i="7"/>
  <c r="D17" i="7" s="1"/>
  <c r="D21" i="7" s="1"/>
  <c r="D22" i="7" s="1"/>
  <c r="B21" i="7"/>
  <c r="B22" i="7" s="1"/>
  <c r="E12" i="7"/>
  <c r="E17" i="7" s="1"/>
  <c r="C12" i="4"/>
  <c r="B16" i="4"/>
  <c r="B20" i="4" s="1"/>
  <c r="B21" i="4" s="1"/>
  <c r="D12" i="4"/>
  <c r="E12" i="4"/>
  <c r="C8" i="22"/>
  <c r="C8" i="6"/>
  <c r="C8" i="23"/>
  <c r="C8" i="11"/>
  <c r="C8" i="15"/>
  <c r="B6" i="4"/>
  <c r="C8" i="10"/>
  <c r="C8" i="8"/>
  <c r="C8" i="14"/>
  <c r="B6" i="7"/>
  <c r="C8" i="16"/>
  <c r="C8" i="12"/>
  <c r="B5" i="7"/>
  <c r="B5" i="4"/>
  <c r="M118" i="3"/>
  <c r="F15" i="22"/>
  <c r="L118" i="3"/>
  <c r="L126" i="3"/>
  <c r="P116" i="3"/>
  <c r="N116" i="3"/>
  <c r="S192" i="20"/>
  <c r="Q205" i="20" a="1"/>
  <c r="Q205" i="20" s="1"/>
  <c r="Q210" i="20" s="1"/>
  <c r="D18" i="12"/>
  <c r="D15" i="23"/>
  <c r="E15" i="23"/>
  <c r="M192" i="20" a="1"/>
  <c r="M192" i="20" s="1"/>
  <c r="M193" i="20" s="1"/>
  <c r="L202" i="20" s="1"/>
  <c r="I207" i="20" s="1"/>
  <c r="I219" i="20" s="1"/>
  <c r="L194" i="20"/>
  <c r="L212" i="20"/>
  <c r="N193" i="20"/>
  <c r="P205" i="20" a="1"/>
  <c r="P205" i="20" s="1"/>
  <c r="P210" i="20" s="1"/>
  <c r="D18" i="16"/>
  <c r="P117" i="3"/>
  <c r="N117" i="3"/>
  <c r="L127" i="3"/>
  <c r="R163" i="20"/>
  <c r="W163" i="20" s="1"/>
  <c r="P163" i="20"/>
  <c r="F15" i="11"/>
  <c r="D16" i="11"/>
  <c r="D17" i="11" s="1"/>
  <c r="P153" i="20"/>
  <c r="R153" i="20"/>
  <c r="W153" i="20" s="1"/>
  <c r="M109" i="3"/>
  <c r="O109" i="3"/>
  <c r="R57" i="20"/>
  <c r="W57" i="20" s="1"/>
  <c r="P57" i="20"/>
  <c r="D17" i="6"/>
  <c r="D18" i="6" s="1"/>
  <c r="F15" i="6"/>
  <c r="P125" i="20"/>
  <c r="R125" i="20"/>
  <c r="W125" i="20" s="1"/>
  <c r="R112" i="20"/>
  <c r="W112" i="20" s="1"/>
  <c r="P112" i="20"/>
  <c r="S191" i="20"/>
  <c r="S193" i="20" s="1"/>
  <c r="S194" i="20" s="1"/>
  <c r="W14" i="20"/>
  <c r="D16" i="15"/>
  <c r="E16" i="15"/>
  <c r="R139" i="20"/>
  <c r="W139" i="20" s="1"/>
  <c r="P139" i="20"/>
  <c r="F14" i="10"/>
  <c r="D16" i="10"/>
  <c r="D17" i="10" s="1"/>
  <c r="D18" i="10" s="1"/>
  <c r="O193" i="2"/>
  <c r="O192" i="20"/>
  <c r="Q211" i="20" s="1"/>
  <c r="D16" i="22"/>
  <c r="D14" i="14"/>
  <c r="E14" i="14"/>
  <c r="P158" i="20"/>
  <c r="R158" i="20"/>
  <c r="W158" i="20" s="1"/>
  <c r="N200" i="2" a="1"/>
  <c r="N200" i="2" s="1"/>
  <c r="K203" i="2" s="1"/>
  <c r="N199" i="2" a="1"/>
  <c r="N199" i="2" s="1"/>
  <c r="K202" i="2" s="1"/>
  <c r="N189" i="2"/>
  <c r="K200" i="2"/>
  <c r="K201" i="2"/>
  <c r="O189" i="20"/>
  <c r="O188" i="20"/>
  <c r="L189" i="2"/>
  <c r="L193" i="2" a="1"/>
  <c r="L193" i="2" s="1"/>
  <c r="L194" i="2" s="1"/>
  <c r="W39" i="20"/>
  <c r="Q206" i="20" a="1"/>
  <c r="Q206" i="20" s="1"/>
  <c r="Q204" i="20" a="1"/>
  <c r="Q204" i="20" s="1"/>
  <c r="Q209" i="20" s="1"/>
  <c r="O193" i="20"/>
  <c r="P211" i="20"/>
  <c r="O186" i="20"/>
  <c r="K194" i="2"/>
  <c r="O192" i="2"/>
  <c r="M192" i="2"/>
  <c r="D15" i="8"/>
  <c r="E15" i="8"/>
  <c r="P173" i="20"/>
  <c r="R173" i="20"/>
  <c r="W173" i="20" s="1"/>
  <c r="L124" i="3"/>
  <c r="L125" i="3"/>
  <c r="P206" i="20" a="1"/>
  <c r="P206" i="20" s="1"/>
  <c r="W12" i="20"/>
  <c r="R188" i="20"/>
  <c r="R186" i="20"/>
  <c r="R187" i="20" s="1"/>
  <c r="R191" i="20"/>
  <c r="R193" i="20" s="1"/>
  <c r="E21" i="7" l="1"/>
  <c r="E22" i="7" s="1"/>
  <c r="B26" i="4"/>
  <c r="B32" i="4"/>
  <c r="D16" i="4"/>
  <c r="D20" i="4" s="1"/>
  <c r="F23" i="10"/>
  <c r="F24" i="10" s="1"/>
  <c r="C16" i="4"/>
  <c r="C20" i="4" s="1"/>
  <c r="C21" i="4" s="1"/>
  <c r="C30" i="7"/>
  <c r="B33" i="7"/>
  <c r="B27" i="7"/>
  <c r="C27" i="7"/>
  <c r="E16" i="4"/>
  <c r="E20" i="4" s="1"/>
  <c r="E21" i="4" s="1"/>
  <c r="I220" i="20"/>
  <c r="I221" i="20"/>
  <c r="E33" i="7"/>
  <c r="E27" i="7"/>
  <c r="G83" i="10"/>
  <c r="G23" i="10"/>
  <c r="D19" i="10"/>
  <c r="I22" i="10" s="1"/>
  <c r="D19" i="6"/>
  <c r="D20" i="6"/>
  <c r="F27" i="6" s="1"/>
  <c r="D18" i="11"/>
  <c r="D33" i="7"/>
  <c r="D27" i="7"/>
  <c r="D30" i="7"/>
  <c r="D15" i="14"/>
  <c r="D16" i="14"/>
  <c r="D17" i="14" s="1"/>
  <c r="F14" i="14"/>
  <c r="F83" i="10"/>
  <c r="D19" i="12"/>
  <c r="D20" i="12" s="1"/>
  <c r="O116" i="3"/>
  <c r="W206" i="20" a="1"/>
  <c r="W206" i="20" s="1"/>
  <c r="W188" i="20"/>
  <c r="V205" i="20" a="1"/>
  <c r="V205" i="20" s="1"/>
  <c r="V210" i="20" s="1"/>
  <c r="W205" i="20" a="1"/>
  <c r="W205" i="20" s="1"/>
  <c r="W210" i="20" s="1"/>
  <c r="W186" i="20"/>
  <c r="W187" i="20" s="1"/>
  <c r="V206" i="20" a="1"/>
  <c r="V206" i="20" s="1"/>
  <c r="V204" i="20" a="1"/>
  <c r="V204" i="20" s="1"/>
  <c r="V209" i="20" s="1"/>
  <c r="W191" i="20"/>
  <c r="W204" i="20" a="1"/>
  <c r="W204" i="20" s="1"/>
  <c r="W209" i="20" s="1"/>
  <c r="Q193" i="20"/>
  <c r="P193" i="20"/>
  <c r="P212" i="20"/>
  <c r="P207" i="20" s="1"/>
  <c r="O194" i="20"/>
  <c r="O117" i="3"/>
  <c r="F16" i="15"/>
  <c r="D17" i="15"/>
  <c r="D18" i="15" s="1"/>
  <c r="D17" i="23"/>
  <c r="D18" i="23" s="1"/>
  <c r="F15" i="23"/>
  <c r="P118" i="3"/>
  <c r="N118" i="3"/>
  <c r="D17" i="22"/>
  <c r="D18" i="22" s="1"/>
  <c r="M193" i="2"/>
  <c r="N193" i="2" s="1"/>
  <c r="K204" i="2"/>
  <c r="F15" i="8"/>
  <c r="D17" i="8"/>
  <c r="D18" i="8" s="1"/>
  <c r="L128" i="3"/>
  <c r="N192" i="2"/>
  <c r="R189" i="20"/>
  <c r="D19" i="16"/>
  <c r="R192" i="20"/>
  <c r="L207" i="20"/>
  <c r="V193" i="20"/>
  <c r="R194" i="20"/>
  <c r="S195" i="20" s="1"/>
  <c r="M194" i="2"/>
  <c r="O194" i="2"/>
  <c r="W192" i="20"/>
  <c r="W211" i="20" s="1"/>
  <c r="W189" i="20"/>
  <c r="D19" i="11"/>
  <c r="D20" i="11" s="1"/>
  <c r="F29" i="12" l="1"/>
  <c r="F89" i="12"/>
  <c r="H23" i="10"/>
  <c r="D19" i="23"/>
  <c r="D20" i="23" s="1"/>
  <c r="D21" i="4"/>
  <c r="F87" i="6"/>
  <c r="F88" i="6" s="1"/>
  <c r="M88" i="6" s="1"/>
  <c r="D21" i="6"/>
  <c r="D22" i="6" s="1"/>
  <c r="F28" i="12"/>
  <c r="F27" i="11"/>
  <c r="E26" i="4"/>
  <c r="E32" i="4"/>
  <c r="C26" i="4"/>
  <c r="C32" i="4"/>
  <c r="C29" i="4"/>
  <c r="D32" i="4"/>
  <c r="D26" i="4"/>
  <c r="D29" i="4"/>
  <c r="F84" i="14"/>
  <c r="D18" i="14"/>
  <c r="F24" i="14"/>
  <c r="D19" i="15"/>
  <c r="F40" i="15" s="1"/>
  <c r="D19" i="8"/>
  <c r="D20" i="8"/>
  <c r="D22" i="8" s="1"/>
  <c r="D21" i="8"/>
  <c r="D21" i="11"/>
  <c r="D23" i="11" s="1"/>
  <c r="I26" i="11" s="1"/>
  <c r="O118" i="3"/>
  <c r="F87" i="11"/>
  <c r="G24" i="10"/>
  <c r="G25" i="10" s="1"/>
  <c r="G26" i="10" s="1"/>
  <c r="G27" i="10" s="1"/>
  <c r="G28" i="10" s="1"/>
  <c r="G29" i="10" s="1"/>
  <c r="G30" i="10" s="1"/>
  <c r="G31" i="10" s="1"/>
  <c r="G32" i="10" s="1"/>
  <c r="G33" i="10" s="1"/>
  <c r="G34" i="10" s="1"/>
  <c r="G35" i="10" s="1"/>
  <c r="G36" i="10" s="1"/>
  <c r="G37" i="10" s="1"/>
  <c r="G38" i="10" s="1"/>
  <c r="G39" i="10" s="1"/>
  <c r="G40" i="10" s="1"/>
  <c r="G41" i="10" s="1"/>
  <c r="G42" i="10" s="1"/>
  <c r="G43" i="10" s="1"/>
  <c r="G44" i="10" s="1"/>
  <c r="G45" i="10" s="1"/>
  <c r="G46" i="10" s="1"/>
  <c r="G47" i="10" s="1"/>
  <c r="G48" i="10" s="1"/>
  <c r="G49" i="10" s="1"/>
  <c r="G50" i="10" s="1"/>
  <c r="G51" i="10" s="1"/>
  <c r="G52" i="10" s="1"/>
  <c r="G53" i="10" s="1"/>
  <c r="G54" i="10" s="1"/>
  <c r="G55" i="10" s="1"/>
  <c r="G56" i="10" s="1"/>
  <c r="G57" i="10" s="1"/>
  <c r="G58" i="10" s="1"/>
  <c r="G59" i="10" s="1"/>
  <c r="G60" i="10" s="1"/>
  <c r="G61" i="10" s="1"/>
  <c r="G62" i="10" s="1"/>
  <c r="G63" i="10" s="1"/>
  <c r="G64" i="10" s="1"/>
  <c r="G65" i="10" s="1"/>
  <c r="G66" i="10" s="1"/>
  <c r="G67" i="10" s="1"/>
  <c r="G68" i="10" s="1"/>
  <c r="G69" i="10" s="1"/>
  <c r="G70" i="10" s="1"/>
  <c r="G71" i="10" s="1"/>
  <c r="G72" i="10" s="1"/>
  <c r="G73" i="10" s="1"/>
  <c r="G74" i="10" s="1"/>
  <c r="G75" i="10" s="1"/>
  <c r="G76" i="10" s="1"/>
  <c r="G77" i="10" s="1"/>
  <c r="G78" i="10" s="1"/>
  <c r="G79" i="10" s="1"/>
  <c r="G80" i="10" s="1"/>
  <c r="G81" i="10" s="1"/>
  <c r="G82" i="10" s="1"/>
  <c r="N194" i="2"/>
  <c r="D20" i="16"/>
  <c r="F39" i="16" s="1"/>
  <c r="K205" i="2"/>
  <c r="K206" i="2" s="1"/>
  <c r="K208" i="2" s="1"/>
  <c r="K209" i="2" s="1"/>
  <c r="M89" i="12"/>
  <c r="F25" i="10"/>
  <c r="V211" i="20"/>
  <c r="W193" i="20"/>
  <c r="F30" i="12"/>
  <c r="L130" i="3"/>
  <c r="L129" i="3"/>
  <c r="D19" i="22"/>
  <c r="F89" i="22" s="1"/>
  <c r="D21" i="12"/>
  <c r="I223" i="20"/>
  <c r="I224" i="20" s="1"/>
  <c r="J222" i="20"/>
  <c r="H83" i="10"/>
  <c r="I23" i="10"/>
  <c r="F27" i="8" l="1"/>
  <c r="H24" i="10"/>
  <c r="I24" i="10" s="1"/>
  <c r="M87" i="6"/>
  <c r="D21" i="23"/>
  <c r="D22" i="23"/>
  <c r="G88" i="23" s="1"/>
  <c r="F28" i="8"/>
  <c r="F29" i="8" s="1"/>
  <c r="F87" i="16"/>
  <c r="D21" i="16"/>
  <c r="D22" i="16" s="1"/>
  <c r="I25" i="16" s="1"/>
  <c r="M89" i="22"/>
  <c r="F41" i="15"/>
  <c r="F40" i="16"/>
  <c r="M87" i="11"/>
  <c r="G28" i="8"/>
  <c r="G29" i="8" s="1"/>
  <c r="G30" i="8" s="1"/>
  <c r="G31" i="8" s="1"/>
  <c r="G32" i="8" s="1"/>
  <c r="G33" i="8" s="1"/>
  <c r="G34" i="8" s="1"/>
  <c r="G35" i="8" s="1"/>
  <c r="G36" i="8" s="1"/>
  <c r="G37" i="8" s="1"/>
  <c r="G38" i="8" s="1"/>
  <c r="G39" i="8" s="1"/>
  <c r="G40" i="8" s="1"/>
  <c r="G41" i="8" s="1"/>
  <c r="G42" i="8" s="1"/>
  <c r="G43" i="8" s="1"/>
  <c r="G44" i="8" s="1"/>
  <c r="G45" i="8" s="1"/>
  <c r="G46" i="8" s="1"/>
  <c r="G47" i="8" s="1"/>
  <c r="G48" i="8" s="1"/>
  <c r="G49" i="8" s="1"/>
  <c r="G50" i="8" s="1"/>
  <c r="G51" i="8" s="1"/>
  <c r="G52" i="8" s="1"/>
  <c r="G53" i="8" s="1"/>
  <c r="G54" i="8" s="1"/>
  <c r="G55" i="8" s="1"/>
  <c r="G56" i="8" s="1"/>
  <c r="G57" i="8" s="1"/>
  <c r="G58" i="8" s="1"/>
  <c r="G59" i="8" s="1"/>
  <c r="G60" i="8" s="1"/>
  <c r="G61" i="8" s="1"/>
  <c r="G62" i="8" s="1"/>
  <c r="G63" i="8" s="1"/>
  <c r="G64" i="8" s="1"/>
  <c r="G65" i="8" s="1"/>
  <c r="G66" i="8" s="1"/>
  <c r="G67" i="8" s="1"/>
  <c r="G68" i="8" s="1"/>
  <c r="G69" i="8" s="1"/>
  <c r="G70" i="8" s="1"/>
  <c r="G71" i="8" s="1"/>
  <c r="G72" i="8" s="1"/>
  <c r="G73" i="8" s="1"/>
  <c r="G74" i="8" s="1"/>
  <c r="G75" i="8" s="1"/>
  <c r="G76" i="8" s="1"/>
  <c r="G77" i="8" s="1"/>
  <c r="G78" i="8" s="1"/>
  <c r="G79" i="8" s="1"/>
  <c r="G80" i="8" s="1"/>
  <c r="G81" i="8" s="1"/>
  <c r="G82" i="8" s="1"/>
  <c r="G83" i="8" s="1"/>
  <c r="G84" i="8" s="1"/>
  <c r="G85" i="8" s="1"/>
  <c r="G86" i="8" s="1"/>
  <c r="G87" i="8" s="1"/>
  <c r="G88" i="8"/>
  <c r="G27" i="8"/>
  <c r="H27" i="8" s="1"/>
  <c r="D20" i="15"/>
  <c r="G28" i="12"/>
  <c r="G89" i="12"/>
  <c r="H89" i="12" s="1"/>
  <c r="G29" i="12"/>
  <c r="F31" i="12"/>
  <c r="F27" i="16"/>
  <c r="F28" i="15"/>
  <c r="D23" i="8"/>
  <c r="I26" i="8" s="1"/>
  <c r="F88" i="15"/>
  <c r="D23" i="12"/>
  <c r="I27" i="12" s="1"/>
  <c r="W194" i="20"/>
  <c r="V212" i="20"/>
  <c r="V207" i="20" s="1"/>
  <c r="X193" i="20"/>
  <c r="F26" i="16"/>
  <c r="G87" i="11"/>
  <c r="H87" i="11" s="1"/>
  <c r="G27" i="11"/>
  <c r="D20" i="22"/>
  <c r="F29" i="22"/>
  <c r="F88" i="11"/>
  <c r="F25" i="14"/>
  <c r="G27" i="6"/>
  <c r="G87" i="6"/>
  <c r="H87" i="6" s="1"/>
  <c r="F28" i="22"/>
  <c r="G24" i="14"/>
  <c r="H24" i="14" s="1"/>
  <c r="G84" i="14"/>
  <c r="H84" i="14" s="1"/>
  <c r="F26" i="10"/>
  <c r="H25" i="10"/>
  <c r="F27" i="23"/>
  <c r="F88" i="23"/>
  <c r="D23" i="6"/>
  <c r="I26" i="6" s="1"/>
  <c r="F88" i="8"/>
  <c r="D21" i="15"/>
  <c r="D20" i="14"/>
  <c r="I23" i="14" s="1"/>
  <c r="G84" i="10"/>
  <c r="F28" i="23"/>
  <c r="D23" i="23" l="1"/>
  <c r="I26" i="23" s="1"/>
  <c r="G26" i="16"/>
  <c r="G88" i="16" s="1"/>
  <c r="G39" i="16"/>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c r="H87" i="16" s="1"/>
  <c r="G27" i="23"/>
  <c r="G28" i="23"/>
  <c r="G29" i="23" s="1"/>
  <c r="G30" i="23" s="1"/>
  <c r="G31" i="23" s="1"/>
  <c r="G32" i="23" s="1"/>
  <c r="G33" i="23" s="1"/>
  <c r="G34" i="23" s="1"/>
  <c r="G35" i="23" s="1"/>
  <c r="G36" i="23" s="1"/>
  <c r="G37" i="23" s="1"/>
  <c r="G38" i="23" s="1"/>
  <c r="G39" i="23" s="1"/>
  <c r="G40" i="23" s="1"/>
  <c r="G41" i="23" s="1"/>
  <c r="G42" i="23" s="1"/>
  <c r="G43" i="23" s="1"/>
  <c r="G44" i="23" s="1"/>
  <c r="G45" i="23" s="1"/>
  <c r="G46" i="23" s="1"/>
  <c r="G47" i="23" s="1"/>
  <c r="G48" i="23" s="1"/>
  <c r="G49" i="23" s="1"/>
  <c r="G50" i="23" s="1"/>
  <c r="G51" i="23" s="1"/>
  <c r="G52" i="23" s="1"/>
  <c r="G53" i="23" s="1"/>
  <c r="G54" i="23" s="1"/>
  <c r="G55" i="23" s="1"/>
  <c r="G56" i="23" s="1"/>
  <c r="G57" i="23" s="1"/>
  <c r="G58" i="23" s="1"/>
  <c r="G59" i="23" s="1"/>
  <c r="G60" i="23" s="1"/>
  <c r="G61" i="23" s="1"/>
  <c r="G62" i="23" s="1"/>
  <c r="G63" i="23" s="1"/>
  <c r="G64" i="23" s="1"/>
  <c r="G65" i="23" s="1"/>
  <c r="G66" i="23" s="1"/>
  <c r="G67" i="23" s="1"/>
  <c r="G68" i="23" s="1"/>
  <c r="G69" i="23" s="1"/>
  <c r="G70" i="23" s="1"/>
  <c r="G71" i="23" s="1"/>
  <c r="G72" i="23" s="1"/>
  <c r="G73" i="23" s="1"/>
  <c r="G74" i="23" s="1"/>
  <c r="G75" i="23" s="1"/>
  <c r="G76" i="23" s="1"/>
  <c r="G77" i="23" s="1"/>
  <c r="G78" i="23" s="1"/>
  <c r="G79" i="23" s="1"/>
  <c r="G80" i="23" s="1"/>
  <c r="G81" i="23" s="1"/>
  <c r="G82" i="23" s="1"/>
  <c r="G83" i="23" s="1"/>
  <c r="G84" i="23" s="1"/>
  <c r="G85" i="23" s="1"/>
  <c r="G86" i="23" s="1"/>
  <c r="G87" i="23" s="1"/>
  <c r="H39" i="16"/>
  <c r="G27" i="16"/>
  <c r="G28" i="16" s="1"/>
  <c r="G29" i="16" s="1"/>
  <c r="G30" i="16" s="1"/>
  <c r="G31" i="16" s="1"/>
  <c r="G32" i="16" s="1"/>
  <c r="G33" i="16" s="1"/>
  <c r="G34" i="16" s="1"/>
  <c r="G35" i="16" s="1"/>
  <c r="G36" i="16" s="1"/>
  <c r="G37" i="16" s="1"/>
  <c r="G38" i="16" s="1"/>
  <c r="I25" i="10"/>
  <c r="H88" i="23"/>
  <c r="M88" i="23"/>
  <c r="G30" i="12"/>
  <c r="H29" i="12"/>
  <c r="F42" i="15"/>
  <c r="H27" i="23"/>
  <c r="G88" i="6"/>
  <c r="H27" i="6"/>
  <c r="H88" i="6" s="1"/>
  <c r="G88" i="11"/>
  <c r="H88" i="11" s="1"/>
  <c r="H27" i="11"/>
  <c r="I27" i="11" s="1"/>
  <c r="I28" i="11" s="1"/>
  <c r="I29" i="11" s="1"/>
  <c r="I30" i="11" s="1"/>
  <c r="I31" i="11" s="1"/>
  <c r="I32" i="11" s="1"/>
  <c r="I33" i="11" s="1"/>
  <c r="I34" i="11" s="1"/>
  <c r="I35" i="11" s="1"/>
  <c r="I36" i="11" s="1"/>
  <c r="I37" i="11" s="1"/>
  <c r="I38" i="11" s="1"/>
  <c r="I39" i="11" s="1"/>
  <c r="I40" i="11" s="1"/>
  <c r="I41" i="11" s="1"/>
  <c r="I42" i="11" s="1"/>
  <c r="I43" i="11" s="1"/>
  <c r="I44" i="11" s="1"/>
  <c r="I45" i="11" s="1"/>
  <c r="I46" i="11" s="1"/>
  <c r="I47" i="11" s="1"/>
  <c r="I48" i="11" s="1"/>
  <c r="I49" i="11" s="1"/>
  <c r="I50" i="11" s="1"/>
  <c r="I51" i="11" s="1"/>
  <c r="I52" i="11" s="1"/>
  <c r="I53" i="11" s="1"/>
  <c r="I54" i="11" s="1"/>
  <c r="I55" i="11" s="1"/>
  <c r="I56" i="11" s="1"/>
  <c r="I57" i="11" s="1"/>
  <c r="I58" i="11" s="1"/>
  <c r="I59" i="11" s="1"/>
  <c r="I60" i="11" s="1"/>
  <c r="I61" i="11" s="1"/>
  <c r="I62" i="11" s="1"/>
  <c r="I63" i="11" s="1"/>
  <c r="I64" i="11" s="1"/>
  <c r="I65" i="11" s="1"/>
  <c r="I66" i="11" s="1"/>
  <c r="I67" i="11" s="1"/>
  <c r="I68" i="11" s="1"/>
  <c r="I69" i="11" s="1"/>
  <c r="I70" i="11" s="1"/>
  <c r="I71" i="11" s="1"/>
  <c r="I72" i="11" s="1"/>
  <c r="I73" i="11" s="1"/>
  <c r="I74" i="11" s="1"/>
  <c r="I75" i="11" s="1"/>
  <c r="I76" i="11" s="1"/>
  <c r="I77" i="11" s="1"/>
  <c r="I78" i="11" s="1"/>
  <c r="I79" i="11" s="1"/>
  <c r="I80" i="11" s="1"/>
  <c r="I81" i="11" s="1"/>
  <c r="I82" i="11" s="1"/>
  <c r="I83" i="11" s="1"/>
  <c r="I84" i="11" s="1"/>
  <c r="I85" i="11" s="1"/>
  <c r="I86" i="11" s="1"/>
  <c r="I87" i="11" s="1"/>
  <c r="I27" i="8"/>
  <c r="H28" i="8"/>
  <c r="F29" i="23"/>
  <c r="H28" i="23"/>
  <c r="H28" i="12"/>
  <c r="I28" i="12" s="1"/>
  <c r="I29" i="12" s="1"/>
  <c r="H29" i="8"/>
  <c r="F30" i="8"/>
  <c r="F26" i="14"/>
  <c r="H26" i="16"/>
  <c r="I26" i="16" s="1"/>
  <c r="F29" i="15"/>
  <c r="F27" i="15"/>
  <c r="D23" i="15"/>
  <c r="I26" i="15" s="1"/>
  <c r="F30" i="22"/>
  <c r="D21" i="22"/>
  <c r="D23" i="22" s="1"/>
  <c r="I27" i="22" s="1"/>
  <c r="I24" i="14"/>
  <c r="F27" i="10"/>
  <c r="H26" i="10"/>
  <c r="F28" i="16"/>
  <c r="G89" i="8"/>
  <c r="F41" i="16"/>
  <c r="M88" i="8"/>
  <c r="H88" i="8"/>
  <c r="G25" i="14"/>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F32" i="12"/>
  <c r="G28" i="15"/>
  <c r="G29" i="15" s="1"/>
  <c r="G30" i="15" s="1"/>
  <c r="G31" i="15" s="1"/>
  <c r="G32" i="15" s="1"/>
  <c r="G33" i="15" s="1"/>
  <c r="G34" i="15" s="1"/>
  <c r="G35" i="15" s="1"/>
  <c r="G36" i="15" s="1"/>
  <c r="G37" i="15" s="1"/>
  <c r="G38" i="15" s="1"/>
  <c r="G39" i="15" s="1"/>
  <c r="G40" i="15"/>
  <c r="G88" i="15"/>
  <c r="H88" i="15" s="1"/>
  <c r="G27" i="15"/>
  <c r="M88" i="11"/>
  <c r="H27" i="16" l="1"/>
  <c r="H40" i="16"/>
  <c r="I27" i="16"/>
  <c r="H25" i="14"/>
  <c r="I27" i="6"/>
  <c r="I28" i="6" s="1"/>
  <c r="I29" i="6" s="1"/>
  <c r="I30" i="6" s="1"/>
  <c r="I31" i="6" s="1"/>
  <c r="I32" i="6" s="1"/>
  <c r="I33" i="6" s="1"/>
  <c r="I34" i="6" s="1"/>
  <c r="I35" i="6" s="1"/>
  <c r="I36" i="6" s="1"/>
  <c r="I37" i="6" s="1"/>
  <c r="I38" i="6" s="1"/>
  <c r="I39" i="6" s="1"/>
  <c r="I40" i="6" s="1"/>
  <c r="I41" i="6" s="1"/>
  <c r="I42" i="6" s="1"/>
  <c r="I43" i="6" s="1"/>
  <c r="I44" i="6" s="1"/>
  <c r="I45" i="6" s="1"/>
  <c r="I46" i="6" s="1"/>
  <c r="I47" i="6" s="1"/>
  <c r="I48" i="6" s="1"/>
  <c r="I49" i="6" s="1"/>
  <c r="I50" i="6" s="1"/>
  <c r="I51" i="6" s="1"/>
  <c r="I52" i="6" s="1"/>
  <c r="I53" i="6" s="1"/>
  <c r="I54" i="6" s="1"/>
  <c r="I55" i="6" s="1"/>
  <c r="I56" i="6" s="1"/>
  <c r="I57" i="6" s="1"/>
  <c r="I58" i="6" s="1"/>
  <c r="I59" i="6" s="1"/>
  <c r="I60" i="6" s="1"/>
  <c r="I61" i="6" s="1"/>
  <c r="I62" i="6" s="1"/>
  <c r="I63" i="6" s="1"/>
  <c r="I64" i="6" s="1"/>
  <c r="I65" i="6" s="1"/>
  <c r="I66" i="6" s="1"/>
  <c r="I67" i="6" s="1"/>
  <c r="I68" i="6" s="1"/>
  <c r="I69" i="6" s="1"/>
  <c r="I70" i="6" s="1"/>
  <c r="I71" i="6" s="1"/>
  <c r="I72" i="6" s="1"/>
  <c r="I73" i="6" s="1"/>
  <c r="I74" i="6" s="1"/>
  <c r="I75" i="6" s="1"/>
  <c r="I76" i="6" s="1"/>
  <c r="I77" i="6" s="1"/>
  <c r="I78" i="6" s="1"/>
  <c r="I79" i="6" s="1"/>
  <c r="I80" i="6" s="1"/>
  <c r="I81" i="6" s="1"/>
  <c r="I82" i="6" s="1"/>
  <c r="I83" i="6" s="1"/>
  <c r="I84" i="6" s="1"/>
  <c r="I85" i="6" s="1"/>
  <c r="I86" i="6" s="1"/>
  <c r="I87" i="6" s="1"/>
  <c r="G89" i="23"/>
  <c r="F33" i="12"/>
  <c r="H28" i="16"/>
  <c r="I28" i="16" s="1"/>
  <c r="F29" i="16"/>
  <c r="F31" i="22"/>
  <c r="G31" i="12"/>
  <c r="H30" i="12"/>
  <c r="I30" i="12" s="1"/>
  <c r="G85" i="14"/>
  <c r="F30" i="23"/>
  <c r="H29" i="23"/>
  <c r="H27" i="15"/>
  <c r="I27" i="15" s="1"/>
  <c r="I26" i="10"/>
  <c r="H27" i="10"/>
  <c r="F28" i="10"/>
  <c r="H28" i="15"/>
  <c r="H30" i="8"/>
  <c r="F31" i="8"/>
  <c r="I25" i="14"/>
  <c r="F30" i="15"/>
  <c r="H29" i="15"/>
  <c r="I27" i="23"/>
  <c r="I28" i="23" s="1"/>
  <c r="G41" i="15"/>
  <c r="H40" i="15"/>
  <c r="H41" i="16"/>
  <c r="F42" i="16"/>
  <c r="I28" i="8"/>
  <c r="I29" i="8" s="1"/>
  <c r="F43" i="15"/>
  <c r="G29" i="22"/>
  <c r="G89" i="22"/>
  <c r="H89" i="22" s="1"/>
  <c r="G28" i="22"/>
  <c r="F27" i="14"/>
  <c r="H26" i="14"/>
  <c r="I28" i="15" l="1"/>
  <c r="I29" i="15" s="1"/>
  <c r="F31" i="15"/>
  <c r="H30" i="15"/>
  <c r="F31" i="23"/>
  <c r="H30" i="23"/>
  <c r="H29" i="16"/>
  <c r="I29" i="16" s="1"/>
  <c r="F30" i="16"/>
  <c r="H28" i="22"/>
  <c r="I28" i="22" s="1"/>
  <c r="I29" i="22" s="1"/>
  <c r="F43" i="16"/>
  <c r="H42" i="16"/>
  <c r="I26" i="14"/>
  <c r="F32" i="22"/>
  <c r="I27" i="10"/>
  <c r="F34" i="12"/>
  <c r="H27" i="14"/>
  <c r="F28" i="14"/>
  <c r="G30" i="22"/>
  <c r="H29" i="22"/>
  <c r="F44" i="15"/>
  <c r="I29" i="23"/>
  <c r="G32" i="12"/>
  <c r="H31" i="12"/>
  <c r="I31" i="12" s="1"/>
  <c r="F29" i="10"/>
  <c r="H28" i="10"/>
  <c r="G42" i="15"/>
  <c r="H41" i="15"/>
  <c r="F32" i="8"/>
  <c r="H31" i="8"/>
  <c r="I30" i="8"/>
  <c r="I30" i="23" l="1"/>
  <c r="F35" i="12"/>
  <c r="H43" i="16"/>
  <c r="F44" i="16"/>
  <c r="F32" i="15"/>
  <c r="H31" i="15"/>
  <c r="I31" i="8"/>
  <c r="F30" i="10"/>
  <c r="H29" i="10"/>
  <c r="I28" i="10"/>
  <c r="F45" i="15"/>
  <c r="I30" i="15"/>
  <c r="G33" i="12"/>
  <c r="H32" i="12"/>
  <c r="I32" i="12" s="1"/>
  <c r="G31" i="22"/>
  <c r="H30" i="22"/>
  <c r="I30" i="22" s="1"/>
  <c r="F33" i="22"/>
  <c r="F31" i="16"/>
  <c r="H30" i="16"/>
  <c r="I30" i="16" s="1"/>
  <c r="H32" i="8"/>
  <c r="F33" i="8"/>
  <c r="F29" i="14"/>
  <c r="H28" i="14"/>
  <c r="I27" i="14"/>
  <c r="G43" i="15"/>
  <c r="H42" i="15"/>
  <c r="F32" i="23"/>
  <c r="H31" i="23"/>
  <c r="I29" i="10" l="1"/>
  <c r="I31" i="23"/>
  <c r="I31" i="15"/>
  <c r="I28" i="14"/>
  <c r="I32" i="8"/>
  <c r="G34" i="12"/>
  <c r="H33" i="12"/>
  <c r="I33" i="12" s="1"/>
  <c r="H30" i="10"/>
  <c r="I30" i="10" s="1"/>
  <c r="F31" i="10"/>
  <c r="H31" i="16"/>
  <c r="I31" i="16" s="1"/>
  <c r="F32" i="16"/>
  <c r="F33" i="15"/>
  <c r="H32" i="15"/>
  <c r="I32" i="15" s="1"/>
  <c r="F30" i="14"/>
  <c r="H29" i="14"/>
  <c r="I29" i="14" s="1"/>
  <c r="I31" i="22"/>
  <c r="F33" i="23"/>
  <c r="H32" i="23"/>
  <c r="I32" i="23" s="1"/>
  <c r="F46" i="15"/>
  <c r="F45" i="16"/>
  <c r="H44" i="16"/>
  <c r="F34" i="22"/>
  <c r="F34" i="8"/>
  <c r="H33" i="8"/>
  <c r="G32" i="22"/>
  <c r="H31" i="22"/>
  <c r="G44" i="15"/>
  <c r="H43" i="15"/>
  <c r="F36" i="12"/>
  <c r="I33" i="8" l="1"/>
  <c r="H31" i="10"/>
  <c r="I31" i="10" s="1"/>
  <c r="F32" i="10"/>
  <c r="F37" i="12"/>
  <c r="F47" i="15"/>
  <c r="H34" i="8"/>
  <c r="I34" i="8" s="1"/>
  <c r="F35" i="8"/>
  <c r="H30" i="14"/>
  <c r="I30" i="14" s="1"/>
  <c r="F31" i="14"/>
  <c r="G45" i="15"/>
  <c r="H44" i="15"/>
  <c r="F35" i="22"/>
  <c r="F34" i="15"/>
  <c r="H33" i="15"/>
  <c r="I33" i="15" s="1"/>
  <c r="F34" i="23"/>
  <c r="H33" i="23"/>
  <c r="I33" i="23" s="1"/>
  <c r="G35" i="12"/>
  <c r="H34" i="12"/>
  <c r="G33" i="22"/>
  <c r="H32" i="22"/>
  <c r="I34" i="12"/>
  <c r="I32" i="22"/>
  <c r="H32" i="16"/>
  <c r="I32" i="16" s="1"/>
  <c r="F33" i="16"/>
  <c r="H45" i="16"/>
  <c r="F46" i="16"/>
  <c r="F32" i="14" l="1"/>
  <c r="H31" i="14"/>
  <c r="I31" i="14" s="1"/>
  <c r="F38" i="12"/>
  <c r="H46" i="16"/>
  <c r="F47" i="16"/>
  <c r="F33" i="10"/>
  <c r="H32" i="10"/>
  <c r="I32" i="10" s="1"/>
  <c r="F35" i="23"/>
  <c r="H34" i="23"/>
  <c r="G34" i="22"/>
  <c r="H33" i="22"/>
  <c r="I33" i="22" s="1"/>
  <c r="F36" i="8"/>
  <c r="H35" i="8"/>
  <c r="I35" i="8" s="1"/>
  <c r="F35" i="15"/>
  <c r="H34" i="15"/>
  <c r="I34" i="15" s="1"/>
  <c r="F34" i="16"/>
  <c r="H33" i="16"/>
  <c r="I33" i="16" s="1"/>
  <c r="F36" i="22"/>
  <c r="G46" i="15"/>
  <c r="H45" i="15"/>
  <c r="G36" i="12"/>
  <c r="H35" i="12"/>
  <c r="I35" i="12" s="1"/>
  <c r="I34" i="23"/>
  <c r="F48" i="15"/>
  <c r="G37" i="12" l="1"/>
  <c r="H36" i="12"/>
  <c r="I36" i="12" s="1"/>
  <c r="F36" i="23"/>
  <c r="H35" i="23"/>
  <c r="F36" i="15"/>
  <c r="H35" i="15"/>
  <c r="I35" i="15" s="1"/>
  <c r="F33" i="14"/>
  <c r="H32" i="14"/>
  <c r="I32" i="14" s="1"/>
  <c r="G47" i="15"/>
  <c r="H46" i="15"/>
  <c r="H33" i="10"/>
  <c r="I33" i="10" s="1"/>
  <c r="F34" i="10"/>
  <c r="F37" i="8"/>
  <c r="H36" i="8"/>
  <c r="I36" i="8" s="1"/>
  <c r="H47" i="16"/>
  <c r="F48" i="16"/>
  <c r="F49" i="15"/>
  <c r="F37" i="22"/>
  <c r="G35" i="22"/>
  <c r="H34" i="22"/>
  <c r="I34" i="22" s="1"/>
  <c r="I35" i="23"/>
  <c r="F39" i="12"/>
  <c r="F35" i="16"/>
  <c r="H34" i="16"/>
  <c r="I34" i="16" s="1"/>
  <c r="F40" i="12" l="1"/>
  <c r="H48" i="16"/>
  <c r="F49" i="16"/>
  <c r="G48" i="15"/>
  <c r="H47" i="15"/>
  <c r="G38" i="12"/>
  <c r="H37" i="12"/>
  <c r="I37" i="12" s="1"/>
  <c r="G36" i="22"/>
  <c r="H35" i="22"/>
  <c r="I35" i="22" s="1"/>
  <c r="H33" i="14"/>
  <c r="I33" i="14" s="1"/>
  <c r="F34" i="14"/>
  <c r="F38" i="22"/>
  <c r="F38" i="8"/>
  <c r="H37" i="8"/>
  <c r="I37" i="8" s="1"/>
  <c r="F37" i="15"/>
  <c r="H36" i="15"/>
  <c r="I36" i="15" s="1"/>
  <c r="F36" i="16"/>
  <c r="H35" i="16"/>
  <c r="I35" i="16" s="1"/>
  <c r="H34" i="10"/>
  <c r="I34" i="10" s="1"/>
  <c r="F35" i="10"/>
  <c r="F50" i="15"/>
  <c r="H36" i="23"/>
  <c r="I36" i="23" s="1"/>
  <c r="F37" i="23"/>
  <c r="F51" i="15" l="1"/>
  <c r="F39" i="8"/>
  <c r="H38" i="8"/>
  <c r="I38" i="8" s="1"/>
  <c r="G39" i="12"/>
  <c r="H38" i="12"/>
  <c r="I38" i="12" s="1"/>
  <c r="F41" i="12"/>
  <c r="F36" i="10"/>
  <c r="H35" i="10"/>
  <c r="I35" i="10" s="1"/>
  <c r="F39" i="22"/>
  <c r="G49" i="15"/>
  <c r="H48" i="15"/>
  <c r="H34" i="14"/>
  <c r="I34" i="14" s="1"/>
  <c r="F35" i="14"/>
  <c r="F50" i="16"/>
  <c r="H49" i="16"/>
  <c r="H36" i="16"/>
  <c r="I36" i="16" s="1"/>
  <c r="F37" i="16"/>
  <c r="H37" i="23"/>
  <c r="I37" i="23" s="1"/>
  <c r="F38" i="23"/>
  <c r="F38" i="15"/>
  <c r="H37" i="15"/>
  <c r="I37" i="15" s="1"/>
  <c r="G37" i="22"/>
  <c r="H36" i="22"/>
  <c r="I36" i="22" s="1"/>
  <c r="F39" i="15" l="1"/>
  <c r="H39" i="15" s="1"/>
  <c r="H38" i="15"/>
  <c r="I38" i="15" s="1"/>
  <c r="F42" i="12"/>
  <c r="F39" i="23"/>
  <c r="H38" i="23"/>
  <c r="I38" i="23" s="1"/>
  <c r="F52" i="15"/>
  <c r="G50" i="15"/>
  <c r="H49" i="15"/>
  <c r="F38" i="16"/>
  <c r="H38" i="16" s="1"/>
  <c r="H37" i="16"/>
  <c r="I37" i="16" s="1"/>
  <c r="I38" i="16" s="1"/>
  <c r="I39" i="16" s="1"/>
  <c r="I40" i="16" s="1"/>
  <c r="I41" i="16" s="1"/>
  <c r="I42" i="16" s="1"/>
  <c r="I43" i="16" s="1"/>
  <c r="I44" i="16" s="1"/>
  <c r="I45" i="16" s="1"/>
  <c r="I46" i="16" s="1"/>
  <c r="I47" i="16" s="1"/>
  <c r="I48" i="16" s="1"/>
  <c r="I49" i="16" s="1"/>
  <c r="G40" i="12"/>
  <c r="H39" i="12"/>
  <c r="I39" i="12" s="1"/>
  <c r="F37" i="10"/>
  <c r="H36" i="10"/>
  <c r="I36" i="10" s="1"/>
  <c r="F40" i="22"/>
  <c r="F36" i="14"/>
  <c r="H35" i="14"/>
  <c r="I35" i="14" s="1"/>
  <c r="H39" i="8"/>
  <c r="I39" i="8" s="1"/>
  <c r="F40" i="8"/>
  <c r="G38" i="22"/>
  <c r="H37" i="22"/>
  <c r="I37" i="22" s="1"/>
  <c r="H50" i="16"/>
  <c r="F51" i="16"/>
  <c r="I50" i="16" l="1"/>
  <c r="I39" i="15"/>
  <c r="I40" i="15" s="1"/>
  <c r="I41" i="15" s="1"/>
  <c r="I42" i="15" s="1"/>
  <c r="I43" i="15" s="1"/>
  <c r="I44" i="15" s="1"/>
  <c r="I45" i="15" s="1"/>
  <c r="I46" i="15" s="1"/>
  <c r="I47" i="15" s="1"/>
  <c r="I48" i="15" s="1"/>
  <c r="I49" i="15" s="1"/>
  <c r="F41" i="22"/>
  <c r="G51" i="15"/>
  <c r="H50" i="15"/>
  <c r="F41" i="8"/>
  <c r="H40" i="8"/>
  <c r="I40" i="8" s="1"/>
  <c r="H37" i="10"/>
  <c r="I37" i="10" s="1"/>
  <c r="F38" i="10"/>
  <c r="F53" i="15"/>
  <c r="G41" i="12"/>
  <c r="H40" i="12"/>
  <c r="I40" i="12" s="1"/>
  <c r="I39" i="23"/>
  <c r="F37" i="14"/>
  <c r="H36" i="14"/>
  <c r="I36" i="14" s="1"/>
  <c r="F52" i="16"/>
  <c r="H51" i="16"/>
  <c r="I51" i="16" s="1"/>
  <c r="H39" i="23"/>
  <c r="F40" i="23"/>
  <c r="G39" i="22"/>
  <c r="H38" i="22"/>
  <c r="I38" i="22" s="1"/>
  <c r="F43" i="12"/>
  <c r="I50" i="15" l="1"/>
  <c r="F42" i="22"/>
  <c r="H52" i="16"/>
  <c r="I52" i="16" s="1"/>
  <c r="F53" i="16"/>
  <c r="F54" i="15"/>
  <c r="F44" i="12"/>
  <c r="F39" i="10"/>
  <c r="H38" i="10"/>
  <c r="I38" i="10" s="1"/>
  <c r="H37" i="14"/>
  <c r="I37" i="14" s="1"/>
  <c r="F38" i="14"/>
  <c r="G40" i="22"/>
  <c r="H39" i="22"/>
  <c r="I39" i="22" s="1"/>
  <c r="H41" i="8"/>
  <c r="I41" i="8" s="1"/>
  <c r="F42" i="8"/>
  <c r="F41" i="23"/>
  <c r="H40" i="23"/>
  <c r="I40" i="23" s="1"/>
  <c r="G42" i="12"/>
  <c r="H41" i="12"/>
  <c r="I41" i="12" s="1"/>
  <c r="G52" i="15"/>
  <c r="H51" i="15"/>
  <c r="I51" i="15" s="1"/>
  <c r="H39" i="10" l="1"/>
  <c r="I39" i="10" s="1"/>
  <c r="F40" i="10"/>
  <c r="G53" i="15"/>
  <c r="H52" i="15"/>
  <c r="I52" i="15" s="1"/>
  <c r="G41" i="22"/>
  <c r="H40" i="22"/>
  <c r="I40" i="22" s="1"/>
  <c r="F45" i="12"/>
  <c r="H42" i="8"/>
  <c r="I42" i="8" s="1"/>
  <c r="F43" i="8"/>
  <c r="G43" i="12"/>
  <c r="H42" i="12"/>
  <c r="I42" i="12" s="1"/>
  <c r="H38" i="14"/>
  <c r="I38" i="14" s="1"/>
  <c r="F39" i="14"/>
  <c r="F55" i="15"/>
  <c r="F43" i="22"/>
  <c r="H53" i="16"/>
  <c r="I53" i="16" s="1"/>
  <c r="F54" i="16"/>
  <c r="H41" i="23"/>
  <c r="I41" i="23" s="1"/>
  <c r="F42" i="23"/>
  <c r="F43" i="23" l="1"/>
  <c r="H42" i="23"/>
  <c r="I42" i="23" s="1"/>
  <c r="F56" i="15"/>
  <c r="F41" i="10"/>
  <c r="H40" i="10"/>
  <c r="I40" i="10" s="1"/>
  <c r="G54" i="15"/>
  <c r="H53" i="15"/>
  <c r="I53" i="15" s="1"/>
  <c r="F40" i="14"/>
  <c r="H39" i="14"/>
  <c r="I39" i="14" s="1"/>
  <c r="F46" i="12"/>
  <c r="H54" i="16"/>
  <c r="I54" i="16" s="1"/>
  <c r="F55" i="16"/>
  <c r="G44" i="12"/>
  <c r="H43" i="12"/>
  <c r="I43" i="12" s="1"/>
  <c r="G42" i="22"/>
  <c r="H41" i="22"/>
  <c r="I41" i="22" s="1"/>
  <c r="F44" i="8"/>
  <c r="H43" i="8"/>
  <c r="I43" i="8" s="1"/>
  <c r="F44" i="22"/>
  <c r="H43" i="23" l="1"/>
  <c r="I43" i="23" s="1"/>
  <c r="F44" i="23"/>
  <c r="G43" i="22"/>
  <c r="H42" i="22"/>
  <c r="I42" i="22" s="1"/>
  <c r="F45" i="22"/>
  <c r="G45" i="12"/>
  <c r="H44" i="12"/>
  <c r="I44" i="12" s="1"/>
  <c r="G55" i="15"/>
  <c r="H54" i="15"/>
  <c r="I54" i="15" s="1"/>
  <c r="F56" i="16"/>
  <c r="H55" i="16"/>
  <c r="I55" i="16" s="1"/>
  <c r="H40" i="14"/>
  <c r="I40" i="14" s="1"/>
  <c r="F41" i="14"/>
  <c r="F42" i="10"/>
  <c r="H41" i="10"/>
  <c r="I41" i="10" s="1"/>
  <c r="H44" i="8"/>
  <c r="I44" i="8" s="1"/>
  <c r="F45" i="8"/>
  <c r="F47" i="12"/>
  <c r="F57" i="15"/>
  <c r="F45" i="23" l="1"/>
  <c r="H44" i="23"/>
  <c r="I44" i="23" s="1"/>
  <c r="F43" i="10"/>
  <c r="H42" i="10"/>
  <c r="I42" i="10" s="1"/>
  <c r="G56" i="15"/>
  <c r="H55" i="15"/>
  <c r="I55" i="15" s="1"/>
  <c r="F42" i="14"/>
  <c r="H41" i="14"/>
  <c r="I41" i="14" s="1"/>
  <c r="F58" i="15"/>
  <c r="F46" i="22"/>
  <c r="F48" i="12"/>
  <c r="G46" i="12"/>
  <c r="H45" i="12"/>
  <c r="I45" i="12" s="1"/>
  <c r="F46" i="8"/>
  <c r="H45" i="8"/>
  <c r="I45" i="8" s="1"/>
  <c r="H56" i="16"/>
  <c r="I56" i="16" s="1"/>
  <c r="F57" i="16"/>
  <c r="G44" i="22"/>
  <c r="H43" i="22"/>
  <c r="I43" i="22" s="1"/>
  <c r="F59" i="15" l="1"/>
  <c r="H43" i="10"/>
  <c r="I43" i="10" s="1"/>
  <c r="F44" i="10"/>
  <c r="G47" i="12"/>
  <c r="H46" i="12"/>
  <c r="I46" i="12" s="1"/>
  <c r="F46" i="23"/>
  <c r="H45" i="23"/>
  <c r="I45" i="23" s="1"/>
  <c r="F49" i="12"/>
  <c r="H57" i="16"/>
  <c r="I57" i="16" s="1"/>
  <c r="F58" i="16"/>
  <c r="H42" i="14"/>
  <c r="I42" i="14" s="1"/>
  <c r="F43" i="14"/>
  <c r="F47" i="22"/>
  <c r="G57" i="15"/>
  <c r="H56" i="15"/>
  <c r="I56" i="15" s="1"/>
  <c r="G45" i="22"/>
  <c r="H44" i="22"/>
  <c r="I44" i="22" s="1"/>
  <c r="H46" i="8"/>
  <c r="I46" i="8" s="1"/>
  <c r="F47" i="8"/>
  <c r="F50" i="12" l="1"/>
  <c r="F48" i="22"/>
  <c r="F60" i="15"/>
  <c r="F48" i="8"/>
  <c r="H47" i="8"/>
  <c r="I47" i="8" s="1"/>
  <c r="I44" i="10"/>
  <c r="F47" i="23"/>
  <c r="H46" i="23"/>
  <c r="I46" i="23" s="1"/>
  <c r="H43" i="14"/>
  <c r="I43" i="14" s="1"/>
  <c r="F44" i="14"/>
  <c r="G46" i="22"/>
  <c r="H45" i="22"/>
  <c r="I45" i="22" s="1"/>
  <c r="H58" i="16"/>
  <c r="I58" i="16" s="1"/>
  <c r="F59" i="16"/>
  <c r="G48" i="12"/>
  <c r="H47" i="12"/>
  <c r="I47" i="12" s="1"/>
  <c r="F45" i="10"/>
  <c r="H44" i="10"/>
  <c r="G58" i="15"/>
  <c r="H57" i="15"/>
  <c r="I57" i="15" s="1"/>
  <c r="H59" i="16" l="1"/>
  <c r="I59" i="16" s="1"/>
  <c r="F60" i="16"/>
  <c r="F48" i="23"/>
  <c r="H47" i="23"/>
  <c r="I47" i="23" s="1"/>
  <c r="F51" i="12"/>
  <c r="G59" i="15"/>
  <c r="H58" i="15"/>
  <c r="I58" i="15" s="1"/>
  <c r="G47" i="22"/>
  <c r="H46" i="22"/>
  <c r="I46" i="22" s="1"/>
  <c r="H48" i="8"/>
  <c r="I48" i="8" s="1"/>
  <c r="F49" i="8"/>
  <c r="F46" i="10"/>
  <c r="H45" i="10"/>
  <c r="I45" i="10" s="1"/>
  <c r="F45" i="14"/>
  <c r="H44" i="14"/>
  <c r="I44" i="14" s="1"/>
  <c r="F61" i="15"/>
  <c r="G49" i="12"/>
  <c r="H48" i="12"/>
  <c r="I48" i="12" s="1"/>
  <c r="F49" i="22"/>
  <c r="F46" i="14" l="1"/>
  <c r="H45" i="14"/>
  <c r="I45" i="14" s="1"/>
  <c r="G60" i="15"/>
  <c r="H59" i="15"/>
  <c r="I59" i="15" s="1"/>
  <c r="F50" i="22"/>
  <c r="F47" i="10"/>
  <c r="H46" i="10"/>
  <c r="I46" i="10" s="1"/>
  <c r="F52" i="12"/>
  <c r="H49" i="8"/>
  <c r="I49" i="8" s="1"/>
  <c r="F50" i="8"/>
  <c r="G50" i="12"/>
  <c r="H49" i="12"/>
  <c r="I49" i="12" s="1"/>
  <c r="H48" i="23"/>
  <c r="I48" i="23" s="1"/>
  <c r="F49" i="23"/>
  <c r="F62" i="15"/>
  <c r="G48" i="22"/>
  <c r="H47" i="22"/>
  <c r="I47" i="22" s="1"/>
  <c r="F61" i="16"/>
  <c r="H60" i="16"/>
  <c r="I60" i="16" s="1"/>
  <c r="F50" i="23" l="1"/>
  <c r="H49" i="23"/>
  <c r="I49" i="23" s="1"/>
  <c r="F47" i="14"/>
  <c r="H46" i="14"/>
  <c r="I46" i="14" s="1"/>
  <c r="F48" i="10"/>
  <c r="H47" i="10"/>
  <c r="I47" i="10" s="1"/>
  <c r="G51" i="12"/>
  <c r="H50" i="12"/>
  <c r="I50" i="12" s="1"/>
  <c r="H50" i="8"/>
  <c r="I50" i="8" s="1"/>
  <c r="F51" i="8"/>
  <c r="F51" i="22"/>
  <c r="F62" i="16"/>
  <c r="H61" i="16"/>
  <c r="I61" i="16" s="1"/>
  <c r="G49" i="22"/>
  <c r="H48" i="22"/>
  <c r="I48" i="22" s="1"/>
  <c r="G61" i="15"/>
  <c r="H60" i="15"/>
  <c r="I60" i="15" s="1"/>
  <c r="F63" i="15"/>
  <c r="F53" i="12"/>
  <c r="H50" i="23" l="1"/>
  <c r="I50" i="23" s="1"/>
  <c r="F51" i="23"/>
  <c r="G50" i="22"/>
  <c r="H49" i="22"/>
  <c r="I49" i="22" s="1"/>
  <c r="G52" i="12"/>
  <c r="H51" i="12"/>
  <c r="I51" i="12" s="1"/>
  <c r="F54" i="12"/>
  <c r="F52" i="22"/>
  <c r="H48" i="10"/>
  <c r="I48" i="10" s="1"/>
  <c r="F49" i="10"/>
  <c r="F64" i="15"/>
  <c r="F63" i="16"/>
  <c r="H62" i="16"/>
  <c r="I62" i="16" s="1"/>
  <c r="F52" i="8"/>
  <c r="H51" i="8"/>
  <c r="I51" i="8" s="1"/>
  <c r="F48" i="14"/>
  <c r="H47" i="14"/>
  <c r="I47" i="14" s="1"/>
  <c r="G62" i="15"/>
  <c r="H61" i="15"/>
  <c r="I61" i="15" s="1"/>
  <c r="G51" i="22" l="1"/>
  <c r="H50" i="22"/>
  <c r="I50" i="22" s="1"/>
  <c r="H63" i="16"/>
  <c r="I63" i="16" s="1"/>
  <c r="F64" i="16"/>
  <c r="F52" i="23"/>
  <c r="H51" i="23"/>
  <c r="I51" i="23" s="1"/>
  <c r="F55" i="12"/>
  <c r="H49" i="10"/>
  <c r="I49" i="10" s="1"/>
  <c r="F50" i="10"/>
  <c r="F65" i="15"/>
  <c r="H48" i="14"/>
  <c r="I48" i="14" s="1"/>
  <c r="F49" i="14"/>
  <c r="G63" i="15"/>
  <c r="H62" i="15"/>
  <c r="I62" i="15" s="1"/>
  <c r="G53" i="12"/>
  <c r="H52" i="12"/>
  <c r="I52" i="12" s="1"/>
  <c r="F53" i="8"/>
  <c r="H52" i="8"/>
  <c r="I52" i="8" s="1"/>
  <c r="F53" i="22"/>
  <c r="G64" i="15" l="1"/>
  <c r="H63" i="15"/>
  <c r="I63" i="15" s="1"/>
  <c r="H49" i="14"/>
  <c r="I49" i="14" s="1"/>
  <c r="F50" i="14"/>
  <c r="F56" i="12"/>
  <c r="G52" i="22"/>
  <c r="H51" i="22"/>
  <c r="I51" i="22" s="1"/>
  <c r="F54" i="8"/>
  <c r="H53" i="8"/>
  <c r="I53" i="8" s="1"/>
  <c r="F66" i="15"/>
  <c r="F54" i="22"/>
  <c r="H52" i="23"/>
  <c r="I52" i="23" s="1"/>
  <c r="F53" i="23"/>
  <c r="G54" i="12"/>
  <c r="H53" i="12"/>
  <c r="I53" i="12" s="1"/>
  <c r="F51" i="10"/>
  <c r="H50" i="10"/>
  <c r="I50" i="10" s="1"/>
  <c r="H64" i="16"/>
  <c r="I64" i="16" s="1"/>
  <c r="F65" i="16"/>
  <c r="H53" i="23" l="1"/>
  <c r="I53" i="23" s="1"/>
  <c r="F54" i="23"/>
  <c r="I54" i="8"/>
  <c r="G53" i="22"/>
  <c r="H52" i="22"/>
  <c r="I52" i="22" s="1"/>
  <c r="H65" i="16"/>
  <c r="I65" i="16" s="1"/>
  <c r="F66" i="16"/>
  <c r="F57" i="12"/>
  <c r="H50" i="14"/>
  <c r="I50" i="14" s="1"/>
  <c r="F51" i="14"/>
  <c r="F52" i="10"/>
  <c r="H51" i="10"/>
  <c r="I51" i="10" s="1"/>
  <c r="F67" i="15"/>
  <c r="F55" i="22"/>
  <c r="G55" i="12"/>
  <c r="H54" i="12"/>
  <c r="I54" i="12" s="1"/>
  <c r="H54" i="8"/>
  <c r="F55" i="8"/>
  <c r="G65" i="15"/>
  <c r="H64" i="15"/>
  <c r="I64" i="15" s="1"/>
  <c r="F56" i="22" l="1"/>
  <c r="F58" i="12"/>
  <c r="H54" i="23"/>
  <c r="I54" i="23" s="1"/>
  <c r="F55" i="23"/>
  <c r="F67" i="16"/>
  <c r="H66" i="16"/>
  <c r="I66" i="16" s="1"/>
  <c r="F68" i="15"/>
  <c r="H55" i="8"/>
  <c r="I55" i="8" s="1"/>
  <c r="F56" i="8"/>
  <c r="G66" i="15"/>
  <c r="H65" i="15"/>
  <c r="I65" i="15" s="1"/>
  <c r="F53" i="10"/>
  <c r="H52" i="10"/>
  <c r="I52" i="10" s="1"/>
  <c r="F52" i="14"/>
  <c r="H51" i="14"/>
  <c r="I51" i="14" s="1"/>
  <c r="G56" i="12"/>
  <c r="H55" i="12"/>
  <c r="I55" i="12" s="1"/>
  <c r="G54" i="22"/>
  <c r="H53" i="22"/>
  <c r="I53" i="22" s="1"/>
  <c r="F53" i="14" l="1"/>
  <c r="H52" i="14"/>
  <c r="I52" i="14" s="1"/>
  <c r="F69" i="15"/>
  <c r="H53" i="10"/>
  <c r="I53" i="10" s="1"/>
  <c r="F54" i="10"/>
  <c r="F57" i="22"/>
  <c r="F68" i="16"/>
  <c r="H67" i="16"/>
  <c r="I67" i="16" s="1"/>
  <c r="G67" i="15"/>
  <c r="H66" i="15"/>
  <c r="I66" i="15" s="1"/>
  <c r="G55" i="22"/>
  <c r="H54" i="22"/>
  <c r="I54" i="22" s="1"/>
  <c r="G57" i="12"/>
  <c r="H56" i="12"/>
  <c r="I56" i="12" s="1"/>
  <c r="H56" i="8"/>
  <c r="I56" i="8" s="1"/>
  <c r="F57" i="8"/>
  <c r="F56" i="23"/>
  <c r="H55" i="23"/>
  <c r="I55" i="23" s="1"/>
  <c r="F59" i="12"/>
  <c r="F69" i="16" l="1"/>
  <c r="H68" i="16"/>
  <c r="I68" i="16" s="1"/>
  <c r="F70" i="15"/>
  <c r="G58" i="12"/>
  <c r="H57" i="12"/>
  <c r="I57" i="12" s="1"/>
  <c r="F58" i="22"/>
  <c r="F60" i="12"/>
  <c r="F54" i="14"/>
  <c r="H53" i="14"/>
  <c r="I53" i="14" s="1"/>
  <c r="G56" i="22"/>
  <c r="H55" i="22"/>
  <c r="I55" i="22" s="1"/>
  <c r="F55" i="10"/>
  <c r="H54" i="10"/>
  <c r="I54" i="10" s="1"/>
  <c r="H56" i="23"/>
  <c r="I56" i="23" s="1"/>
  <c r="F57" i="23"/>
  <c r="F58" i="8"/>
  <c r="H57" i="8"/>
  <c r="I57" i="8" s="1"/>
  <c r="G68" i="15"/>
  <c r="H67" i="15"/>
  <c r="I67" i="15" s="1"/>
  <c r="H55" i="10" l="1"/>
  <c r="I55" i="10" s="1"/>
  <c r="F56" i="10"/>
  <c r="F59" i="22"/>
  <c r="F70" i="16"/>
  <c r="H69" i="16"/>
  <c r="I69" i="16" s="1"/>
  <c r="F61" i="12"/>
  <c r="G69" i="15"/>
  <c r="H68" i="15"/>
  <c r="I68" i="15" s="1"/>
  <c r="G57" i="22"/>
  <c r="H56" i="22"/>
  <c r="I56" i="22" s="1"/>
  <c r="F58" i="23"/>
  <c r="H57" i="23"/>
  <c r="I57" i="23" s="1"/>
  <c r="F55" i="14"/>
  <c r="H54" i="14"/>
  <c r="I54" i="14" s="1"/>
  <c r="F71" i="15"/>
  <c r="G59" i="12"/>
  <c r="H58" i="12"/>
  <c r="I58" i="12" s="1"/>
  <c r="F59" i="8"/>
  <c r="H58" i="8"/>
  <c r="I58" i="8" s="1"/>
  <c r="F56" i="14" l="1"/>
  <c r="H55" i="14"/>
  <c r="I55" i="14" s="1"/>
  <c r="F62" i="12"/>
  <c r="F57" i="10"/>
  <c r="H56" i="10"/>
  <c r="I56" i="10" s="1"/>
  <c r="H58" i="23"/>
  <c r="I58" i="23" s="1"/>
  <c r="F59" i="23"/>
  <c r="H70" i="16"/>
  <c r="I70" i="16" s="1"/>
  <c r="F71" i="16"/>
  <c r="F60" i="22"/>
  <c r="H59" i="8"/>
  <c r="I59" i="8" s="1"/>
  <c r="F60" i="8"/>
  <c r="G60" i="12"/>
  <c r="H59" i="12"/>
  <c r="I59" i="12" s="1"/>
  <c r="G58" i="22"/>
  <c r="H57" i="22"/>
  <c r="I57" i="22" s="1"/>
  <c r="F72" i="15"/>
  <c r="G70" i="15"/>
  <c r="H69" i="15"/>
  <c r="I69" i="15" s="1"/>
  <c r="G61" i="12" l="1"/>
  <c r="H60" i="12"/>
  <c r="I60" i="12" s="1"/>
  <c r="F60" i="23"/>
  <c r="H59" i="23"/>
  <c r="I59" i="23" s="1"/>
  <c r="H60" i="8"/>
  <c r="I60" i="8" s="1"/>
  <c r="F61" i="8"/>
  <c r="G71" i="15"/>
  <c r="H70" i="15"/>
  <c r="I70" i="15" s="1"/>
  <c r="H57" i="10"/>
  <c r="I57" i="10" s="1"/>
  <c r="F58" i="10"/>
  <c r="F73" i="15"/>
  <c r="F57" i="14"/>
  <c r="H56" i="14"/>
  <c r="I56" i="14"/>
  <c r="F63" i="12"/>
  <c r="F61" i="22"/>
  <c r="G59" i="22"/>
  <c r="H58" i="22"/>
  <c r="I58" i="22" s="1"/>
  <c r="H71" i="16"/>
  <c r="I71" i="16" s="1"/>
  <c r="F72" i="16"/>
  <c r="F64" i="12" l="1"/>
  <c r="G62" i="12"/>
  <c r="H61" i="12"/>
  <c r="I61" i="12"/>
  <c r="F59" i="10"/>
  <c r="H58" i="10"/>
  <c r="I58" i="10" s="1"/>
  <c r="H72" i="16"/>
  <c r="I72" i="16" s="1"/>
  <c r="F73" i="16"/>
  <c r="G72" i="15"/>
  <c r="H71" i="15"/>
  <c r="I71" i="15" s="1"/>
  <c r="H57" i="14"/>
  <c r="I57" i="14" s="1"/>
  <c r="F58" i="14"/>
  <c r="F62" i="8"/>
  <c r="H61" i="8"/>
  <c r="I61" i="8" s="1"/>
  <c r="G60" i="22"/>
  <c r="H59" i="22"/>
  <c r="I59" i="22" s="1"/>
  <c r="F61" i="23"/>
  <c r="H60" i="23"/>
  <c r="I60" i="23" s="1"/>
  <c r="F74" i="15"/>
  <c r="F62" i="22"/>
  <c r="F65" i="12" l="1"/>
  <c r="F63" i="22"/>
  <c r="H73" i="16"/>
  <c r="I73" i="16" s="1"/>
  <c r="F74" i="16"/>
  <c r="G61" i="22"/>
  <c r="H60" i="22"/>
  <c r="I60" i="22" s="1"/>
  <c r="H59" i="10"/>
  <c r="I59" i="10" s="1"/>
  <c r="F60" i="10"/>
  <c r="G63" i="12"/>
  <c r="H62" i="12"/>
  <c r="I62" i="12" s="1"/>
  <c r="H62" i="8"/>
  <c r="I62" i="8" s="1"/>
  <c r="F63" i="8"/>
  <c r="H58" i="14"/>
  <c r="I58" i="14" s="1"/>
  <c r="F59" i="14"/>
  <c r="F75" i="15"/>
  <c r="F62" i="23"/>
  <c r="H61" i="23"/>
  <c r="I61" i="23" s="1"/>
  <c r="G73" i="15"/>
  <c r="H72" i="15"/>
  <c r="I72" i="15" s="1"/>
  <c r="F66" i="12" l="1"/>
  <c r="F64" i="8"/>
  <c r="H63" i="8"/>
  <c r="I63" i="8" s="1"/>
  <c r="G62" i="22"/>
  <c r="H61" i="22"/>
  <c r="I61" i="22" s="1"/>
  <c r="F75" i="16"/>
  <c r="H74" i="16"/>
  <c r="I74" i="16" s="1"/>
  <c r="H62" i="23"/>
  <c r="I62" i="23" s="1"/>
  <c r="F63" i="23"/>
  <c r="G64" i="12"/>
  <c r="H63" i="12"/>
  <c r="I63" i="12" s="1"/>
  <c r="H59" i="14"/>
  <c r="I59" i="14" s="1"/>
  <c r="F60" i="14"/>
  <c r="G74" i="15"/>
  <c r="H73" i="15"/>
  <c r="I73" i="15" s="1"/>
  <c r="F76" i="15"/>
  <c r="F61" i="10"/>
  <c r="H60" i="10"/>
  <c r="I60" i="10" s="1"/>
  <c r="F64" i="22"/>
  <c r="F67" i="12" l="1"/>
  <c r="G75" i="15"/>
  <c r="H74" i="15"/>
  <c r="I74" i="15" s="1"/>
  <c r="H75" i="16"/>
  <c r="I75" i="16" s="1"/>
  <c r="F76" i="16"/>
  <c r="F61" i="14"/>
  <c r="H60" i="14"/>
  <c r="I60" i="14" s="1"/>
  <c r="F65" i="22"/>
  <c r="G63" i="22"/>
  <c r="H62" i="22"/>
  <c r="I62" i="22" s="1"/>
  <c r="H61" i="10"/>
  <c r="I61" i="10" s="1"/>
  <c r="F62" i="10"/>
  <c r="G65" i="12"/>
  <c r="H64" i="12"/>
  <c r="I64" i="12" s="1"/>
  <c r="F64" i="23"/>
  <c r="H63" i="23"/>
  <c r="I63" i="23" s="1"/>
  <c r="F65" i="8"/>
  <c r="H64" i="8"/>
  <c r="I64" i="8" s="1"/>
  <c r="F77" i="15"/>
  <c r="F68" i="12" l="1"/>
  <c r="F78" i="15"/>
  <c r="F77" i="16"/>
  <c r="H76" i="16"/>
  <c r="I76" i="16" s="1"/>
  <c r="F66" i="8"/>
  <c r="H65" i="8"/>
  <c r="I65" i="8" s="1"/>
  <c r="G64" i="22"/>
  <c r="H63" i="22"/>
  <c r="I63" i="22" s="1"/>
  <c r="F63" i="10"/>
  <c r="H62" i="10"/>
  <c r="I62" i="10" s="1"/>
  <c r="G66" i="12"/>
  <c r="H65" i="12"/>
  <c r="I65" i="12" s="1"/>
  <c r="F62" i="14"/>
  <c r="H61" i="14"/>
  <c r="I61" i="14" s="1"/>
  <c r="H64" i="23"/>
  <c r="I64" i="23" s="1"/>
  <c r="F65" i="23"/>
  <c r="F66" i="22"/>
  <c r="G76" i="15"/>
  <c r="H75" i="15"/>
  <c r="I75" i="15" s="1"/>
  <c r="H66" i="8" l="1"/>
  <c r="I66" i="8" s="1"/>
  <c r="F67" i="8"/>
  <c r="F69" i="12"/>
  <c r="F63" i="14"/>
  <c r="H62" i="14"/>
  <c r="I62" i="14" s="1"/>
  <c r="G77" i="15"/>
  <c r="H76" i="15"/>
  <c r="I76" i="15" s="1"/>
  <c r="G67" i="12"/>
  <c r="H66" i="12"/>
  <c r="I66" i="12" s="1"/>
  <c r="F78" i="16"/>
  <c r="H77" i="16"/>
  <c r="I77" i="16" s="1"/>
  <c r="F67" i="22"/>
  <c r="H63" i="10"/>
  <c r="I63" i="10" s="1"/>
  <c r="F64" i="10"/>
  <c r="F79" i="15"/>
  <c r="H65" i="23"/>
  <c r="I65" i="23" s="1"/>
  <c r="F66" i="23"/>
  <c r="G65" i="22"/>
  <c r="H64" i="22"/>
  <c r="I64" i="22" s="1"/>
  <c r="G78" i="15" l="1"/>
  <c r="H77" i="15"/>
  <c r="I77" i="15" s="1"/>
  <c r="H64" i="10"/>
  <c r="I64" i="10" s="1"/>
  <c r="F65" i="10"/>
  <c r="F68" i="22"/>
  <c r="H63" i="14"/>
  <c r="I63" i="14" s="1"/>
  <c r="F64" i="14"/>
  <c r="H66" i="23"/>
  <c r="I66" i="23" s="1"/>
  <c r="F67" i="23"/>
  <c r="F70" i="12"/>
  <c r="I67" i="8"/>
  <c r="H78" i="16"/>
  <c r="I78" i="16" s="1"/>
  <c r="F79" i="16"/>
  <c r="G66" i="22"/>
  <c r="H65" i="22"/>
  <c r="I65" i="22" s="1"/>
  <c r="F68" i="8"/>
  <c r="H67" i="8"/>
  <c r="F80" i="15"/>
  <c r="G68" i="12"/>
  <c r="H67" i="12"/>
  <c r="I67" i="12" s="1"/>
  <c r="G67" i="22" l="1"/>
  <c r="H66" i="22"/>
  <c r="I66" i="22" s="1"/>
  <c r="H64" i="14"/>
  <c r="I64" i="14" s="1"/>
  <c r="F65" i="14"/>
  <c r="G79" i="15"/>
  <c r="H78" i="15"/>
  <c r="I78" i="15" s="1"/>
  <c r="H79" i="16"/>
  <c r="I79" i="16" s="1"/>
  <c r="F80" i="16"/>
  <c r="F69" i="22"/>
  <c r="F81" i="15"/>
  <c r="G69" i="12"/>
  <c r="H68" i="12"/>
  <c r="I68" i="12" s="1"/>
  <c r="F71" i="12"/>
  <c r="H65" i="10"/>
  <c r="I65" i="10" s="1"/>
  <c r="F66" i="10"/>
  <c r="H68" i="8"/>
  <c r="I68" i="8" s="1"/>
  <c r="F69" i="8"/>
  <c r="H67" i="23"/>
  <c r="I67" i="23" s="1"/>
  <c r="F68" i="23"/>
  <c r="G68" i="22" l="1"/>
  <c r="H67" i="22"/>
  <c r="I67" i="22" s="1"/>
  <c r="H80" i="16"/>
  <c r="I80" i="16" s="1"/>
  <c r="F81" i="16"/>
  <c r="F72" i="12"/>
  <c r="H69" i="8"/>
  <c r="I69" i="8" s="1"/>
  <c r="F70" i="8"/>
  <c r="F70" i="22"/>
  <c r="H68" i="23"/>
  <c r="I68" i="23" s="1"/>
  <c r="F69" i="23"/>
  <c r="F67" i="10"/>
  <c r="H66" i="10"/>
  <c r="I66" i="10" s="1"/>
  <c r="F82" i="15"/>
  <c r="G80" i="15"/>
  <c r="H79" i="15"/>
  <c r="I79" i="15" s="1"/>
  <c r="G70" i="12"/>
  <c r="H69" i="12"/>
  <c r="I69" i="12" s="1"/>
  <c r="F66" i="14"/>
  <c r="H65" i="14"/>
  <c r="I65" i="14" s="1"/>
  <c r="G69" i="22" l="1"/>
  <c r="H68" i="22"/>
  <c r="I68" i="22" s="1"/>
  <c r="H70" i="8"/>
  <c r="I70" i="8" s="1"/>
  <c r="F71" i="8"/>
  <c r="H69" i="23"/>
  <c r="I69" i="23" s="1"/>
  <c r="F70" i="23"/>
  <c r="H66" i="14"/>
  <c r="I66" i="14" s="1"/>
  <c r="F67" i="14"/>
  <c r="G71" i="12"/>
  <c r="H70" i="12"/>
  <c r="I70" i="12" s="1"/>
  <c r="H81" i="16"/>
  <c r="I81" i="16" s="1"/>
  <c r="F82" i="16"/>
  <c r="H67" i="10"/>
  <c r="I67" i="10" s="1"/>
  <c r="F68" i="10"/>
  <c r="F83" i="15"/>
  <c r="F73" i="12"/>
  <c r="G81" i="15"/>
  <c r="H80" i="15"/>
  <c r="I80" i="15" s="1"/>
  <c r="F71" i="22"/>
  <c r="F72" i="22" l="1"/>
  <c r="F69" i="10"/>
  <c r="H68" i="10"/>
  <c r="I68" i="10" s="1"/>
  <c r="G70" i="22"/>
  <c r="H69" i="22"/>
  <c r="I69" i="22" s="1"/>
  <c r="H82" i="16"/>
  <c r="I82" i="16" s="1"/>
  <c r="F83" i="16"/>
  <c r="H70" i="23"/>
  <c r="I70" i="23" s="1"/>
  <c r="F71" i="23"/>
  <c r="G82" i="15"/>
  <c r="H81" i="15"/>
  <c r="I81" i="15" s="1"/>
  <c r="F84" i="15"/>
  <c r="H67" i="14"/>
  <c r="I67" i="14" s="1"/>
  <c r="F68" i="14"/>
  <c r="F74" i="12"/>
  <c r="G72" i="12"/>
  <c r="H71" i="12"/>
  <c r="I71" i="12" s="1"/>
  <c r="F72" i="8"/>
  <c r="H71" i="8"/>
  <c r="I71" i="8" s="1"/>
  <c r="F73" i="22" l="1"/>
  <c r="H72" i="8"/>
  <c r="I72" i="8" s="1"/>
  <c r="F73" i="8"/>
  <c r="F85" i="15"/>
  <c r="G71" i="22"/>
  <c r="H70" i="22"/>
  <c r="I70" i="22" s="1"/>
  <c r="H68" i="14"/>
  <c r="I68" i="14" s="1"/>
  <c r="F69" i="14"/>
  <c r="G73" i="12"/>
  <c r="H72" i="12"/>
  <c r="I72" i="12" s="1"/>
  <c r="G83" i="15"/>
  <c r="H82" i="15"/>
  <c r="I82" i="15" s="1"/>
  <c r="H83" i="16"/>
  <c r="I83" i="16" s="1"/>
  <c r="F84" i="16"/>
  <c r="F72" i="23"/>
  <c r="H71" i="23"/>
  <c r="I71" i="23" s="1"/>
  <c r="H69" i="10"/>
  <c r="I69" i="10" s="1"/>
  <c r="F70" i="10"/>
  <c r="F75" i="12"/>
  <c r="F74" i="22" l="1"/>
  <c r="G72" i="22"/>
  <c r="H71" i="22"/>
  <c r="I71" i="22" s="1"/>
  <c r="F85" i="16"/>
  <c r="H84" i="16"/>
  <c r="I84" i="16" s="1"/>
  <c r="G84" i="15"/>
  <c r="H83" i="15"/>
  <c r="I83" i="15" s="1"/>
  <c r="F86" i="15"/>
  <c r="F71" i="10"/>
  <c r="H70" i="10"/>
  <c r="I70" i="10" s="1"/>
  <c r="F74" i="8"/>
  <c r="H73" i="8"/>
  <c r="I73" i="8" s="1"/>
  <c r="F76" i="12"/>
  <c r="G74" i="12"/>
  <c r="H73" i="12"/>
  <c r="I73" i="12" s="1"/>
  <c r="F73" i="23"/>
  <c r="H72" i="23"/>
  <c r="I72" i="23" s="1"/>
  <c r="H69" i="14"/>
  <c r="I69" i="14" s="1"/>
  <c r="F70" i="14"/>
  <c r="F75" i="22" l="1"/>
  <c r="G85" i="15"/>
  <c r="H84" i="15"/>
  <c r="I84" i="15" s="1"/>
  <c r="H74" i="8"/>
  <c r="I74" i="8" s="1"/>
  <c r="F75" i="8"/>
  <c r="F71" i="14"/>
  <c r="H70" i="14"/>
  <c r="I70" i="14" s="1"/>
  <c r="F74" i="23"/>
  <c r="H73" i="23"/>
  <c r="I73" i="23" s="1"/>
  <c r="F72" i="10"/>
  <c r="H71" i="10"/>
  <c r="I71" i="10" s="1"/>
  <c r="F86" i="16"/>
  <c r="H85" i="16"/>
  <c r="I85" i="16" s="1"/>
  <c r="F77" i="12"/>
  <c r="F87" i="15"/>
  <c r="G75" i="12"/>
  <c r="H74" i="12"/>
  <c r="I74" i="12" s="1"/>
  <c r="G73" i="22"/>
  <c r="H72" i="22"/>
  <c r="I72" i="22" s="1"/>
  <c r="F72" i="14" l="1"/>
  <c r="H71" i="14"/>
  <c r="I71" i="14" s="1"/>
  <c r="F76" i="22"/>
  <c r="F78" i="12"/>
  <c r="G74" i="22"/>
  <c r="H73" i="22"/>
  <c r="I73" i="22" s="1"/>
  <c r="H86" i="16"/>
  <c r="H88" i="16" s="1"/>
  <c r="F88" i="16"/>
  <c r="M88" i="16" s="1"/>
  <c r="F76" i="8"/>
  <c r="H75" i="8"/>
  <c r="I75" i="8" s="1"/>
  <c r="G76" i="12"/>
  <c r="H75" i="12"/>
  <c r="I75" i="12" s="1"/>
  <c r="F73" i="10"/>
  <c r="H72" i="10"/>
  <c r="I72" i="10" s="1"/>
  <c r="F89" i="15"/>
  <c r="M89" i="15" s="1"/>
  <c r="F75" i="23"/>
  <c r="H74" i="23"/>
  <c r="I74" i="23" s="1"/>
  <c r="G86" i="15"/>
  <c r="H85" i="15"/>
  <c r="I85" i="15" s="1"/>
  <c r="I86" i="16" l="1"/>
  <c r="I87" i="16" s="1"/>
  <c r="H72" i="14"/>
  <c r="I72" i="14" s="1"/>
  <c r="F73" i="14"/>
  <c r="F74" i="10"/>
  <c r="H73" i="10"/>
  <c r="I73" i="10" s="1"/>
  <c r="G75" i="22"/>
  <c r="H74" i="22"/>
  <c r="I74" i="22" s="1"/>
  <c r="F79" i="12"/>
  <c r="G87" i="15"/>
  <c r="H86" i="15"/>
  <c r="I86" i="15" s="1"/>
  <c r="G77" i="12"/>
  <c r="H76" i="12"/>
  <c r="I76" i="12" s="1"/>
  <c r="F76" i="23"/>
  <c r="H75" i="23"/>
  <c r="I75" i="23" s="1"/>
  <c r="F77" i="8"/>
  <c r="H76" i="8"/>
  <c r="I76" i="8" s="1"/>
  <c r="F77" i="22"/>
  <c r="H73" i="14" l="1"/>
  <c r="I73" i="14" s="1"/>
  <c r="F74" i="14"/>
  <c r="F78" i="22"/>
  <c r="F78" i="8"/>
  <c r="H77" i="8"/>
  <c r="I77" i="8" s="1"/>
  <c r="F80" i="12"/>
  <c r="F77" i="23"/>
  <c r="H76" i="23"/>
  <c r="I76" i="23" s="1"/>
  <c r="G76" i="22"/>
  <c r="H75" i="22"/>
  <c r="I75" i="22" s="1"/>
  <c r="G89" i="15"/>
  <c r="H87" i="15"/>
  <c r="H89" i="15" s="1"/>
  <c r="G78" i="12"/>
  <c r="H77" i="12"/>
  <c r="I77" i="12" s="1"/>
  <c r="H74" i="10"/>
  <c r="I74" i="10" s="1"/>
  <c r="F75" i="10"/>
  <c r="I87" i="15" l="1"/>
  <c r="I88" i="15" s="1"/>
  <c r="H74" i="14"/>
  <c r="I74" i="14" s="1"/>
  <c r="F75" i="14"/>
  <c r="F81" i="12"/>
  <c r="F78" i="23"/>
  <c r="H77" i="23"/>
  <c r="I77" i="23" s="1"/>
  <c r="G79" i="12"/>
  <c r="H78" i="12"/>
  <c r="I78" i="12" s="1"/>
  <c r="H78" i="8"/>
  <c r="I78" i="8" s="1"/>
  <c r="F79" i="8"/>
  <c r="F79" i="22"/>
  <c r="F76" i="10"/>
  <c r="H75" i="10"/>
  <c r="I75" i="10" s="1"/>
  <c r="G77" i="22"/>
  <c r="H76" i="22"/>
  <c r="I76" i="22" s="1"/>
  <c r="H75" i="14" l="1"/>
  <c r="I75" i="14" s="1"/>
  <c r="F76" i="14"/>
  <c r="H79" i="8"/>
  <c r="I79" i="8" s="1"/>
  <c r="F80" i="8"/>
  <c r="H76" i="10"/>
  <c r="I76" i="10" s="1"/>
  <c r="F77" i="10"/>
  <c r="H78" i="23"/>
  <c r="I78" i="23" s="1"/>
  <c r="F79" i="23"/>
  <c r="G78" i="22"/>
  <c r="H77" i="22"/>
  <c r="I77" i="22" s="1"/>
  <c r="G80" i="12"/>
  <c r="H79" i="12"/>
  <c r="I79" i="12" s="1"/>
  <c r="F80" i="22"/>
  <c r="F82" i="12"/>
  <c r="F77" i="14" l="1"/>
  <c r="H76" i="14"/>
  <c r="I76" i="14" s="1"/>
  <c r="F83" i="12"/>
  <c r="F81" i="22"/>
  <c r="F81" i="8"/>
  <c r="H80" i="8"/>
  <c r="I80" i="8" s="1"/>
  <c r="G79" i="22"/>
  <c r="H78" i="22"/>
  <c r="I78" i="22" s="1"/>
  <c r="F80" i="23"/>
  <c r="H79" i="23"/>
  <c r="I79" i="23" s="1"/>
  <c r="H77" i="10"/>
  <c r="I77" i="10" s="1"/>
  <c r="F78" i="10"/>
  <c r="G81" i="12"/>
  <c r="H80" i="12"/>
  <c r="I80" i="12" s="1"/>
  <c r="H77" i="14" l="1"/>
  <c r="I77" i="14" s="1"/>
  <c r="F78" i="14"/>
  <c r="G82" i="12"/>
  <c r="H81" i="12"/>
  <c r="I81" i="12" s="1"/>
  <c r="F82" i="8"/>
  <c r="H81" i="8"/>
  <c r="I81" i="8" s="1"/>
  <c r="F84" i="12"/>
  <c r="F79" i="10"/>
  <c r="H78" i="10"/>
  <c r="I78" i="10" s="1"/>
  <c r="G80" i="22"/>
  <c r="H79" i="22"/>
  <c r="I79" i="22" s="1"/>
  <c r="F82" i="22"/>
  <c r="F81" i="23"/>
  <c r="H80" i="23"/>
  <c r="I80" i="23" s="1"/>
  <c r="H78" i="14" l="1"/>
  <c r="I78" i="14" s="1"/>
  <c r="F79" i="14"/>
  <c r="H81" i="23"/>
  <c r="I81" i="23" s="1"/>
  <c r="F82" i="23"/>
  <c r="F85" i="12"/>
  <c r="G83" i="12"/>
  <c r="H82" i="12"/>
  <c r="I82" i="12" s="1"/>
  <c r="I82" i="8"/>
  <c r="F83" i="22"/>
  <c r="H79" i="10"/>
  <c r="I79" i="10" s="1"/>
  <c r="F80" i="10"/>
  <c r="H82" i="8"/>
  <c r="F83" i="8"/>
  <c r="G81" i="22"/>
  <c r="H80" i="22"/>
  <c r="I80" i="22" s="1"/>
  <c r="H82" i="23" l="1"/>
  <c r="I82" i="23" s="1"/>
  <c r="F83" i="23"/>
  <c r="H79" i="14"/>
  <c r="I79" i="14" s="1"/>
  <c r="F80" i="14"/>
  <c r="F84" i="22"/>
  <c r="G84" i="12"/>
  <c r="H83" i="12"/>
  <c r="I83" i="12" s="1"/>
  <c r="F81" i="10"/>
  <c r="H80" i="10"/>
  <c r="I80" i="10" s="1"/>
  <c r="F86" i="12"/>
  <c r="G82" i="22"/>
  <c r="H81" i="22"/>
  <c r="I81" i="22" s="1"/>
  <c r="H83" i="8"/>
  <c r="I83" i="8" s="1"/>
  <c r="F84" i="8"/>
  <c r="F85" i="8" l="1"/>
  <c r="H84" i="8"/>
  <c r="I84" i="8" s="1"/>
  <c r="H81" i="10"/>
  <c r="I81" i="10" s="1"/>
  <c r="F82" i="10"/>
  <c r="F84" i="23"/>
  <c r="H83" i="23"/>
  <c r="I83" i="23" s="1"/>
  <c r="G85" i="12"/>
  <c r="H84" i="12"/>
  <c r="I84" i="12" s="1"/>
  <c r="F85" i="22"/>
  <c r="G83" i="22"/>
  <c r="H82" i="22"/>
  <c r="I82" i="22" s="1"/>
  <c r="F87" i="12"/>
  <c r="H80" i="14"/>
  <c r="I80" i="14" s="1"/>
  <c r="F81" i="14"/>
  <c r="F86" i="8" l="1"/>
  <c r="H85" i="8"/>
  <c r="I85" i="8" s="1"/>
  <c r="G86" i="12"/>
  <c r="H85" i="12"/>
  <c r="I85" i="12" s="1"/>
  <c r="I82" i="10"/>
  <c r="I83" i="10" s="1"/>
  <c r="F88" i="12"/>
  <c r="F85" i="23"/>
  <c r="H84" i="23"/>
  <c r="I84" i="23" s="1"/>
  <c r="F86" i="22"/>
  <c r="H82" i="10"/>
  <c r="H84" i="10" s="1"/>
  <c r="F84" i="10"/>
  <c r="M84" i="10" s="1"/>
  <c r="F82" i="14"/>
  <c r="H81" i="14"/>
  <c r="I81" i="14" s="1"/>
  <c r="G84" i="22"/>
  <c r="H83" i="22"/>
  <c r="I83" i="22" s="1"/>
  <c r="F87" i="8" l="1"/>
  <c r="H86" i="8"/>
  <c r="I86" i="8" s="1"/>
  <c r="F83" i="14"/>
  <c r="H82" i="14"/>
  <c r="I82" i="14" s="1"/>
  <c r="F90" i="12"/>
  <c r="G87" i="12"/>
  <c r="H86" i="12"/>
  <c r="I86" i="12" s="1"/>
  <c r="F86" i="23"/>
  <c r="H85" i="23"/>
  <c r="I85" i="23" s="1"/>
  <c r="F87" i="22"/>
  <c r="G85" i="22"/>
  <c r="H84" i="22"/>
  <c r="I84" i="22" s="1"/>
  <c r="H83" i="14" l="1"/>
  <c r="H85" i="14" s="1"/>
  <c r="F85" i="14"/>
  <c r="M85" i="14" s="1"/>
  <c r="H87" i="8"/>
  <c r="H89" i="8" s="1"/>
  <c r="F89" i="8"/>
  <c r="M89" i="8" s="1"/>
  <c r="G88" i="12"/>
  <c r="H87" i="12"/>
  <c r="I87" i="12" s="1"/>
  <c r="M90" i="12"/>
  <c r="G86" i="22"/>
  <c r="H85" i="22"/>
  <c r="I85" i="22" s="1"/>
  <c r="F87" i="23"/>
  <c r="H86" i="23"/>
  <c r="I86" i="23" s="1"/>
  <c r="F88" i="22"/>
  <c r="H87" i="23" l="1"/>
  <c r="H89" i="23" s="1"/>
  <c r="F89" i="23"/>
  <c r="M89" i="23" s="1"/>
  <c r="I88" i="12"/>
  <c r="I89" i="12" s="1"/>
  <c r="I87" i="8"/>
  <c r="I88" i="8" s="1"/>
  <c r="G87" i="22"/>
  <c r="H86" i="22"/>
  <c r="I86" i="22" s="1"/>
  <c r="F90" i="22"/>
  <c r="G90" i="12"/>
  <c r="H90" i="12" s="1"/>
  <c r="H88" i="12"/>
  <c r="I83" i="14"/>
  <c r="I84" i="14" s="1"/>
  <c r="G88" i="22" l="1"/>
  <c r="H87" i="22"/>
  <c r="I87" i="22" s="1"/>
  <c r="M90" i="22"/>
  <c r="I87" i="23"/>
  <c r="I88" i="23" s="1"/>
  <c r="G90" i="22" l="1"/>
  <c r="H90" i="22" s="1"/>
  <c r="H88" i="22"/>
  <c r="I88" i="22" s="1"/>
  <c r="I89"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Madeleine Jane C. Lee</author>
  </authors>
  <commentList>
    <comment ref="R191" authorId="0" shapeId="0" xr:uid="{00000000-0006-0000-0100-000001000000}">
      <text>
        <r>
          <rPr>
            <b/>
            <sz val="9"/>
            <color indexed="81"/>
            <rFont val="Tahoma"/>
            <family val="2"/>
          </rPr>
          <t>Madeleine Jane C. Lee:</t>
        </r>
        <r>
          <rPr>
            <sz val="9"/>
            <color indexed="81"/>
            <rFont val="Tahoma"/>
            <family val="2"/>
          </rPr>
          <t xml:space="preserve">
for p&amp;l rest of year</t>
        </r>
      </text>
    </comment>
  </commentList>
</comments>
</file>

<file path=xl/sharedStrings.xml><?xml version="1.0" encoding="utf-8"?>
<sst xmlns="http://schemas.openxmlformats.org/spreadsheetml/2006/main" count="2079" uniqueCount="329">
  <si>
    <t>Orchard</t>
  </si>
  <si>
    <t>Garden</t>
  </si>
  <si>
    <t>HOLD</t>
  </si>
  <si>
    <t xml:space="preserve">BLOCK </t>
  </si>
  <si>
    <t>LOT</t>
  </si>
  <si>
    <t>LOT TYPE</t>
  </si>
  <si>
    <t>LOT AREA</t>
  </si>
  <si>
    <t>TCP VAT-IN (TCCATH)</t>
  </si>
  <si>
    <t>P/SQM</t>
  </si>
  <si>
    <t>PRICE LIST - MASTERLIST</t>
  </si>
  <si>
    <t>P&amp;L</t>
  </si>
  <si>
    <t>NET OF SHARE</t>
  </si>
  <si>
    <t>VAT-EX</t>
  </si>
  <si>
    <t>FOR P&amp;L</t>
  </si>
  <si>
    <t>P SQM</t>
  </si>
  <si>
    <t>ORCHARD</t>
  </si>
  <si>
    <t>GARDEN</t>
  </si>
  <si>
    <t>size</t>
  </si>
  <si>
    <t>p/sqm</t>
  </si>
  <si>
    <t>total</t>
  </si>
  <si>
    <t>price vat ex no share</t>
  </si>
  <si>
    <t>PRICE LIST APR 11-2019</t>
  </si>
  <si>
    <t>HOLD FOR SALE</t>
  </si>
  <si>
    <t>SALES REVENUE</t>
  </si>
  <si>
    <t>LESS: INTRO DISC</t>
  </si>
  <si>
    <t>LESS: ORCHARD DISC</t>
  </si>
  <si>
    <t>LESS: GARDEN DISC</t>
  </si>
  <si>
    <t>NET</t>
  </si>
  <si>
    <t xml:space="preserve">NET </t>
  </si>
  <si>
    <t>LESS: SELLERS PROMO</t>
  </si>
  <si>
    <t>OL</t>
  </si>
  <si>
    <t>GL</t>
  </si>
  <si>
    <t>NET SALES REVENUE</t>
  </si>
  <si>
    <t>THE GROVE AT PLANTATION HILLS</t>
  </si>
  <si>
    <t>Each lot comes with one (1) proprietary share at The Country Club at Tagaytay Highlands (TCCATH)</t>
  </si>
  <si>
    <t>TCP VAT-IN</t>
  </si>
  <si>
    <t>price list</t>
  </si>
  <si>
    <t>p&amp;l impact</t>
  </si>
  <si>
    <t>CASH</t>
  </si>
  <si>
    <t>Spot DP</t>
  </si>
  <si>
    <t>Stretch DP</t>
  </si>
  <si>
    <t>No DP</t>
  </si>
  <si>
    <t>80% spot
20% on the 60th mo (or upon turnover)</t>
  </si>
  <si>
    <t>Intro Discount</t>
  </si>
  <si>
    <t xml:space="preserve">  Discount Amount</t>
  </si>
  <si>
    <t>Term Discount</t>
  </si>
  <si>
    <t>Reservation Fee</t>
  </si>
  <si>
    <t>Down Payment</t>
  </si>
  <si>
    <t>DP Amount</t>
  </si>
  <si>
    <t>Months to pay</t>
  </si>
  <si>
    <t>Monthly Amortization</t>
  </si>
  <si>
    <t>MA Amount</t>
  </si>
  <si>
    <t>Lump Sum</t>
  </si>
  <si>
    <t>Lump Sum Amount</t>
  </si>
  <si>
    <t>Months to Pay</t>
  </si>
  <si>
    <t>List Price (Vat-in w/o TCCATH)</t>
  </si>
  <si>
    <t>Add'l  Discount</t>
  </si>
  <si>
    <t>Lot Type Discount</t>
  </si>
  <si>
    <t xml:space="preserve">10% over 12 mos. 
| 30% in 48 mos| 
60% LS </t>
  </si>
  <si>
    <t>40% over 60 mos. 
| 60% LS</t>
  </si>
  <si>
    <t>10% spot | 40% in 60 mos| 50% LS</t>
  </si>
  <si>
    <t>BLOCK AND LOT</t>
  </si>
  <si>
    <t>AREA</t>
  </si>
  <si>
    <t>NET TCP with TCCATH</t>
  </si>
  <si>
    <t>Each lot comes with one (1) proprietary share at The Country Club at Tagaytay Highlands (TCCATH) valued at P650,000.00</t>
  </si>
  <si>
    <t>LOT TYPE DISCOUNT</t>
  </si>
  <si>
    <t>GENERAL INSTRUCTIONS</t>
  </si>
  <si>
    <t>Step 1 :</t>
  </si>
  <si>
    <t>Step 2 :</t>
  </si>
  <si>
    <t>Please input necessary in the highlighted cells only.</t>
  </si>
  <si>
    <t>Kindly select desired payment terms</t>
  </si>
  <si>
    <t>NAME OF BUYER</t>
  </si>
  <si>
    <t>BLOCK NUMBER</t>
  </si>
  <si>
    <t>LOT NUMBER</t>
  </si>
  <si>
    <t>LIST PRICE (VAT-IN)</t>
  </si>
  <si>
    <t>NON-MEMBER</t>
  </si>
  <si>
    <t>PAYMENT TERMS - Member</t>
  </si>
  <si>
    <t>LIST PRICE</t>
  </si>
  <si>
    <t>List Price (Vat-in w/ TCCATH)</t>
  </si>
  <si>
    <t>Discount for Members</t>
  </si>
  <si>
    <t xml:space="preserve">NET TCP </t>
  </si>
  <si>
    <t>BELLE CORPORATION</t>
  </si>
  <si>
    <t>ANNEX A</t>
  </si>
  <si>
    <t>PAYMENT COMPUTATION TABLE</t>
  </si>
  <si>
    <t>Return to Input</t>
  </si>
  <si>
    <t>BLOCK &amp; LOT NO.</t>
  </si>
  <si>
    <t>PAYMENT TERM</t>
  </si>
  <si>
    <t xml:space="preserve">       Less : Repeat Buyer Discount</t>
  </si>
  <si>
    <t>CONTRACT PRICE COMPUTATION:</t>
  </si>
  <si>
    <t xml:space="preserve">       Less : Term Discount</t>
  </si>
  <si>
    <t>Net Contract Price</t>
  </si>
  <si>
    <t>PAYMENT NO.</t>
  </si>
  <si>
    <t>DATE DUE</t>
  </si>
  <si>
    <t>PARTICULARS</t>
  </si>
  <si>
    <t>OUTSTANDING BALANCE</t>
  </si>
  <si>
    <t>RF</t>
  </si>
  <si>
    <t>TOTAL</t>
  </si>
  <si>
    <t>REGISTRATION EXPENSES (SUBJECT TO ADJUSTMENT IMPOSED BY THE RESPECTIVE GOVERNMENT AGENCIES)</t>
  </si>
  <si>
    <t>1.  DOC. STAMP TAX = 1.5% OF THE TOTAL LOT PRICE (SUBJECT TO CHANGE WITHOUT PRIOR NOTICE)</t>
  </si>
  <si>
    <t>2.  TRANSFER TAX = .5% OF THE LOT PRICE</t>
  </si>
  <si>
    <t>3.  REGISTRATION FEE = IN EXCESS OF PHP1.7MN DIVIDED BY 20,000 MULTIPLIED BY PHP90 PLUS PHP8,796.00</t>
  </si>
  <si>
    <t>4.  PROCESSING / MISCELLANEOUS FEES = PHP28,000.00</t>
  </si>
  <si>
    <t>5. LRA IT FEE = PHP5,000.00 (approximately)</t>
  </si>
  <si>
    <t>CONFORME:</t>
  </si>
  <si>
    <t>BUYER</t>
  </si>
  <si>
    <t>BELLE SALES OFFICER</t>
  </si>
  <si>
    <t>80% Spot DP</t>
  </si>
  <si>
    <t>20% on the 60th month</t>
  </si>
  <si>
    <t>Discount</t>
  </si>
  <si>
    <t xml:space="preserve">       Less : Lot Discount</t>
  </si>
  <si>
    <t>MA - 2</t>
  </si>
  <si>
    <t>MA - 3</t>
  </si>
  <si>
    <t>MA - 4</t>
  </si>
  <si>
    <t>MA - 5</t>
  </si>
  <si>
    <t>MA - 6</t>
  </si>
  <si>
    <t>MA - 7</t>
  </si>
  <si>
    <t>MA - 8</t>
  </si>
  <si>
    <t>MA - 9</t>
  </si>
  <si>
    <t>MA - 10</t>
  </si>
  <si>
    <t>MA - 11</t>
  </si>
  <si>
    <t>MA - 12</t>
  </si>
  <si>
    <t>MA - 13</t>
  </si>
  <si>
    <t>MA - 14</t>
  </si>
  <si>
    <t>MA - 15</t>
  </si>
  <si>
    <t>MA - 16</t>
  </si>
  <si>
    <t>MA - 17</t>
  </si>
  <si>
    <t>MA - 18</t>
  </si>
  <si>
    <t>MA - 19</t>
  </si>
  <si>
    <t>MA - 20</t>
  </si>
  <si>
    <t>MA - 21</t>
  </si>
  <si>
    <t>MA - 22</t>
  </si>
  <si>
    <t>MA - 23</t>
  </si>
  <si>
    <t>MA - 24</t>
  </si>
  <si>
    <t>MA - 25</t>
  </si>
  <si>
    <t>MA - 26</t>
  </si>
  <si>
    <t>MA - 27</t>
  </si>
  <si>
    <t>MA - 28</t>
  </si>
  <si>
    <t>MA - 29</t>
  </si>
  <si>
    <t>MA - 30</t>
  </si>
  <si>
    <t>MA - 31</t>
  </si>
  <si>
    <t>MA - 32</t>
  </si>
  <si>
    <t>MA - 33</t>
  </si>
  <si>
    <t>MA - 34</t>
  </si>
  <si>
    <t>MA - 35</t>
  </si>
  <si>
    <t>MA - 36</t>
  </si>
  <si>
    <t>MA - 37</t>
  </si>
  <si>
    <t>MA - 38</t>
  </si>
  <si>
    <t>MA - 39</t>
  </si>
  <si>
    <t>MA - 40</t>
  </si>
  <si>
    <t>MA - 41</t>
  </si>
  <si>
    <t>MA - 42</t>
  </si>
  <si>
    <t>MA - 43</t>
  </si>
  <si>
    <t>MA - 44</t>
  </si>
  <si>
    <t>MA - 45</t>
  </si>
  <si>
    <t>MA - 46</t>
  </si>
  <si>
    <t>MA - 47</t>
  </si>
  <si>
    <t>MA - 48</t>
  </si>
  <si>
    <t>MA - 49</t>
  </si>
  <si>
    <t>MA - 50</t>
  </si>
  <si>
    <t>MA - 51</t>
  </si>
  <si>
    <t>MA - 52</t>
  </si>
  <si>
    <t>MA - 53</t>
  </si>
  <si>
    <t>MA - 54</t>
  </si>
  <si>
    <t>MA - 55</t>
  </si>
  <si>
    <t>MA - 56</t>
  </si>
  <si>
    <t>MA - 57</t>
  </si>
  <si>
    <t>MA - 58</t>
  </si>
  <si>
    <t>MA - 59</t>
  </si>
  <si>
    <t>MA - 60</t>
  </si>
  <si>
    <t>(or upon turnover)</t>
  </si>
  <si>
    <t>MA - 1</t>
  </si>
  <si>
    <t>The Grove at Plantation Hills</t>
  </si>
  <si>
    <t>10% Spot DP</t>
  </si>
  <si>
    <t>40% in 60 months</t>
  </si>
  <si>
    <t>50% Lump Sum</t>
  </si>
  <si>
    <t>Balance</t>
  </si>
  <si>
    <t>60% Lump Sum</t>
  </si>
  <si>
    <t>STANDARD COMPUTATION TEMPLATE</t>
  </si>
  <si>
    <t>Add : TCCATH Share</t>
  </si>
  <si>
    <t>LIST PRICE (VAT in, with TCCATH)</t>
  </si>
  <si>
    <t>back to input page</t>
  </si>
  <si>
    <t>PAYMENT TERMS- Non Member</t>
  </si>
  <si>
    <t>As of August 9, 2019</t>
  </si>
  <si>
    <t>Add: Other charges</t>
  </si>
  <si>
    <t>O.C.</t>
  </si>
  <si>
    <t>Add: TCCATH Share</t>
  </si>
  <si>
    <t>Total Contract Price</t>
  </si>
  <si>
    <t>LIST PRICE (VAT in, net of TCCATH)</t>
  </si>
  <si>
    <t>LIST PRICE
(VAT IN, W/ SHARE)</t>
  </si>
  <si>
    <t>LIST PRICE (VAT IN, W/ SHARE)</t>
  </si>
  <si>
    <t xml:space="preserve">  Less: Discount for members</t>
  </si>
  <si>
    <t>Less: Discount for member</t>
  </si>
  <si>
    <t>Add: Other Charges (O.C.)</t>
  </si>
  <si>
    <t xml:space="preserve">  Add: TCCATH Share</t>
  </si>
  <si>
    <t>LIST PRICE (VAT in)</t>
  </si>
  <si>
    <t>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t>
  </si>
  <si>
    <t xml:space="preserve">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        </t>
  </si>
  <si>
    <t xml:space="preserve">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
    </t>
  </si>
  <si>
    <t xml:space="preserve">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     </t>
  </si>
  <si>
    <t>LIST PRICE
(VAT-IN w/ SHARE)</t>
  </si>
  <si>
    <t>LIST PRICE (VAT IN) with SHARE</t>
  </si>
  <si>
    <t>LIST PRICE (VAT IN) W/ SHARE</t>
  </si>
  <si>
    <t>AMOUNT DUE</t>
  </si>
  <si>
    <t>ss</t>
  </si>
  <si>
    <t xml:space="preserve">   Less: TCCATH Share</t>
  </si>
  <si>
    <t>disc</t>
  </si>
  <si>
    <t>takeup (AUG TO DEC 5 LOTS PER MONTH)</t>
  </si>
  <si>
    <t>cash</t>
  </si>
  <si>
    <t>A</t>
  </si>
  <si>
    <t>B</t>
  </si>
  <si>
    <t>spot 10</t>
  </si>
  <si>
    <t>5%- orchard</t>
  </si>
  <si>
    <t>spot 20</t>
  </si>
  <si>
    <t>10%-garden</t>
  </si>
  <si>
    <t>installment</t>
  </si>
  <si>
    <t>(PLANTATION HILLS PHASE 6)</t>
  </si>
  <si>
    <t>PRICE LIST AS OF SEPTEMBER 1, 2020</t>
  </si>
  <si>
    <t>REMOVE</t>
  </si>
  <si>
    <t>REVERSE</t>
  </si>
  <si>
    <t>assumed</t>
  </si>
  <si>
    <t>lot type</t>
  </si>
  <si>
    <t>new price no share</t>
  </si>
  <si>
    <t>intro</t>
  </si>
  <si>
    <t>term disc</t>
  </si>
  <si>
    <t>(rest of year sale)</t>
  </si>
  <si>
    <t>repeat disc 2%</t>
  </si>
  <si>
    <t>TCP VAT-IN (w/ TCCATH)</t>
  </si>
  <si>
    <t>SOLD/UNSOLD</t>
  </si>
  <si>
    <t>sold</t>
  </si>
  <si>
    <t>unsold</t>
  </si>
  <si>
    <t>based on PL no share</t>
  </si>
  <si>
    <t>price w/ intro lot disc</t>
  </si>
  <si>
    <t>net of PL  no share</t>
  </si>
  <si>
    <t>VATIN</t>
  </si>
  <si>
    <t>VATEX</t>
  </si>
  <si>
    <t>o</t>
  </si>
  <si>
    <t>g</t>
  </si>
  <si>
    <t>UNSOLD</t>
  </si>
  <si>
    <t>increase</t>
  </si>
  <si>
    <t>no. of lots</t>
  </si>
  <si>
    <t>eff increase</t>
  </si>
  <si>
    <t>discount from 9/1</t>
  </si>
  <si>
    <t>based on orig price</t>
  </si>
  <si>
    <t>all lots</t>
  </si>
  <si>
    <t>w/ tccath</t>
  </si>
  <si>
    <t>MIN</t>
  </si>
  <si>
    <t>MAX</t>
  </si>
  <si>
    <t>AVE</t>
  </si>
  <si>
    <t>AVE ALL</t>
  </si>
  <si>
    <t>TCP CURRENT PL</t>
  </si>
  <si>
    <t xml:space="preserve">TCP CURRENT PL </t>
  </si>
  <si>
    <t>PRICE INCREASE 15%</t>
  </si>
  <si>
    <t>PRICE INCREASE NET OF INTRO &amp; TERM REPEAT DISC</t>
  </si>
  <si>
    <t>AVE P/SQM CURRENT</t>
  </si>
  <si>
    <t>add 15%</t>
  </si>
  <si>
    <t>Lot type</t>
  </si>
  <si>
    <t>TYPE OF MEMBER</t>
  </si>
  <si>
    <t>20% Spot DP</t>
  </si>
  <si>
    <t>30% in 60 months</t>
  </si>
  <si>
    <t>40% over 60 months</t>
  </si>
  <si>
    <t>Less: Lot Discount</t>
  </si>
  <si>
    <t>40% over 60 months / 60% LS</t>
  </si>
  <si>
    <t>New Buyer</t>
  </si>
  <si>
    <t>Repeat Buyer</t>
  </si>
  <si>
    <t xml:space="preserve">Less: Repeat Buyer Discount </t>
  </si>
  <si>
    <t>PRICE LIST AS OF SEPTEMBER 1,2020</t>
  </si>
  <si>
    <t xml:space="preserve">Add: Other Charges </t>
  </si>
  <si>
    <t>Add: Other Charges</t>
  </si>
  <si>
    <t>80% Spot / 20% on the 60th month</t>
  </si>
  <si>
    <t>20% Spot / 30% in 60 mos / 50% LS</t>
  </si>
  <si>
    <t xml:space="preserve">10% Spot/ 40% in 60mos / 50% LS </t>
  </si>
  <si>
    <t>MEMBER</t>
  </si>
  <si>
    <t>5% Spot DP</t>
  </si>
  <si>
    <t xml:space="preserve">    Less : Term Discount</t>
  </si>
  <si>
    <t xml:space="preserve">        Less : Term Discount</t>
  </si>
  <si>
    <t>RF DATE</t>
  </si>
  <si>
    <t>JANUARY 1- MARCH 31, 2021</t>
  </si>
  <si>
    <t xml:space="preserve">       Less : Spot Discount</t>
  </si>
  <si>
    <t>10% in 12 months</t>
  </si>
  <si>
    <t>35% in 48 months</t>
  </si>
  <si>
    <t>MA2-1</t>
  </si>
  <si>
    <t>MA2-2</t>
  </si>
  <si>
    <t>MA2-3</t>
  </si>
  <si>
    <t>MA2-4</t>
  </si>
  <si>
    <t>MA2-5</t>
  </si>
  <si>
    <t>MA2-6</t>
  </si>
  <si>
    <t>MA2-7</t>
  </si>
  <si>
    <t>MA2-8</t>
  </si>
  <si>
    <t>MA2-9</t>
  </si>
  <si>
    <t>MA2-10</t>
  </si>
  <si>
    <t>MA2-11</t>
  </si>
  <si>
    <t>MA2-12</t>
  </si>
  <si>
    <t>MA2-13</t>
  </si>
  <si>
    <t>MA2-14</t>
  </si>
  <si>
    <t>MA2-15</t>
  </si>
  <si>
    <t>MA2-16</t>
  </si>
  <si>
    <t>MA2-17</t>
  </si>
  <si>
    <t>MA2-18</t>
  </si>
  <si>
    <t>MA2-19</t>
  </si>
  <si>
    <t>MA2-20</t>
  </si>
  <si>
    <t>MA2-21</t>
  </si>
  <si>
    <t>MA2-22</t>
  </si>
  <si>
    <t>MA2-23</t>
  </si>
  <si>
    <t>MA2-24</t>
  </si>
  <si>
    <t>MA2-25</t>
  </si>
  <si>
    <t>MA2-26</t>
  </si>
  <si>
    <t>MA2-27</t>
  </si>
  <si>
    <t>MA2-28</t>
  </si>
  <si>
    <t>MA2-29</t>
  </si>
  <si>
    <t>MA2-30</t>
  </si>
  <si>
    <t>MA2-31</t>
  </si>
  <si>
    <t>MA2-32</t>
  </si>
  <si>
    <t>MA2-33</t>
  </si>
  <si>
    <t>MA2-34</t>
  </si>
  <si>
    <t>MA2-35</t>
  </si>
  <si>
    <t>MA2-36</t>
  </si>
  <si>
    <t>MA2-37</t>
  </si>
  <si>
    <t>MA2-38</t>
  </si>
  <si>
    <t>MA2-39</t>
  </si>
  <si>
    <t>MA2-40</t>
  </si>
  <si>
    <t>MA2-41</t>
  </si>
  <si>
    <t>MA2-42</t>
  </si>
  <si>
    <t>MA2-43</t>
  </si>
  <si>
    <t>MA2-44</t>
  </si>
  <si>
    <t>MA2-45</t>
  </si>
  <si>
    <t>MA2-46</t>
  </si>
  <si>
    <t>MA2-47</t>
  </si>
  <si>
    <t>MA2-48</t>
  </si>
  <si>
    <t>5% Spot / 10% in 12 mos/ 35% in 48 mos/ 50% 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</si>
</sst>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_(* \(#,##0.00\);_(* &quot;-&quot;??_);_(@_)"/>
    <numFmt numFmtId="164" formatCode="_-* #,##0.00_-;\-* #,##0.00_-;_-* &quot;-&quot;??_-;_-@_-"/>
    <numFmt numFmtId="165" formatCode="_(* #,##0_);_(* \(#,##0\);_(* &quot;-&quot;??_);_(@_)"/>
    <numFmt numFmtId="166" formatCode="#,##0\ &quot;sq. m.&quot;"/>
    <numFmt numFmtId="167" formatCode="#,##0\ &quot;sq. m&quot;"/>
    <numFmt numFmtId="168" formatCode="[$-409]dd\-mmm\-yy;@"/>
    <numFmt numFmtId="169" formatCode="[$-409]mmm\-yy;@"/>
    <numFmt numFmtId="170" formatCode="&quot;as of&quot;\ dd\-mmm\-yy"/>
    <numFmt numFmtId="171" formatCode="0.0%"/>
    <numFmt numFmtId="172" formatCode="_-* #,##0_-;\-* #,##0_-;_-* &quot;-&quot;??_-;_-@_-"/>
    <numFmt numFmtId="173" formatCode="_-* #,##0.0_-;\-* #,##0.0_-;_-* &quot;-&quot;??_-;_-@_-"/>
    <numFmt numFmtId="174" formatCode="_-* #,##0.0000_-;\-* #,##0.0000_-;_-* &quot;-&quot;??_-;_-@_-"/>
    <numFmt numFmtId="175" formatCode="0.000%"/>
    <numFmt numFmtId="176" formatCode="#,##0.00_ ;\-#,##0.00\ "/>
    <numFmt numFmtId="177" formatCode="[$-3409]mmmm\ dd\,\ yyyy;@"/>
    <numFmt numFmtId="178" formatCode="[$-409]mmmm\-yy;@"/>
  </numFmts>
  <fonts count="6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sz val="10"/>
      <name val="Calibri"/>
      <family val="2"/>
      <scheme val="minor"/>
    </font>
    <font>
      <b/>
      <sz val="11"/>
      <name val="Calibri"/>
      <family val="2"/>
      <scheme val="minor"/>
    </font>
    <font>
      <sz val="11"/>
      <name val="Calibri"/>
      <family val="2"/>
      <scheme val="minor"/>
    </font>
    <font>
      <sz val="8"/>
      <color theme="1"/>
      <name val="Calibri"/>
      <family val="2"/>
      <scheme val="minor"/>
    </font>
    <font>
      <sz val="11"/>
      <color rgb="FFFF0000"/>
      <name val="Calibri"/>
      <family val="2"/>
      <scheme val="minor"/>
    </font>
    <font>
      <b/>
      <sz val="11"/>
      <color rgb="FFFF0000"/>
      <name val="Calibri"/>
      <family val="2"/>
      <scheme val="minor"/>
    </font>
    <font>
      <b/>
      <sz val="8"/>
      <color theme="1"/>
      <name val="Calibri"/>
      <family val="2"/>
      <scheme val="minor"/>
    </font>
    <font>
      <i/>
      <sz val="9"/>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i/>
      <sz val="12"/>
      <color theme="1"/>
      <name val="Calibri"/>
      <family val="2"/>
      <scheme val="minor"/>
    </font>
    <font>
      <b/>
      <sz val="13"/>
      <color theme="1"/>
      <name val="Calibri"/>
      <family val="2"/>
      <scheme val="minor"/>
    </font>
    <font>
      <i/>
      <sz val="12"/>
      <color theme="9" tint="-0.499984740745262"/>
      <name val="Calibri"/>
      <family val="2"/>
      <scheme val="minor"/>
    </font>
    <font>
      <sz val="12"/>
      <color theme="9" tint="-0.499984740745262"/>
      <name val="Calibri"/>
      <family val="2"/>
      <scheme val="minor"/>
    </font>
    <font>
      <sz val="11"/>
      <color theme="9" tint="-0.499984740745262"/>
      <name val="Calibri"/>
      <family val="2"/>
      <scheme val="minor"/>
    </font>
    <font>
      <sz val="12"/>
      <color rgb="FFFF0000"/>
      <name val="Calibri"/>
      <family val="2"/>
      <scheme val="minor"/>
    </font>
    <font>
      <sz val="11"/>
      <color theme="0"/>
      <name val="Calibri"/>
      <family val="2"/>
      <scheme val="minor"/>
    </font>
    <font>
      <u/>
      <sz val="11"/>
      <color theme="10"/>
      <name val="Calibri"/>
      <family val="2"/>
      <scheme val="minor"/>
    </font>
    <font>
      <b/>
      <sz val="11"/>
      <color indexed="8"/>
      <name val="Calibri"/>
      <family val="2"/>
    </font>
    <font>
      <sz val="11"/>
      <color theme="0"/>
      <name val="Calibri"/>
      <family val="2"/>
    </font>
    <font>
      <b/>
      <u/>
      <sz val="16"/>
      <color theme="1"/>
      <name val="Calibri"/>
      <family val="2"/>
      <scheme val="minor"/>
    </font>
    <font>
      <b/>
      <sz val="11"/>
      <color theme="0"/>
      <name val="Calibri"/>
      <family val="2"/>
    </font>
    <font>
      <b/>
      <sz val="11"/>
      <name val="Calibri"/>
      <family val="2"/>
    </font>
    <font>
      <sz val="11"/>
      <color indexed="8"/>
      <name val="Calibri"/>
      <family val="2"/>
    </font>
    <font>
      <sz val="10"/>
      <color theme="0"/>
      <name val="Calibri"/>
      <family val="2"/>
    </font>
    <font>
      <b/>
      <sz val="10"/>
      <color indexed="8"/>
      <name val="Calibri"/>
      <family val="2"/>
    </font>
    <font>
      <sz val="10"/>
      <color indexed="8"/>
      <name val="Calibri"/>
      <family val="2"/>
    </font>
    <font>
      <b/>
      <i/>
      <sz val="8"/>
      <name val="Calibri"/>
      <family val="2"/>
    </font>
    <font>
      <sz val="8"/>
      <name val="Calibri"/>
      <family val="2"/>
    </font>
    <font>
      <sz val="10"/>
      <name val="Calibri"/>
      <family val="2"/>
    </font>
    <font>
      <sz val="11"/>
      <color indexed="9"/>
      <name val="Calibri"/>
      <family val="2"/>
    </font>
    <font>
      <b/>
      <sz val="11"/>
      <color rgb="FF000000"/>
      <name val="Calibri"/>
      <family val="2"/>
    </font>
    <font>
      <b/>
      <sz val="11"/>
      <color theme="8" tint="-0.249977111117893"/>
      <name val="Calibri"/>
      <family val="2"/>
      <scheme val="minor"/>
    </font>
    <font>
      <i/>
      <sz val="11"/>
      <color rgb="FF000000"/>
      <name val="Calibri"/>
      <family val="2"/>
    </font>
    <font>
      <i/>
      <sz val="11"/>
      <color indexed="8"/>
      <name val="Calibri"/>
      <family val="2"/>
    </font>
    <font>
      <b/>
      <sz val="14"/>
      <color theme="7" tint="-0.499984740745262"/>
      <name val="Calibri"/>
      <family val="2"/>
      <scheme val="minor"/>
    </font>
    <font>
      <b/>
      <i/>
      <sz val="11"/>
      <color theme="7" tint="-0.499984740745262"/>
      <name val="Calibri"/>
      <family val="2"/>
      <scheme val="minor"/>
    </font>
    <font>
      <sz val="10.5"/>
      <color indexed="8"/>
      <name val="Calibri"/>
      <family val="2"/>
    </font>
    <font>
      <sz val="8"/>
      <name val="Calibri"/>
      <family val="2"/>
      <scheme val="minor"/>
    </font>
    <font>
      <u/>
      <sz val="11"/>
      <color theme="11"/>
      <name val="Calibri"/>
      <family val="2"/>
      <scheme val="minor"/>
    </font>
    <font>
      <b/>
      <sz val="9"/>
      <color indexed="81"/>
      <name val="Tahoma"/>
      <family val="2"/>
    </font>
    <font>
      <sz val="9"/>
      <color indexed="81"/>
      <name val="Tahoma"/>
      <family val="2"/>
    </font>
    <font>
      <u/>
      <sz val="11"/>
      <color theme="0"/>
      <name val="Calibri"/>
      <family val="2"/>
      <scheme val="minor"/>
    </font>
    <font>
      <sz val="10"/>
      <color theme="0"/>
      <name val="Calibri"/>
      <family val="2"/>
      <scheme val="minor"/>
    </font>
    <font>
      <b/>
      <sz val="11"/>
      <color theme="0"/>
      <name val="Calibri"/>
      <family val="2"/>
      <scheme val="minor"/>
    </font>
    <font>
      <i/>
      <sz val="11"/>
      <color theme="0"/>
      <name val="Calibri"/>
      <family val="2"/>
      <scheme val="minor"/>
    </font>
    <font>
      <sz val="8"/>
      <color theme="0"/>
      <name val="Calibri"/>
      <family val="2"/>
      <scheme val="minor"/>
    </font>
    <font>
      <b/>
      <sz val="9"/>
      <color theme="0"/>
      <name val="Calibri"/>
      <family val="2"/>
      <scheme val="minor"/>
    </font>
    <font>
      <sz val="10.5"/>
      <color theme="0"/>
      <name val="Calibri"/>
      <family val="2"/>
      <scheme val="minor"/>
    </font>
    <font>
      <b/>
      <sz val="14"/>
      <color theme="0"/>
      <name val="Calibri"/>
      <family val="2"/>
      <scheme val="minor"/>
    </font>
    <font>
      <sz val="14"/>
      <color theme="0"/>
      <name val="Calibri"/>
      <family val="2"/>
      <scheme val="minor"/>
    </font>
    <font>
      <b/>
      <sz val="8"/>
      <color theme="0"/>
      <name val="Calibri"/>
      <family val="2"/>
      <scheme val="minor"/>
    </font>
    <font>
      <i/>
      <sz val="9"/>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FFFF"/>
        <bgColor rgb="FF000000"/>
      </patternFill>
    </fill>
  </fills>
  <borders count="102">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style="hair">
        <color auto="1"/>
      </bottom>
      <diagonal/>
    </border>
    <border>
      <left style="medium">
        <color theme="2" tint="-0.89999084444715716"/>
      </left>
      <right style="medium">
        <color theme="2" tint="-0.89999084444715716"/>
      </right>
      <top style="medium">
        <color auto="1"/>
      </top>
      <bottom style="hair">
        <color auto="1"/>
      </bottom>
      <diagonal/>
    </border>
    <border>
      <left style="medium">
        <color auto="1"/>
      </left>
      <right style="medium">
        <color auto="1"/>
      </right>
      <top style="medium">
        <color auto="1"/>
      </top>
      <bottom style="hair">
        <color auto="1"/>
      </bottom>
      <diagonal/>
    </border>
    <border>
      <left/>
      <right style="medium">
        <color theme="2" tint="-0.89999084444715716"/>
      </right>
      <top style="medium">
        <color auto="1"/>
      </top>
      <bottom style="hair">
        <color auto="1"/>
      </bottom>
      <diagonal/>
    </border>
    <border>
      <left style="medium">
        <color auto="1"/>
      </left>
      <right/>
      <top style="hair">
        <color auto="1"/>
      </top>
      <bottom style="hair">
        <color auto="1"/>
      </bottom>
      <diagonal/>
    </border>
    <border>
      <left style="medium">
        <color auto="1"/>
      </left>
      <right style="medium">
        <color auto="1"/>
      </right>
      <top style="hair">
        <color auto="1"/>
      </top>
      <bottom style="hair">
        <color auto="1"/>
      </bottom>
      <diagonal/>
    </border>
    <border>
      <left/>
      <right style="medium">
        <color auto="1"/>
      </right>
      <top style="hair">
        <color auto="1"/>
      </top>
      <bottom style="hair">
        <color auto="1"/>
      </bottom>
      <diagonal/>
    </border>
    <border>
      <left style="medium">
        <color theme="2" tint="-0.89999084444715716"/>
      </left>
      <right style="medium">
        <color theme="2" tint="-0.89999084444715716"/>
      </right>
      <top style="hair">
        <color auto="1"/>
      </top>
      <bottom style="hair">
        <color auto="1"/>
      </bottom>
      <diagonal/>
    </border>
    <border>
      <left style="medium">
        <color auto="1"/>
      </left>
      <right style="medium">
        <color theme="2" tint="-0.89999084444715716"/>
      </right>
      <top style="hair">
        <color auto="1"/>
      </top>
      <bottom style="thin">
        <color auto="1"/>
      </bottom>
      <diagonal/>
    </border>
    <border>
      <left style="medium">
        <color theme="2" tint="-0.89999084444715716"/>
      </left>
      <right style="medium">
        <color theme="2" tint="-0.89999084444715716"/>
      </right>
      <top style="hair">
        <color auto="1"/>
      </top>
      <bottom style="thin">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style="medium">
        <color auto="1"/>
      </left>
      <right style="medium">
        <color auto="1"/>
      </right>
      <top style="hair">
        <color auto="1"/>
      </top>
      <bottom style="medium">
        <color auto="1"/>
      </bottom>
      <diagonal/>
    </border>
    <border>
      <left/>
      <right style="medium">
        <color auto="1"/>
      </right>
      <top style="hair">
        <color auto="1"/>
      </top>
      <bottom style="medium">
        <color auto="1"/>
      </bottom>
      <diagonal/>
    </border>
    <border>
      <left/>
      <right/>
      <top style="thin">
        <color auto="1"/>
      </top>
      <bottom style="thin">
        <color auto="1"/>
      </bottom>
      <diagonal/>
    </border>
    <border>
      <left style="medium">
        <color auto="1"/>
      </left>
      <right/>
      <top/>
      <bottom style="hair">
        <color auto="1"/>
      </bottom>
      <diagonal/>
    </border>
    <border>
      <left style="medium">
        <color auto="1"/>
      </left>
      <right style="medium">
        <color auto="1"/>
      </right>
      <top/>
      <bottom style="hair">
        <color auto="1"/>
      </bottom>
      <diagonal/>
    </border>
    <border>
      <left style="medium">
        <color auto="1"/>
      </left>
      <right/>
      <top style="hair">
        <color auto="1"/>
      </top>
      <bottom style="thin">
        <color auto="1"/>
      </bottom>
      <diagonal/>
    </border>
    <border>
      <left/>
      <right style="medium">
        <color auto="1"/>
      </right>
      <top/>
      <bottom style="hair">
        <color auto="1"/>
      </bottom>
      <diagonal/>
    </border>
    <border>
      <left style="medium">
        <color auto="1"/>
      </left>
      <right style="medium">
        <color auto="1"/>
      </right>
      <top style="hair">
        <color auto="1"/>
      </top>
      <bottom style="thin">
        <color auto="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top style="thin">
        <color auto="1"/>
      </top>
      <bottom style="double">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diagonal/>
    </border>
    <border>
      <left style="thin">
        <color auto="1"/>
      </left>
      <right style="thin">
        <color auto="1"/>
      </right>
      <top/>
      <bottom/>
      <diagonal/>
    </border>
    <border>
      <left style="medium">
        <color auto="1"/>
      </left>
      <right/>
      <top style="thin">
        <color auto="1"/>
      </top>
      <bottom style="thin">
        <color theme="1"/>
      </bottom>
      <diagonal/>
    </border>
    <border>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auto="1"/>
      </left>
      <right style="medium">
        <color auto="1"/>
      </right>
      <top style="thin">
        <color auto="1"/>
      </top>
      <bottom style="thin">
        <color theme="1"/>
      </bottom>
      <diagonal/>
    </border>
    <border>
      <left style="thin">
        <color auto="1"/>
      </left>
      <right style="thin">
        <color auto="1"/>
      </right>
      <top/>
      <bottom style="thin">
        <color theme="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theme="1"/>
      </bottom>
      <diagonal/>
    </border>
    <border>
      <left style="thin">
        <color auto="1"/>
      </left>
      <right/>
      <top/>
      <bottom style="thin">
        <color theme="1"/>
      </bottom>
      <diagonal/>
    </border>
    <border>
      <left style="thin">
        <color auto="1"/>
      </left>
      <right/>
      <top style="thin">
        <color auto="1"/>
      </top>
      <bottom style="medium">
        <color auto="1"/>
      </bottom>
      <diagonal/>
    </border>
    <border>
      <left style="thin">
        <color auto="1"/>
      </left>
      <right/>
      <top style="thin">
        <color auto="1"/>
      </top>
      <bottom/>
      <diagonal/>
    </border>
    <border>
      <left/>
      <right/>
      <top/>
      <bottom style="double">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hair">
        <color auto="1"/>
      </left>
      <right style="medium">
        <color auto="1"/>
      </right>
      <top style="hair">
        <color auto="1"/>
      </top>
      <bottom style="medium">
        <color auto="1"/>
      </bottom>
      <diagonal/>
    </border>
    <border>
      <left/>
      <right style="medium">
        <color auto="1"/>
      </right>
      <top/>
      <bottom style="thin">
        <color auto="1"/>
      </bottom>
      <diagonal/>
    </border>
    <border>
      <left style="medium">
        <color auto="1"/>
      </left>
      <right/>
      <top/>
      <bottom style="thin">
        <color auto="1"/>
      </bottom>
      <diagonal/>
    </border>
    <border>
      <left style="thin">
        <color rgb="FFBFBFBF"/>
      </left>
      <right/>
      <top/>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s>
  <cellStyleXfs count="36">
    <xf numFmtId="0" fontId="0" fillId="0" borderId="0"/>
    <xf numFmtId="43"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cellStyleXfs>
  <cellXfs count="544">
    <xf numFmtId="0" fontId="0" fillId="0" borderId="0" xfId="0"/>
    <xf numFmtId="0" fontId="0" fillId="0" borderId="7" xfId="0" applyBorder="1" applyAlignment="1">
      <alignment horizontal="center" vertical="center"/>
    </xf>
    <xf numFmtId="0" fontId="4" fillId="0" borderId="7" xfId="0" applyFont="1" applyBorder="1" applyAlignment="1">
      <alignment horizontal="center" vertical="center"/>
    </xf>
    <xf numFmtId="1" fontId="4" fillId="0" borderId="7" xfId="0" applyNumberFormat="1" applyFont="1" applyBorder="1" applyAlignment="1">
      <alignment horizontal="center" vertical="center"/>
    </xf>
    <xf numFmtId="0" fontId="0" fillId="0" borderId="0" xfId="0" applyAlignment="1">
      <alignment horizontal="center"/>
    </xf>
    <xf numFmtId="0" fontId="8" fillId="0" borderId="0" xfId="0" applyFont="1" applyAlignment="1">
      <alignment horizontal="center"/>
    </xf>
    <xf numFmtId="0" fontId="4" fillId="2" borderId="7" xfId="0" applyFont="1" applyFill="1" applyBorder="1" applyAlignment="1">
      <alignment horizontal="center" vertical="center"/>
    </xf>
    <xf numFmtId="0" fontId="7" fillId="0" borderId="0" xfId="0" applyFont="1"/>
    <xf numFmtId="43" fontId="0" fillId="0" borderId="0" xfId="0" applyNumberFormat="1"/>
    <xf numFmtId="0" fontId="2" fillId="0" borderId="0" xfId="0" applyFont="1"/>
    <xf numFmtId="0" fontId="2" fillId="0" borderId="0" xfId="0" applyFont="1" applyAlignment="1">
      <alignment horizontal="center"/>
    </xf>
    <xf numFmtId="15" fontId="0" fillId="0" borderId="0" xfId="0" applyNumberFormat="1"/>
    <xf numFmtId="0" fontId="6" fillId="0" borderId="0" xfId="0" applyFont="1" applyAlignment="1">
      <alignment horizontal="center"/>
    </xf>
    <xf numFmtId="0" fontId="5" fillId="0" borderId="8"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43" fontId="7" fillId="0" borderId="3" xfId="1" applyFont="1" applyBorder="1" applyAlignment="1">
      <alignment horizontal="center" vertical="center"/>
    </xf>
    <xf numFmtId="165" fontId="3" fillId="0" borderId="4" xfId="1" applyNumberFormat="1" applyFont="1" applyBorder="1"/>
    <xf numFmtId="43" fontId="7" fillId="0" borderId="5" xfId="1" applyFont="1" applyBorder="1" applyAlignment="1">
      <alignment horizontal="center" vertical="center"/>
    </xf>
    <xf numFmtId="165" fontId="3" fillId="0" borderId="6" xfId="1" applyNumberFormat="1" applyFont="1" applyBorder="1"/>
    <xf numFmtId="43" fontId="0" fillId="0" borderId="0" xfId="1" applyFont="1"/>
    <xf numFmtId="165" fontId="0" fillId="0" borderId="0" xfId="1" applyNumberFormat="1" applyFont="1"/>
    <xf numFmtId="165" fontId="0" fillId="0" borderId="0" xfId="0" applyNumberFormat="1"/>
    <xf numFmtId="165" fontId="7" fillId="0" borderId="0" xfId="0" applyNumberFormat="1" applyFont="1"/>
    <xf numFmtId="0" fontId="0" fillId="0" borderId="0" xfId="0" applyAlignment="1">
      <alignment horizontal="right"/>
    </xf>
    <xf numFmtId="0" fontId="7" fillId="0" borderId="0" xfId="0" applyFont="1" applyAlignment="1">
      <alignment horizontal="right"/>
    </xf>
    <xf numFmtId="165" fontId="0" fillId="0" borderId="9" xfId="1" applyNumberFormat="1" applyFont="1" applyBorder="1"/>
    <xf numFmtId="165" fontId="0" fillId="0" borderId="9" xfId="0" applyNumberFormat="1" applyBorder="1"/>
    <xf numFmtId="43" fontId="0" fillId="0" borderId="9" xfId="0" applyNumberFormat="1" applyBorder="1"/>
    <xf numFmtId="0" fontId="2" fillId="0" borderId="11" xfId="0" applyFont="1" applyBorder="1" applyAlignment="1">
      <alignment horizontal="center"/>
    </xf>
    <xf numFmtId="43" fontId="0" fillId="0" borderId="11" xfId="0" applyNumberFormat="1" applyBorder="1"/>
    <xf numFmtId="43" fontId="0" fillId="0" borderId="12" xfId="0" applyNumberFormat="1" applyBorder="1"/>
    <xf numFmtId="0" fontId="9" fillId="0" borderId="10" xfId="0" applyFont="1" applyBorder="1" applyAlignment="1">
      <alignment horizontal="center"/>
    </xf>
    <xf numFmtId="0" fontId="11" fillId="0" borderId="0" xfId="0" applyFont="1" applyAlignment="1">
      <alignment horizontal="center"/>
    </xf>
    <xf numFmtId="43" fontId="10" fillId="3" borderId="0" xfId="0" applyNumberFormat="1" applyFont="1" applyFill="1"/>
    <xf numFmtId="9" fontId="0" fillId="0" borderId="0" xfId="0" applyNumberFormat="1"/>
    <xf numFmtId="43" fontId="0" fillId="3" borderId="0" xfId="0" applyNumberFormat="1" applyFill="1"/>
    <xf numFmtId="10" fontId="0" fillId="0" borderId="0" xfId="2" applyNumberFormat="1" applyFont="1"/>
    <xf numFmtId="165" fontId="10" fillId="3" borderId="0" xfId="0" applyNumberFormat="1" applyFont="1" applyFill="1"/>
    <xf numFmtId="165" fontId="0" fillId="0" borderId="1" xfId="1" applyNumberFormat="1" applyFont="1" applyBorder="1"/>
    <xf numFmtId="0" fontId="0" fillId="0" borderId="2" xfId="0" applyBorder="1"/>
    <xf numFmtId="165" fontId="0" fillId="0" borderId="5" xfId="1" applyNumberFormat="1" applyFont="1" applyBorder="1"/>
    <xf numFmtId="0" fontId="0" fillId="0" borderId="6" xfId="0" applyBorder="1"/>
    <xf numFmtId="0" fontId="0" fillId="0" borderId="13" xfId="0" applyBorder="1"/>
    <xf numFmtId="0" fontId="0" fillId="0" borderId="14" xfId="0" applyBorder="1"/>
    <xf numFmtId="43" fontId="0" fillId="3" borderId="15" xfId="0" applyNumberFormat="1" applyFill="1" applyBorder="1"/>
    <xf numFmtId="0" fontId="2" fillId="0" borderId="0" xfId="0" applyFont="1" applyAlignment="1">
      <alignment horizontal="right"/>
    </xf>
    <xf numFmtId="0" fontId="12" fillId="0" borderId="0" xfId="0" applyFont="1" applyAlignment="1">
      <alignment horizontal="left"/>
    </xf>
    <xf numFmtId="0" fontId="0" fillId="0" borderId="1" xfId="0" applyBorder="1"/>
    <xf numFmtId="0" fontId="0" fillId="0" borderId="25" xfId="0" applyBorder="1"/>
    <xf numFmtId="0" fontId="0" fillId="0" borderId="3" xfId="0" applyBorder="1"/>
    <xf numFmtId="0" fontId="0" fillId="0" borderId="4" xfId="0" applyBorder="1"/>
    <xf numFmtId="165" fontId="0" fillId="0" borderId="4" xfId="1" applyNumberFormat="1" applyFont="1" applyBorder="1"/>
    <xf numFmtId="43" fontId="0" fillId="0" borderId="4" xfId="1" applyFont="1" applyBorder="1"/>
    <xf numFmtId="165" fontId="0" fillId="0" borderId="4" xfId="0" applyNumberFormat="1" applyBorder="1"/>
    <xf numFmtId="0" fontId="0" fillId="0" borderId="5" xfId="0" applyBorder="1"/>
    <xf numFmtId="0" fontId="0" fillId="0" borderId="16" xfId="0" applyBorder="1"/>
    <xf numFmtId="43" fontId="0" fillId="0" borderId="16" xfId="1" applyFont="1" applyBorder="1"/>
    <xf numFmtId="165" fontId="0" fillId="0" borderId="6" xfId="1" applyNumberFormat="1" applyFont="1" applyBorder="1"/>
    <xf numFmtId="0" fontId="13" fillId="0" borderId="0" xfId="0" applyFont="1"/>
    <xf numFmtId="3" fontId="0" fillId="0" borderId="0" xfId="0" applyNumberFormat="1" applyAlignment="1">
      <alignment horizontal="center" vertical="center"/>
    </xf>
    <xf numFmtId="3" fontId="0" fillId="0" borderId="0" xfId="0" applyNumberFormat="1"/>
    <xf numFmtId="4" fontId="0" fillId="0" borderId="0" xfId="0" applyNumberFormat="1"/>
    <xf numFmtId="0" fontId="3" fillId="0" borderId="0" xfId="0" applyFont="1"/>
    <xf numFmtId="0" fontId="15" fillId="0" borderId="0" xfId="0" applyFont="1"/>
    <xf numFmtId="3" fontId="0" fillId="0" borderId="0" xfId="0" applyNumberFormat="1" applyAlignment="1">
      <alignment horizontal="right" vertical="center"/>
    </xf>
    <xf numFmtId="0" fontId="14" fillId="0" borderId="13" xfId="0" applyFont="1" applyBorder="1" applyAlignment="1">
      <alignment horizontal="center" vertical="center" wrapText="1"/>
    </xf>
    <xf numFmtId="0" fontId="16" fillId="5" borderId="10" xfId="0" applyFont="1" applyFill="1" applyBorder="1" applyAlignment="1">
      <alignment horizontal="center" vertical="center" wrapText="1"/>
    </xf>
    <xf numFmtId="3" fontId="16" fillId="5" borderId="10" xfId="0" applyNumberFormat="1" applyFont="1" applyFill="1" applyBorder="1" applyAlignment="1">
      <alignment horizontal="center" vertical="center" wrapText="1"/>
    </xf>
    <xf numFmtId="3" fontId="16" fillId="5" borderId="15" xfId="0" applyNumberFormat="1" applyFont="1" applyFill="1" applyBorder="1" applyAlignment="1">
      <alignment horizontal="center" vertical="center" wrapText="1"/>
    </xf>
    <xf numFmtId="0" fontId="16" fillId="0" borderId="0" xfId="0" applyFont="1"/>
    <xf numFmtId="0" fontId="16" fillId="0" borderId="11" xfId="0" applyFont="1" applyBorder="1"/>
    <xf numFmtId="3" fontId="16" fillId="0" borderId="11" xfId="0" applyNumberFormat="1" applyFont="1" applyBorder="1" applyAlignment="1">
      <alignment horizontal="center" vertical="center"/>
    </xf>
    <xf numFmtId="3" fontId="16" fillId="0" borderId="0" xfId="0" applyNumberFormat="1" applyFont="1" applyAlignment="1">
      <alignment horizontal="center" vertical="center"/>
    </xf>
    <xf numFmtId="0" fontId="16" fillId="0" borderId="26" xfId="0" applyFont="1" applyBorder="1"/>
    <xf numFmtId="0" fontId="16" fillId="0" borderId="30" xfId="0" applyFont="1" applyBorder="1" applyAlignment="1">
      <alignment horizontal="left" indent="1"/>
    </xf>
    <xf numFmtId="3" fontId="16" fillId="0" borderId="31" xfId="0" applyNumberFormat="1" applyFont="1" applyBorder="1" applyAlignment="1">
      <alignment horizontal="center" vertical="center"/>
    </xf>
    <xf numFmtId="0" fontId="16" fillId="0" borderId="3" xfId="0" applyFont="1" applyBorder="1"/>
    <xf numFmtId="0" fontId="16" fillId="0" borderId="11" xfId="0" applyFont="1" applyBorder="1" applyAlignment="1">
      <alignment vertical="center"/>
    </xf>
    <xf numFmtId="3" fontId="16" fillId="0" borderId="4" xfId="0" applyNumberFormat="1" applyFont="1" applyBorder="1" applyAlignment="1">
      <alignment horizontal="center" vertical="center"/>
    </xf>
    <xf numFmtId="0" fontId="16" fillId="0" borderId="13" xfId="0" applyFont="1" applyBorder="1"/>
    <xf numFmtId="9" fontId="16" fillId="0" borderId="28" xfId="2" applyFont="1" applyBorder="1" applyAlignment="1">
      <alignment horizontal="center" vertical="center"/>
    </xf>
    <xf numFmtId="9" fontId="16" fillId="0" borderId="36" xfId="2" applyFont="1" applyBorder="1" applyAlignment="1">
      <alignment horizontal="center" vertical="center"/>
    </xf>
    <xf numFmtId="0" fontId="17" fillId="5" borderId="30" xfId="0" applyFont="1" applyFill="1" applyBorder="1" applyAlignment="1">
      <alignment horizontal="left" indent="1"/>
    </xf>
    <xf numFmtId="3" fontId="16" fillId="5" borderId="32" xfId="0" applyNumberFormat="1" applyFont="1" applyFill="1" applyBorder="1" applyAlignment="1">
      <alignment horizontal="center" vertical="center"/>
    </xf>
    <xf numFmtId="0" fontId="17" fillId="0" borderId="37" xfId="0" applyFont="1" applyBorder="1" applyAlignment="1">
      <alignment horizontal="left" indent="1"/>
    </xf>
    <xf numFmtId="3" fontId="16" fillId="0" borderId="38" xfId="0" applyNumberFormat="1" applyFont="1" applyBorder="1" applyAlignment="1">
      <alignment horizontal="center" vertical="center"/>
    </xf>
    <xf numFmtId="3" fontId="16" fillId="0" borderId="39" xfId="0" applyNumberFormat="1" applyFont="1" applyBorder="1" applyAlignment="1">
      <alignment horizontal="center" vertical="center"/>
    </xf>
    <xf numFmtId="0" fontId="16" fillId="0" borderId="28" xfId="0" applyFont="1" applyBorder="1" applyAlignment="1">
      <alignment vertical="center"/>
    </xf>
    <xf numFmtId="0" fontId="17" fillId="5" borderId="31" xfId="0" applyFont="1" applyFill="1" applyBorder="1" applyAlignment="1">
      <alignment horizontal="left" vertical="center"/>
    </xf>
    <xf numFmtId="0" fontId="17" fillId="0" borderId="38" xfId="0" applyFont="1" applyBorder="1" applyAlignment="1">
      <alignment horizontal="left" vertical="center"/>
    </xf>
    <xf numFmtId="0" fontId="18" fillId="0" borderId="10" xfId="0" applyFont="1" applyBorder="1" applyAlignment="1">
      <alignment horizontal="center" vertical="center"/>
    </xf>
    <xf numFmtId="3" fontId="18" fillId="0" borderId="10" xfId="0" applyNumberFormat="1" applyFont="1" applyBorder="1" applyAlignment="1">
      <alignment horizontal="center" vertical="center"/>
    </xf>
    <xf numFmtId="3" fontId="18" fillId="0" borderId="15" xfId="0" applyNumberFormat="1" applyFont="1" applyBorder="1" applyAlignment="1">
      <alignment horizontal="center" vertical="center"/>
    </xf>
    <xf numFmtId="0" fontId="19" fillId="0" borderId="30" xfId="0" applyFont="1" applyBorder="1" applyAlignment="1">
      <alignment horizontal="left" indent="1"/>
    </xf>
    <xf numFmtId="9" fontId="20" fillId="0" borderId="31" xfId="2" applyFont="1" applyBorder="1" applyAlignment="1">
      <alignment horizontal="center" vertical="center"/>
    </xf>
    <xf numFmtId="9" fontId="20" fillId="0" borderId="32" xfId="2" applyFont="1" applyBorder="1" applyAlignment="1">
      <alignment horizontal="center" vertical="center"/>
    </xf>
    <xf numFmtId="0" fontId="21" fillId="0" borderId="0" xfId="0" applyFont="1"/>
    <xf numFmtId="43" fontId="21" fillId="0" borderId="0" xfId="1" applyFont="1"/>
    <xf numFmtId="3" fontId="9" fillId="0" borderId="0" xfId="0" applyNumberFormat="1" applyFont="1" applyAlignment="1">
      <alignment horizontal="left" vertical="center"/>
    </xf>
    <xf numFmtId="0" fontId="0" fillId="5" borderId="9" xfId="0" applyFill="1" applyBorder="1"/>
    <xf numFmtId="43" fontId="16" fillId="0" borderId="31" xfId="1" applyFont="1" applyBorder="1" applyAlignment="1">
      <alignment horizontal="center" vertical="center"/>
    </xf>
    <xf numFmtId="0" fontId="14" fillId="4" borderId="34" xfId="0" applyFont="1" applyFill="1" applyBorder="1"/>
    <xf numFmtId="0" fontId="22" fillId="0" borderId="0" xfId="0" applyFont="1"/>
    <xf numFmtId="0" fontId="0" fillId="2" borderId="0" xfId="0" applyFill="1"/>
    <xf numFmtId="0" fontId="0" fillId="2" borderId="0" xfId="0" applyFill="1" applyAlignment="1">
      <alignment horizontal="center" vertical="center"/>
    </xf>
    <xf numFmtId="166" fontId="0" fillId="5" borderId="40" xfId="0" applyNumberFormat="1" applyFill="1" applyBorder="1" applyAlignment="1">
      <alignment horizontal="left" vertical="center"/>
    </xf>
    <xf numFmtId="0" fontId="14" fillId="4" borderId="43" xfId="0" applyFont="1" applyFill="1" applyBorder="1"/>
    <xf numFmtId="0" fontId="16" fillId="0" borderId="12" xfId="0" applyFont="1" applyBorder="1" applyAlignment="1">
      <alignment vertical="center"/>
    </xf>
    <xf numFmtId="9" fontId="20" fillId="0" borderId="30" xfId="2" applyFont="1" applyBorder="1" applyAlignment="1">
      <alignment horizontal="center" vertical="center"/>
    </xf>
    <xf numFmtId="3" fontId="16" fillId="0" borderId="3" xfId="0" applyNumberFormat="1" applyFont="1" applyBorder="1" applyAlignment="1">
      <alignment horizontal="center" vertical="center"/>
    </xf>
    <xf numFmtId="3" fontId="16" fillId="0" borderId="12" xfId="0" applyNumberFormat="1" applyFont="1" applyBorder="1" applyAlignment="1">
      <alignment horizontal="center" vertical="center"/>
    </xf>
    <xf numFmtId="0" fontId="0" fillId="2" borderId="0" xfId="0"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Border="1"/>
    <xf numFmtId="0" fontId="0" fillId="2" borderId="46" xfId="0" applyFill="1" applyBorder="1"/>
    <xf numFmtId="0" fontId="0" fillId="2" borderId="47" xfId="0" applyFill="1" applyBorder="1"/>
    <xf numFmtId="0" fontId="0" fillId="2" borderId="47" xfId="0" applyFill="1" applyBorder="1" applyAlignment="1">
      <alignment horizontal="center" vertical="center"/>
    </xf>
    <xf numFmtId="0" fontId="0" fillId="2" borderId="49" xfId="0" applyFill="1" applyBorder="1"/>
    <xf numFmtId="0" fontId="0" fillId="2" borderId="49" xfId="0" applyFill="1" applyBorder="1" applyAlignment="1">
      <alignment horizontal="left" vertical="center" indent="1"/>
    </xf>
    <xf numFmtId="0" fontId="0" fillId="2" borderId="51" xfId="0" applyFill="1" applyBorder="1"/>
    <xf numFmtId="0" fontId="0" fillId="2" borderId="52" xfId="0" applyFill="1" applyBorder="1"/>
    <xf numFmtId="0" fontId="0" fillId="2" borderId="52" xfId="0" applyFill="1" applyBorder="1" applyAlignment="1">
      <alignment horizontal="center" vertical="center"/>
    </xf>
    <xf numFmtId="0" fontId="14" fillId="2" borderId="0" xfId="0" applyFont="1" applyFill="1" applyBorder="1" applyAlignment="1">
      <alignment horizontal="center" vertical="center"/>
    </xf>
    <xf numFmtId="0" fontId="14" fillId="2" borderId="50" xfId="0" applyFont="1" applyFill="1" applyBorder="1" applyAlignment="1">
      <alignment horizontal="center" vertical="center"/>
    </xf>
    <xf numFmtId="0" fontId="2" fillId="2" borderId="49" xfId="0" applyFont="1" applyFill="1" applyBorder="1" applyAlignment="1">
      <alignment horizontal="left" indent="1"/>
    </xf>
    <xf numFmtId="0" fontId="2" fillId="2" borderId="49" xfId="0" applyFont="1" applyFill="1" applyBorder="1" applyAlignment="1">
      <alignment horizontal="right" vertical="center"/>
    </xf>
    <xf numFmtId="0" fontId="2" fillId="2" borderId="51" xfId="0" applyFont="1" applyFill="1" applyBorder="1" applyAlignment="1">
      <alignment horizontal="right" vertical="center"/>
    </xf>
    <xf numFmtId="9" fontId="0" fillId="2" borderId="0" xfId="2" applyFont="1" applyFill="1" applyAlignment="1">
      <alignment horizontal="center" vertical="center"/>
    </xf>
    <xf numFmtId="9" fontId="0" fillId="2" borderId="47" xfId="2" applyFont="1" applyFill="1" applyBorder="1" applyAlignment="1">
      <alignment horizontal="center" vertical="center"/>
    </xf>
    <xf numFmtId="9" fontId="0" fillId="2" borderId="0" xfId="2" applyFont="1" applyFill="1" applyBorder="1" applyAlignment="1">
      <alignment horizontal="center" vertical="center"/>
    </xf>
    <xf numFmtId="9" fontId="0" fillId="2" borderId="52" xfId="2" applyFont="1" applyFill="1" applyBorder="1" applyAlignment="1">
      <alignment horizontal="center" vertical="center"/>
    </xf>
    <xf numFmtId="9" fontId="39" fillId="2" borderId="0" xfId="2" applyFont="1" applyFill="1" applyBorder="1" applyAlignment="1">
      <alignment horizontal="center" vertical="center"/>
    </xf>
    <xf numFmtId="9" fontId="3" fillId="2" borderId="0" xfId="2" applyFont="1" applyFill="1" applyBorder="1" applyAlignment="1">
      <alignment horizontal="center" vertical="center"/>
    </xf>
    <xf numFmtId="9" fontId="0" fillId="2" borderId="48" xfId="2" applyFont="1" applyFill="1" applyBorder="1" applyAlignment="1">
      <alignment horizontal="center" vertical="center"/>
    </xf>
    <xf numFmtId="9" fontId="0" fillId="2" borderId="50" xfId="2" applyFont="1" applyFill="1" applyBorder="1" applyAlignment="1">
      <alignment horizontal="center" vertical="center"/>
    </xf>
    <xf numFmtId="9" fontId="0" fillId="2" borderId="53" xfId="2" applyFont="1" applyFill="1" applyBorder="1" applyAlignment="1">
      <alignment horizontal="center" vertical="center"/>
    </xf>
    <xf numFmtId="9" fontId="39" fillId="2" borderId="50" xfId="2" applyFont="1" applyFill="1" applyBorder="1" applyAlignment="1">
      <alignment horizontal="center" vertical="center"/>
    </xf>
    <xf numFmtId="9" fontId="3" fillId="2" borderId="50" xfId="2" applyFont="1" applyFill="1" applyBorder="1" applyAlignment="1">
      <alignment horizontal="center" vertical="center"/>
    </xf>
    <xf numFmtId="43" fontId="3" fillId="2" borderId="0" xfId="1" applyFont="1" applyFill="1" applyBorder="1" applyAlignment="1">
      <alignment horizontal="center" vertical="center"/>
    </xf>
    <xf numFmtId="43" fontId="3" fillId="2" borderId="50" xfId="1" applyFont="1" applyFill="1" applyBorder="1" applyAlignment="1">
      <alignment horizontal="center" vertical="center"/>
    </xf>
    <xf numFmtId="170" fontId="42" fillId="2" borderId="0" xfId="0" applyNumberFormat="1" applyFont="1" applyFill="1" applyAlignment="1">
      <alignment horizontal="right" vertical="center"/>
    </xf>
    <xf numFmtId="9" fontId="19" fillId="0" borderId="31" xfId="2" applyFont="1" applyBorder="1" applyAlignment="1">
      <alignment horizontal="center" vertical="center"/>
    </xf>
    <xf numFmtId="9" fontId="19" fillId="0" borderId="32" xfId="2" applyFont="1" applyBorder="1" applyAlignment="1">
      <alignment horizontal="center" vertical="center"/>
    </xf>
    <xf numFmtId="0" fontId="0" fillId="3" borderId="0" xfId="0" applyFill="1"/>
    <xf numFmtId="0" fontId="24" fillId="3" borderId="0" xfId="3" applyFill="1"/>
    <xf numFmtId="4" fontId="16" fillId="0" borderId="28" xfId="0" applyNumberFormat="1" applyFont="1" applyBorder="1" applyAlignment="1">
      <alignment horizontal="center" vertical="center"/>
    </xf>
    <xf numFmtId="4" fontId="16" fillId="0" borderId="36" xfId="0" applyNumberFormat="1" applyFont="1" applyBorder="1" applyAlignment="1">
      <alignment horizontal="center" vertical="center"/>
    </xf>
    <xf numFmtId="4" fontId="16" fillId="0" borderId="26" xfId="0" applyNumberFormat="1" applyFont="1" applyBorder="1" applyAlignment="1">
      <alignment horizontal="center" vertical="center"/>
    </xf>
    <xf numFmtId="4" fontId="16" fillId="0" borderId="42" xfId="0" applyNumberFormat="1" applyFont="1" applyBorder="1" applyAlignment="1">
      <alignment horizontal="center" vertical="center"/>
    </xf>
    <xf numFmtId="4" fontId="16" fillId="0" borderId="44" xfId="0" applyNumberFormat="1" applyFont="1" applyBorder="1" applyAlignment="1">
      <alignment horizontal="center" vertical="center"/>
    </xf>
    <xf numFmtId="4" fontId="16" fillId="0" borderId="41" xfId="0" applyNumberFormat="1" applyFont="1" applyBorder="1" applyAlignment="1">
      <alignment horizontal="center" vertical="center"/>
    </xf>
    <xf numFmtId="4" fontId="16" fillId="0" borderId="31" xfId="0" applyNumberFormat="1" applyFont="1" applyBorder="1" applyAlignment="1">
      <alignment horizontal="center" vertical="center"/>
    </xf>
    <xf numFmtId="4" fontId="14" fillId="4" borderId="45" xfId="0" applyNumberFormat="1" applyFont="1" applyFill="1" applyBorder="1" applyAlignment="1">
      <alignment horizontal="center" vertical="center"/>
    </xf>
    <xf numFmtId="4" fontId="16" fillId="0" borderId="10" xfId="0" applyNumberFormat="1" applyFont="1" applyBorder="1" applyAlignment="1">
      <alignment horizontal="center" vertical="center"/>
    </xf>
    <xf numFmtId="4" fontId="16" fillId="0" borderId="15" xfId="0" applyNumberFormat="1" applyFont="1" applyBorder="1" applyAlignment="1">
      <alignment horizontal="center" vertical="center"/>
    </xf>
    <xf numFmtId="4" fontId="16" fillId="0" borderId="11" xfId="0" applyNumberFormat="1" applyFont="1" applyBorder="1" applyAlignment="1">
      <alignment vertical="center"/>
    </xf>
    <xf numFmtId="4" fontId="16" fillId="0" borderId="11" xfId="0" applyNumberFormat="1" applyFont="1" applyBorder="1" applyAlignment="1">
      <alignment horizontal="center" vertical="center"/>
    </xf>
    <xf numFmtId="4" fontId="16" fillId="0" borderId="4" xfId="0" applyNumberFormat="1" applyFont="1" applyBorder="1" applyAlignment="1">
      <alignment horizontal="center" vertical="center"/>
    </xf>
    <xf numFmtId="4" fontId="16" fillId="5" borderId="31" xfId="0" applyNumberFormat="1" applyFont="1" applyFill="1" applyBorder="1" applyAlignment="1">
      <alignment horizontal="center" vertical="center"/>
    </xf>
    <xf numFmtId="4" fontId="16" fillId="5" borderId="32" xfId="0" applyNumberFormat="1" applyFont="1" applyFill="1" applyBorder="1" applyAlignment="1">
      <alignment horizontal="center" vertical="center"/>
    </xf>
    <xf numFmtId="4" fontId="0" fillId="5" borderId="40" xfId="0" applyNumberFormat="1" applyFill="1" applyBorder="1" applyAlignment="1">
      <alignment horizontal="left" vertical="center"/>
    </xf>
    <xf numFmtId="4" fontId="16" fillId="0" borderId="27" xfId="0" applyNumberFormat="1" applyFont="1" applyBorder="1" applyAlignment="1">
      <alignment horizontal="center" vertical="center"/>
    </xf>
    <xf numFmtId="4" fontId="16" fillId="0" borderId="29" xfId="0" applyNumberFormat="1" applyFont="1" applyBorder="1" applyAlignment="1">
      <alignment horizontal="center" vertical="center"/>
    </xf>
    <xf numFmtId="4" fontId="16" fillId="0" borderId="33" xfId="0" applyNumberFormat="1" applyFont="1" applyBorder="1" applyAlignment="1">
      <alignment horizontal="center" vertical="center"/>
    </xf>
    <xf numFmtId="4" fontId="14" fillId="4" borderId="35" xfId="0" applyNumberFormat="1" applyFont="1" applyFill="1" applyBorder="1" applyAlignment="1">
      <alignment horizontal="center" vertical="center"/>
    </xf>
    <xf numFmtId="3" fontId="16" fillId="0" borderId="31" xfId="1" applyNumberFormat="1" applyFont="1" applyBorder="1" applyAlignment="1">
      <alignment horizontal="center" vertical="center"/>
    </xf>
    <xf numFmtId="0" fontId="43" fillId="2" borderId="0" xfId="0" applyFont="1" applyFill="1"/>
    <xf numFmtId="0" fontId="15" fillId="2" borderId="0" xfId="0" applyFont="1" applyFill="1"/>
    <xf numFmtId="0" fontId="0" fillId="2" borderId="0" xfId="0" applyFill="1" applyBorder="1" applyAlignment="1" applyProtection="1">
      <alignment horizontal="center" vertical="center"/>
    </xf>
    <xf numFmtId="9" fontId="0" fillId="2" borderId="0" xfId="2" applyFont="1" applyFill="1" applyBorder="1" applyAlignment="1" applyProtection="1">
      <alignment horizontal="center" vertical="center"/>
    </xf>
    <xf numFmtId="0" fontId="39" fillId="2" borderId="0" xfId="0" applyFont="1" applyFill="1" applyBorder="1" applyAlignment="1" applyProtection="1">
      <alignment horizontal="center" vertical="center"/>
    </xf>
    <xf numFmtId="9" fontId="39" fillId="2" borderId="0" xfId="2" applyFont="1" applyFill="1" applyBorder="1" applyAlignment="1" applyProtection="1">
      <alignment horizontal="center" vertical="center"/>
    </xf>
    <xf numFmtId="0" fontId="24" fillId="2" borderId="0" xfId="3" applyFill="1" applyBorder="1" applyAlignment="1" applyProtection="1">
      <alignment horizontal="center" vertical="center"/>
    </xf>
    <xf numFmtId="9" fontId="3" fillId="2" borderId="0" xfId="2" applyFont="1" applyFill="1" applyBorder="1" applyAlignment="1" applyProtection="1">
      <alignment horizontal="center" vertical="center"/>
    </xf>
    <xf numFmtId="43" fontId="3" fillId="2" borderId="0" xfId="1" applyFont="1" applyFill="1" applyBorder="1" applyAlignment="1" applyProtection="1">
      <alignment horizontal="center" vertical="center"/>
    </xf>
    <xf numFmtId="0" fontId="0" fillId="3" borderId="7" xfId="0" applyFill="1" applyBorder="1" applyAlignment="1" applyProtection="1">
      <alignment horizontal="center" vertical="center"/>
      <protection locked="0"/>
    </xf>
    <xf numFmtId="0" fontId="0" fillId="3" borderId="0" xfId="0" applyFill="1" applyBorder="1"/>
    <xf numFmtId="0" fontId="0" fillId="3" borderId="0" xfId="0" applyFill="1" applyBorder="1" applyAlignment="1">
      <alignment horizontal="center" vertical="center"/>
    </xf>
    <xf numFmtId="0" fontId="0" fillId="2" borderId="47" xfId="0" applyFill="1" applyBorder="1" applyProtection="1">
      <protection locked="0"/>
    </xf>
    <xf numFmtId="0" fontId="23" fillId="2" borderId="0" xfId="0" applyFont="1" applyFill="1" applyBorder="1" applyProtection="1">
      <protection locked="0"/>
    </xf>
    <xf numFmtId="0" fontId="0" fillId="2" borderId="0" xfId="0" applyNumberFormat="1" applyFill="1" applyBorder="1" applyAlignment="1" applyProtection="1">
      <alignment horizontal="center" vertical="center"/>
      <protection locked="0"/>
    </xf>
    <xf numFmtId="0" fontId="0" fillId="2" borderId="52" xfId="0" applyFill="1" applyBorder="1" applyProtection="1">
      <protection locked="0"/>
    </xf>
    <xf numFmtId="166" fontId="0" fillId="2" borderId="7" xfId="0" applyNumberFormat="1" applyFill="1" applyBorder="1" applyAlignment="1" applyProtection="1">
      <alignment horizontal="center" vertical="center"/>
      <protection hidden="1"/>
    </xf>
    <xf numFmtId="4" fontId="0" fillId="2" borderId="7" xfId="0" applyNumberFormat="1" applyFill="1" applyBorder="1" applyAlignment="1" applyProtection="1">
      <alignment horizontal="center" vertical="center"/>
      <protection hidden="1"/>
    </xf>
    <xf numFmtId="0" fontId="0" fillId="2" borderId="7" xfId="0" applyNumberFormat="1" applyFill="1" applyBorder="1" applyAlignment="1" applyProtection="1">
      <alignment horizontal="center" vertical="center"/>
      <protection hidden="1"/>
    </xf>
    <xf numFmtId="43" fontId="33" fillId="6" borderId="60" xfId="0" applyNumberFormat="1" applyFont="1" applyFill="1" applyBorder="1" applyAlignment="1" applyProtection="1">
      <alignment vertical="center"/>
      <protection hidden="1"/>
    </xf>
    <xf numFmtId="43" fontId="33" fillId="6" borderId="73" xfId="0" applyNumberFormat="1" applyFont="1" applyFill="1" applyBorder="1" applyAlignment="1" applyProtection="1">
      <alignment vertical="center"/>
      <protection hidden="1"/>
    </xf>
    <xf numFmtId="43" fontId="33" fillId="6" borderId="61" xfId="0" applyNumberFormat="1" applyFont="1" applyFill="1" applyBorder="1" applyAlignment="1" applyProtection="1">
      <alignment vertical="center"/>
      <protection hidden="1"/>
    </xf>
    <xf numFmtId="43" fontId="33" fillId="6" borderId="69" xfId="0" applyNumberFormat="1" applyFont="1" applyFill="1" applyBorder="1" applyAlignment="1" applyProtection="1">
      <alignment vertical="center"/>
      <protection hidden="1"/>
    </xf>
    <xf numFmtId="43" fontId="33" fillId="6" borderId="74" xfId="0" applyNumberFormat="1" applyFont="1" applyFill="1" applyBorder="1" applyAlignment="1" applyProtection="1">
      <alignment vertical="center"/>
      <protection hidden="1"/>
    </xf>
    <xf numFmtId="43" fontId="33" fillId="6" borderId="70" xfId="0" applyNumberFormat="1" applyFont="1" applyFill="1" applyBorder="1" applyAlignment="1" applyProtection="1">
      <alignment vertical="center"/>
      <protection hidden="1"/>
    </xf>
    <xf numFmtId="43" fontId="33" fillId="6" borderId="71" xfId="0" applyNumberFormat="1" applyFont="1" applyFill="1" applyBorder="1" applyAlignment="1" applyProtection="1">
      <alignment vertical="center"/>
      <protection hidden="1"/>
    </xf>
    <xf numFmtId="43" fontId="33" fillId="6" borderId="75" xfId="0" applyNumberFormat="1" applyFont="1" applyFill="1" applyBorder="1" applyAlignment="1" applyProtection="1">
      <alignment vertical="center"/>
      <protection hidden="1"/>
    </xf>
    <xf numFmtId="43" fontId="33" fillId="6" borderId="64" xfId="0" applyNumberFormat="1" applyFont="1" applyFill="1" applyBorder="1" applyAlignment="1" applyProtection="1">
      <alignment vertical="center"/>
      <protection hidden="1"/>
    </xf>
    <xf numFmtId="43" fontId="33" fillId="6" borderId="76" xfId="0" applyNumberFormat="1" applyFont="1" applyFill="1" applyBorder="1" applyAlignment="1" applyProtection="1">
      <alignment vertical="center"/>
      <protection hidden="1"/>
    </xf>
    <xf numFmtId="43" fontId="25" fillId="5" borderId="14" xfId="0" applyNumberFormat="1" applyFont="1" applyFill="1" applyBorder="1" applyAlignment="1" applyProtection="1">
      <alignment vertical="center"/>
      <protection hidden="1"/>
    </xf>
    <xf numFmtId="0" fontId="25" fillId="5" borderId="15" xfId="0" applyFont="1" applyFill="1" applyBorder="1" applyAlignment="1" applyProtection="1">
      <alignment vertical="center"/>
      <protection hidden="1"/>
    </xf>
    <xf numFmtId="9" fontId="33" fillId="6" borderId="0" xfId="2" applyFont="1" applyFill="1" applyAlignment="1" applyProtection="1">
      <alignment horizontal="left" vertical="center"/>
      <protection hidden="1"/>
    </xf>
    <xf numFmtId="39" fontId="0" fillId="6" borderId="0" xfId="0" applyNumberFormat="1" applyFill="1" applyAlignment="1" applyProtection="1">
      <alignment vertical="center"/>
      <protection hidden="1"/>
    </xf>
    <xf numFmtId="43" fontId="0" fillId="6" borderId="0" xfId="0" applyNumberFormat="1" applyFill="1" applyAlignment="1" applyProtection="1">
      <alignment vertical="center"/>
      <protection hidden="1"/>
    </xf>
    <xf numFmtId="9" fontId="33" fillId="6" borderId="0" xfId="2" applyFont="1" applyFill="1" applyAlignment="1" applyProtection="1">
      <alignment horizontal="center" vertical="center"/>
      <protection hidden="1"/>
    </xf>
    <xf numFmtId="43" fontId="0" fillId="6" borderId="0" xfId="0" applyNumberFormat="1" applyFill="1" applyBorder="1" applyAlignment="1" applyProtection="1">
      <alignment vertical="center"/>
      <protection hidden="1"/>
    </xf>
    <xf numFmtId="43" fontId="0" fillId="6" borderId="0" xfId="0" applyNumberFormat="1" applyFont="1" applyFill="1" applyBorder="1" applyAlignment="1" applyProtection="1">
      <alignment vertical="center"/>
      <protection hidden="1"/>
    </xf>
    <xf numFmtId="9" fontId="33" fillId="6" borderId="0" xfId="2" applyFont="1" applyFill="1" applyBorder="1" applyAlignment="1" applyProtection="1">
      <alignment horizontal="center" vertical="center"/>
      <protection hidden="1"/>
    </xf>
    <xf numFmtId="43" fontId="2" fillId="6" borderId="54" xfId="0" applyNumberFormat="1" applyFont="1" applyFill="1" applyBorder="1" applyAlignment="1" applyProtection="1">
      <alignment vertical="center"/>
      <protection hidden="1"/>
    </xf>
    <xf numFmtId="9" fontId="33" fillId="6" borderId="0" xfId="2" applyFont="1" applyFill="1" applyAlignment="1" applyProtection="1">
      <alignment horizontal="center" vertical="center"/>
      <protection locked="0" hidden="1"/>
    </xf>
    <xf numFmtId="43" fontId="33" fillId="6" borderId="66" xfId="0" applyNumberFormat="1" applyFont="1" applyFill="1" applyBorder="1" applyAlignment="1" applyProtection="1">
      <alignment vertical="center"/>
      <protection hidden="1"/>
    </xf>
    <xf numFmtId="43" fontId="33" fillId="6" borderId="77" xfId="0" applyNumberFormat="1" applyFont="1" applyFill="1" applyBorder="1" applyAlignment="1" applyProtection="1">
      <alignment vertical="center"/>
      <protection hidden="1"/>
    </xf>
    <xf numFmtId="39" fontId="0" fillId="6" borderId="0" xfId="0" applyNumberFormat="1" applyFill="1" applyBorder="1" applyAlignment="1" applyProtection="1">
      <alignment vertical="center"/>
      <protection hidden="1"/>
    </xf>
    <xf numFmtId="43" fontId="0" fillId="6" borderId="9" xfId="0" applyNumberFormat="1" applyFill="1" applyBorder="1" applyAlignment="1" applyProtection="1">
      <alignment vertical="center"/>
      <protection hidden="1"/>
    </xf>
    <xf numFmtId="43" fontId="2" fillId="6" borderId="78" xfId="0" applyNumberFormat="1" applyFont="1" applyFill="1" applyBorder="1" applyAlignment="1" applyProtection="1">
      <alignment vertical="center"/>
      <protection hidden="1"/>
    </xf>
    <xf numFmtId="0" fontId="0" fillId="6" borderId="0" xfId="0" applyFill="1" applyProtection="1">
      <protection hidden="1"/>
    </xf>
    <xf numFmtId="43" fontId="44" fillId="6" borderId="60" xfId="0" applyNumberFormat="1" applyFont="1" applyFill="1" applyBorder="1" applyAlignment="1" applyProtection="1">
      <alignment vertical="center"/>
      <protection hidden="1"/>
    </xf>
    <xf numFmtId="43" fontId="44" fillId="6" borderId="73" xfId="0" applyNumberFormat="1" applyFont="1" applyFill="1" applyBorder="1" applyAlignment="1" applyProtection="1">
      <alignment vertical="center"/>
      <protection hidden="1"/>
    </xf>
    <xf numFmtId="43" fontId="44" fillId="6" borderId="61" xfId="0" applyNumberFormat="1" applyFont="1" applyFill="1" applyBorder="1" applyAlignment="1" applyProtection="1">
      <alignment vertical="center"/>
      <protection hidden="1"/>
    </xf>
    <xf numFmtId="43" fontId="44" fillId="6" borderId="74" xfId="0" applyNumberFormat="1" applyFont="1" applyFill="1" applyBorder="1" applyAlignment="1" applyProtection="1">
      <alignment vertical="center"/>
      <protection hidden="1"/>
    </xf>
    <xf numFmtId="43" fontId="44" fillId="6" borderId="71" xfId="0" applyNumberFormat="1" applyFont="1" applyFill="1" applyBorder="1" applyAlignment="1" applyProtection="1">
      <alignment vertical="center"/>
      <protection hidden="1"/>
    </xf>
    <xf numFmtId="43" fontId="44" fillId="6" borderId="75" xfId="0" applyNumberFormat="1" applyFont="1" applyFill="1" applyBorder="1" applyAlignment="1" applyProtection="1">
      <alignment vertical="center"/>
      <protection hidden="1"/>
    </xf>
    <xf numFmtId="9" fontId="30" fillId="6" borderId="0" xfId="2" applyFont="1" applyFill="1" applyAlignment="1" applyProtection="1">
      <alignment horizontal="center" vertical="center"/>
      <protection hidden="1"/>
    </xf>
    <xf numFmtId="0" fontId="25" fillId="5" borderId="6" xfId="0" applyFont="1" applyFill="1" applyBorder="1" applyAlignment="1" applyProtection="1">
      <alignment vertical="center"/>
      <protection hidden="1"/>
    </xf>
    <xf numFmtId="0" fontId="23" fillId="0" borderId="0" xfId="0" applyFont="1"/>
    <xf numFmtId="15" fontId="23" fillId="0" borderId="0" xfId="0" applyNumberFormat="1" applyFont="1"/>
    <xf numFmtId="0" fontId="49" fillId="0" borderId="0" xfId="0" applyFont="1" applyAlignment="1">
      <alignment horizontal="right"/>
    </xf>
    <xf numFmtId="0" fontId="23" fillId="0" borderId="0" xfId="0" applyFont="1" applyAlignment="1">
      <alignment horizontal="right"/>
    </xf>
    <xf numFmtId="0" fontId="23" fillId="0" borderId="0" xfId="0" applyFont="1" applyAlignment="1">
      <alignment horizontal="center"/>
    </xf>
    <xf numFmtId="9" fontId="23" fillId="0" borderId="0" xfId="2" applyFont="1"/>
    <xf numFmtId="171" fontId="50" fillId="0" borderId="0" xfId="2" applyNumberFormat="1" applyFont="1"/>
    <xf numFmtId="0" fontId="51" fillId="0" borderId="0" xfId="0" applyFont="1" applyAlignment="1">
      <alignment horizontal="center"/>
    </xf>
    <xf numFmtId="0" fontId="49" fillId="0" borderId="0" xfId="0" applyFont="1"/>
    <xf numFmtId="0" fontId="52" fillId="0" borderId="0" xfId="0" applyFont="1" applyAlignment="1">
      <alignment horizontal="center"/>
    </xf>
    <xf numFmtId="17" fontId="23" fillId="0" borderId="0" xfId="0" applyNumberFormat="1" applyFont="1" applyAlignment="1">
      <alignment horizontal="center"/>
    </xf>
    <xf numFmtId="0" fontId="23" fillId="3" borderId="0" xfId="0" applyFont="1" applyFill="1" applyAlignment="1">
      <alignment horizontal="center"/>
    </xf>
    <xf numFmtId="0" fontId="51" fillId="3" borderId="81" xfId="0" applyFont="1" applyFill="1" applyBorder="1" applyAlignment="1">
      <alignment horizontal="center"/>
    </xf>
    <xf numFmtId="0" fontId="23" fillId="0" borderId="1" xfId="0" applyFont="1" applyBorder="1" applyAlignment="1">
      <alignment horizontal="center"/>
    </xf>
    <xf numFmtId="0" fontId="23" fillId="0" borderId="25" xfId="0" applyFont="1" applyBorder="1" applyAlignment="1">
      <alignment horizontal="right"/>
    </xf>
    <xf numFmtId="0" fontId="23" fillId="0" borderId="2" xfId="0" applyFont="1" applyBorder="1" applyAlignment="1">
      <alignment horizontal="right"/>
    </xf>
    <xf numFmtId="0" fontId="51" fillId="3" borderId="12" xfId="0" applyFont="1" applyFill="1" applyBorder="1" applyAlignment="1">
      <alignment horizontal="center"/>
    </xf>
    <xf numFmtId="0" fontId="23" fillId="0" borderId="3" xfId="0" applyFont="1" applyBorder="1" applyAlignment="1">
      <alignment horizontal="center"/>
    </xf>
    <xf numFmtId="0" fontId="23" fillId="0" borderId="0" xfId="0" applyFont="1" applyBorder="1" applyAlignment="1">
      <alignment horizontal="center"/>
    </xf>
    <xf numFmtId="0" fontId="23" fillId="0" borderId="4" xfId="0" applyFont="1" applyBorder="1" applyAlignment="1">
      <alignment horizontal="center"/>
    </xf>
    <xf numFmtId="0" fontId="51" fillId="0" borderId="0" xfId="0" applyFont="1" applyAlignment="1">
      <alignment horizontal="right" vertical="center"/>
    </xf>
    <xf numFmtId="0" fontId="51" fillId="7" borderId="22" xfId="0" applyFont="1" applyFill="1" applyBorder="1" applyAlignment="1">
      <alignment horizontal="center" vertical="center"/>
    </xf>
    <xf numFmtId="0" fontId="51" fillId="7" borderId="23" xfId="0" applyFont="1" applyFill="1" applyBorder="1" applyAlignment="1">
      <alignment horizontal="center" vertical="center"/>
    </xf>
    <xf numFmtId="0" fontId="51" fillId="7" borderId="24" xfId="0" applyFont="1" applyFill="1" applyBorder="1" applyAlignment="1">
      <alignment horizontal="center" vertical="center"/>
    </xf>
    <xf numFmtId="0" fontId="51" fillId="7" borderId="0" xfId="0" applyFont="1" applyFill="1" applyBorder="1" applyAlignment="1">
      <alignment horizontal="center" vertical="center"/>
    </xf>
    <xf numFmtId="0" fontId="23" fillId="0" borderId="0" xfId="0" applyFont="1" applyAlignment="1">
      <alignment vertical="center"/>
    </xf>
    <xf numFmtId="0" fontId="23" fillId="0" borderId="3" xfId="0" applyFont="1" applyBorder="1" applyAlignment="1">
      <alignment vertical="center"/>
    </xf>
    <xf numFmtId="0" fontId="23" fillId="0" borderId="0" xfId="0" applyFont="1" applyBorder="1" applyAlignment="1">
      <alignment vertical="center"/>
    </xf>
    <xf numFmtId="0" fontId="23" fillId="0" borderId="4" xfId="0" applyFont="1" applyBorder="1" applyAlignment="1">
      <alignment vertical="center"/>
    </xf>
    <xf numFmtId="0" fontId="53" fillId="0" borderId="0" xfId="0" applyFont="1" applyAlignment="1">
      <alignment horizontal="right"/>
    </xf>
    <xf numFmtId="0" fontId="50" fillId="0" borderId="87" xfId="0" applyFont="1" applyBorder="1" applyAlignment="1">
      <alignment horizontal="center" vertical="center"/>
    </xf>
    <xf numFmtId="0" fontId="50" fillId="0" borderId="88" xfId="0" applyFont="1" applyBorder="1" applyAlignment="1">
      <alignment horizontal="center" vertical="center"/>
    </xf>
    <xf numFmtId="0" fontId="50" fillId="2" borderId="88" xfId="0" applyFont="1" applyFill="1" applyBorder="1" applyAlignment="1">
      <alignment horizontal="center" vertical="center"/>
    </xf>
    <xf numFmtId="43" fontId="23" fillId="0" borderId="88" xfId="1" applyFont="1" applyBorder="1" applyAlignment="1">
      <alignment horizontal="center" vertical="center"/>
    </xf>
    <xf numFmtId="43" fontId="23" fillId="0" borderId="4" xfId="1" applyFont="1" applyBorder="1" applyAlignment="1">
      <alignment horizontal="center" vertical="center"/>
    </xf>
    <xf numFmtId="43" fontId="23" fillId="0" borderId="85" xfId="1" applyFont="1" applyBorder="1" applyAlignment="1">
      <alignment horizontal="center" vertical="center"/>
    </xf>
    <xf numFmtId="43" fontId="23" fillId="0" borderId="0" xfId="1" applyFont="1" applyBorder="1" applyAlignment="1">
      <alignment horizontal="center" vertical="center"/>
    </xf>
    <xf numFmtId="9" fontId="23" fillId="0" borderId="0" xfId="0" applyNumberFormat="1" applyFont="1"/>
    <xf numFmtId="43" fontId="23" fillId="0" borderId="0" xfId="0" applyNumberFormat="1" applyFont="1"/>
    <xf numFmtId="43" fontId="23" fillId="0" borderId="0" xfId="1" applyFont="1"/>
    <xf numFmtId="43" fontId="52" fillId="0" borderId="0" xfId="1" applyFont="1"/>
    <xf numFmtId="9" fontId="23" fillId="0" borderId="3" xfId="0" applyNumberFormat="1" applyFont="1" applyBorder="1"/>
    <xf numFmtId="43" fontId="23" fillId="0" borderId="0" xfId="0" applyNumberFormat="1" applyFont="1" applyBorder="1"/>
    <xf numFmtId="43" fontId="23" fillId="0" borderId="4" xfId="0" applyNumberFormat="1" applyFont="1" applyBorder="1"/>
    <xf numFmtId="164" fontId="23" fillId="0" borderId="0" xfId="0" applyNumberFormat="1" applyFont="1"/>
    <xf numFmtId="0" fontId="50" fillId="0" borderId="89" xfId="0" applyFont="1" applyBorder="1" applyAlignment="1">
      <alignment horizontal="center" vertical="center"/>
    </xf>
    <xf numFmtId="0" fontId="50" fillId="0" borderId="90" xfId="0" applyFont="1" applyBorder="1" applyAlignment="1">
      <alignment horizontal="center" vertical="center"/>
    </xf>
    <xf numFmtId="0" fontId="50" fillId="2" borderId="90" xfId="0" applyFont="1" applyFill="1" applyBorder="1" applyAlignment="1">
      <alignment horizontal="center" vertical="center"/>
    </xf>
    <xf numFmtId="43" fontId="23" fillId="0" borderId="90" xfId="1" applyFont="1" applyBorder="1" applyAlignment="1">
      <alignment horizontal="center" vertical="center"/>
    </xf>
    <xf numFmtId="43" fontId="23" fillId="0" borderId="86" xfId="1" applyFont="1" applyBorder="1" applyAlignment="1">
      <alignment horizontal="center" vertical="center"/>
    </xf>
    <xf numFmtId="1" fontId="50" fillId="0" borderId="90" xfId="0" applyNumberFormat="1" applyFont="1" applyBorder="1" applyAlignment="1">
      <alignment horizontal="center" vertical="center"/>
    </xf>
    <xf numFmtId="0" fontId="50" fillId="0" borderId="91" xfId="0" applyFont="1" applyBorder="1" applyAlignment="1">
      <alignment horizontal="center" vertical="center"/>
    </xf>
    <xf numFmtId="0" fontId="50" fillId="0" borderId="92" xfId="0" applyFont="1" applyBorder="1" applyAlignment="1">
      <alignment horizontal="center" vertical="center"/>
    </xf>
    <xf numFmtId="0" fontId="50" fillId="2" borderId="92" xfId="0" applyFont="1" applyFill="1" applyBorder="1" applyAlignment="1">
      <alignment horizontal="center" vertical="center"/>
    </xf>
    <xf numFmtId="43" fontId="23" fillId="0" borderId="92" xfId="1" applyFont="1" applyBorder="1" applyAlignment="1">
      <alignment horizontal="center" vertical="center"/>
    </xf>
    <xf numFmtId="43" fontId="23" fillId="0" borderId="93" xfId="1" applyFont="1" applyBorder="1" applyAlignment="1">
      <alignment horizontal="center" vertical="center"/>
    </xf>
    <xf numFmtId="0" fontId="50" fillId="0" borderId="82" xfId="0" applyFont="1" applyBorder="1" applyAlignment="1">
      <alignment horizontal="center" vertical="center"/>
    </xf>
    <xf numFmtId="0" fontId="50" fillId="0" borderId="83" xfId="0" applyFont="1" applyBorder="1" applyAlignment="1">
      <alignment horizontal="center" vertical="center"/>
    </xf>
    <xf numFmtId="0" fontId="50" fillId="2" borderId="83" xfId="0" applyFont="1" applyFill="1" applyBorder="1" applyAlignment="1">
      <alignment horizontal="center" vertical="center"/>
    </xf>
    <xf numFmtId="43" fontId="23" fillId="0" borderId="84" xfId="1" applyFont="1" applyBorder="1" applyAlignment="1">
      <alignment horizontal="center" vertical="center"/>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50" fillId="2" borderId="18" xfId="0" applyFont="1" applyFill="1" applyBorder="1" applyAlignment="1">
      <alignment horizontal="center" vertical="center"/>
    </xf>
    <xf numFmtId="43" fontId="23" fillId="0" borderId="19" xfId="1" applyFont="1" applyBorder="1" applyAlignment="1">
      <alignment horizontal="center" vertical="center"/>
    </xf>
    <xf numFmtId="0" fontId="50" fillId="0" borderId="20" xfId="0" applyFont="1" applyBorder="1" applyAlignment="1">
      <alignment horizontal="center" vertical="center"/>
    </xf>
    <xf numFmtId="0" fontId="50" fillId="0" borderId="21" xfId="0" applyFont="1" applyBorder="1" applyAlignment="1">
      <alignment horizontal="center" vertical="center"/>
    </xf>
    <xf numFmtId="0" fontId="50" fillId="2" borderId="21" xfId="0" applyFont="1" applyFill="1" applyBorder="1" applyAlignment="1">
      <alignment horizontal="center" vertical="center"/>
    </xf>
    <xf numFmtId="43" fontId="23" fillId="0" borderId="94" xfId="1" applyFont="1" applyBorder="1" applyAlignment="1">
      <alignment horizontal="center" vertical="center"/>
    </xf>
    <xf numFmtId="0" fontId="23" fillId="0" borderId="21" xfId="0" applyFont="1" applyBorder="1" applyAlignment="1">
      <alignment horizontal="center" vertical="center"/>
    </xf>
    <xf numFmtId="0" fontId="23" fillId="0" borderId="0" xfId="0" applyFont="1" applyBorder="1"/>
    <xf numFmtId="0" fontId="23" fillId="0" borderId="3" xfId="0" applyFont="1" applyBorder="1"/>
    <xf numFmtId="0" fontId="23" fillId="0" borderId="4" xfId="0" applyFont="1" applyBorder="1"/>
    <xf numFmtId="172" fontId="51" fillId="0" borderId="0" xfId="0" applyNumberFormat="1" applyFont="1" applyAlignment="1">
      <alignment horizontal="center"/>
    </xf>
    <xf numFmtId="43" fontId="51" fillId="0" borderId="0" xfId="1" applyFont="1"/>
    <xf numFmtId="43" fontId="51" fillId="0" borderId="0" xfId="0" applyNumberFormat="1" applyFont="1"/>
    <xf numFmtId="43" fontId="51" fillId="0" borderId="0" xfId="1" applyFont="1" applyBorder="1" applyAlignment="1">
      <alignment horizontal="center" vertical="center"/>
    </xf>
    <xf numFmtId="165" fontId="51" fillId="0" borderId="0" xfId="0" applyNumberFormat="1" applyFont="1" applyBorder="1"/>
    <xf numFmtId="10" fontId="23" fillId="0" borderId="0" xfId="2" applyNumberFormat="1" applyFont="1" applyFill="1"/>
    <xf numFmtId="165" fontId="51" fillId="0" borderId="4" xfId="0" applyNumberFormat="1" applyFont="1" applyBorder="1"/>
    <xf numFmtId="10" fontId="23" fillId="0" borderId="0" xfId="2" applyNumberFormat="1" applyFont="1"/>
    <xf numFmtId="43" fontId="23" fillId="3" borderId="0" xfId="1" applyFont="1" applyFill="1" applyBorder="1"/>
    <xf numFmtId="10" fontId="23" fillId="0" borderId="0" xfId="2" applyNumberFormat="1" applyFont="1" applyFill="1" applyBorder="1"/>
    <xf numFmtId="0" fontId="23" fillId="3" borderId="3" xfId="0" applyFont="1" applyFill="1" applyBorder="1"/>
    <xf numFmtId="43" fontId="23" fillId="3" borderId="4" xfId="1" applyFont="1" applyFill="1" applyBorder="1"/>
    <xf numFmtId="0" fontId="23" fillId="0" borderId="0" xfId="0" applyFont="1" applyBorder="1" applyAlignment="1">
      <alignment horizontal="right"/>
    </xf>
    <xf numFmtId="172" fontId="23" fillId="0" borderId="0" xfId="0" applyNumberFormat="1" applyFont="1" applyBorder="1" applyAlignment="1">
      <alignment horizontal="right"/>
    </xf>
    <xf numFmtId="164" fontId="23" fillId="0" borderId="0" xfId="0" applyNumberFormat="1" applyFont="1" applyBorder="1" applyAlignment="1">
      <alignment horizontal="right"/>
    </xf>
    <xf numFmtId="43" fontId="23" fillId="0" borderId="0" xfId="0" applyNumberFormat="1" applyFont="1" applyBorder="1" applyAlignment="1">
      <alignment horizontal="right"/>
    </xf>
    <xf numFmtId="164" fontId="23" fillId="0" borderId="4" xfId="0" applyNumberFormat="1" applyFont="1" applyBorder="1" applyAlignment="1">
      <alignment horizontal="right"/>
    </xf>
    <xf numFmtId="0" fontId="23" fillId="0" borderId="9" xfId="0" applyFont="1" applyBorder="1" applyAlignment="1">
      <alignment horizontal="right"/>
    </xf>
    <xf numFmtId="172" fontId="23" fillId="0" borderId="9" xfId="0" applyNumberFormat="1" applyFont="1" applyBorder="1" applyAlignment="1">
      <alignment horizontal="right"/>
    </xf>
    <xf numFmtId="164" fontId="23" fillId="0" borderId="9" xfId="0" applyNumberFormat="1" applyFont="1" applyBorder="1" applyAlignment="1">
      <alignment horizontal="right"/>
    </xf>
    <xf numFmtId="43" fontId="23" fillId="0" borderId="9" xfId="0" applyNumberFormat="1" applyFont="1" applyBorder="1"/>
    <xf numFmtId="0" fontId="23" fillId="0" borderId="9" xfId="0" applyFont="1" applyFill="1" applyBorder="1"/>
    <xf numFmtId="0" fontId="23" fillId="0" borderId="96" xfId="0" applyFont="1" applyFill="1" applyBorder="1"/>
    <xf numFmtId="164" fontId="23" fillId="0" borderId="95" xfId="0" applyNumberFormat="1" applyFont="1" applyBorder="1" applyAlignment="1">
      <alignment horizontal="right"/>
    </xf>
    <xf numFmtId="0" fontId="23" fillId="0" borderId="9" xfId="0" applyFont="1" applyBorder="1"/>
    <xf numFmtId="17" fontId="23" fillId="0" borderId="0" xfId="0" applyNumberFormat="1" applyFont="1" applyBorder="1" applyAlignment="1">
      <alignment horizontal="right"/>
    </xf>
    <xf numFmtId="0" fontId="54" fillId="0" borderId="0" xfId="0" applyFont="1" applyBorder="1" applyAlignment="1">
      <alignment vertical="top" wrapText="1"/>
    </xf>
    <xf numFmtId="0" fontId="55" fillId="0" borderId="0" xfId="0" applyFont="1" applyBorder="1" applyAlignment="1">
      <alignment vertical="top" wrapText="1"/>
    </xf>
    <xf numFmtId="0" fontId="23" fillId="0" borderId="0" xfId="0" applyFont="1" applyFill="1" applyBorder="1"/>
    <xf numFmtId="0" fontId="23" fillId="0" borderId="0" xfId="0" applyFont="1" applyFill="1" applyAlignment="1">
      <alignment horizontal="center"/>
    </xf>
    <xf numFmtId="0" fontId="23" fillId="0" borderId="0" xfId="0" applyFont="1" applyFill="1"/>
    <xf numFmtId="0" fontId="23" fillId="0" borderId="3" xfId="0" applyFont="1" applyFill="1" applyBorder="1"/>
    <xf numFmtId="43" fontId="23" fillId="0" borderId="0" xfId="1" applyFont="1" applyFill="1" applyBorder="1"/>
    <xf numFmtId="43" fontId="23" fillId="0" borderId="4" xfId="1" applyFont="1" applyFill="1" applyBorder="1"/>
    <xf numFmtId="172" fontId="23" fillId="0" borderId="0" xfId="0" applyNumberFormat="1" applyFont="1" applyBorder="1" applyAlignment="1"/>
    <xf numFmtId="0" fontId="55" fillId="0" borderId="0" xfId="0" applyFont="1" applyAlignment="1">
      <alignment vertical="top" wrapText="1"/>
    </xf>
    <xf numFmtId="172" fontId="23" fillId="0" borderId="1" xfId="0" applyNumberFormat="1" applyFont="1" applyBorder="1" applyAlignment="1"/>
    <xf numFmtId="172" fontId="23" fillId="0" borderId="2" xfId="0" applyNumberFormat="1" applyFont="1" applyBorder="1" applyAlignment="1"/>
    <xf numFmtId="172" fontId="23" fillId="0" borderId="4" xfId="0" applyNumberFormat="1" applyFont="1" applyBorder="1" applyAlignment="1"/>
    <xf numFmtId="172" fontId="23" fillId="0" borderId="3" xfId="0" applyNumberFormat="1" applyFont="1" applyBorder="1" applyAlignment="1"/>
    <xf numFmtId="165" fontId="51" fillId="0" borderId="0" xfId="1" applyNumberFormat="1" applyFont="1" applyAlignment="1">
      <alignment vertical="top" wrapText="1"/>
    </xf>
    <xf numFmtId="43" fontId="51" fillId="0" borderId="0" xfId="1" applyFont="1" applyAlignment="1">
      <alignment vertical="top" wrapText="1"/>
    </xf>
    <xf numFmtId="165" fontId="51" fillId="0" borderId="0" xfId="1" applyNumberFormat="1" applyFont="1" applyFill="1"/>
    <xf numFmtId="165" fontId="51" fillId="8" borderId="13" xfId="1" applyNumberFormat="1" applyFont="1" applyFill="1" applyBorder="1"/>
    <xf numFmtId="10" fontId="23" fillId="8" borderId="14" xfId="2" applyNumberFormat="1" applyFont="1" applyFill="1" applyBorder="1"/>
    <xf numFmtId="10" fontId="23" fillId="8" borderId="13" xfId="2" applyNumberFormat="1" applyFont="1" applyFill="1" applyBorder="1"/>
    <xf numFmtId="165" fontId="51" fillId="0" borderId="3" xfId="1" applyNumberFormat="1" applyFont="1" applyFill="1" applyBorder="1"/>
    <xf numFmtId="165" fontId="51" fillId="0" borderId="4" xfId="1" applyNumberFormat="1" applyFont="1" applyFill="1" applyBorder="1"/>
    <xf numFmtId="165" fontId="51" fillId="0" borderId="0" xfId="1" applyNumberFormat="1" applyFont="1" applyFill="1" applyBorder="1"/>
    <xf numFmtId="171" fontId="23" fillId="0" borderId="0" xfId="2" applyNumberFormat="1" applyFont="1" applyFill="1"/>
    <xf numFmtId="165" fontId="51" fillId="0" borderId="13" xfId="1" applyNumberFormat="1" applyFont="1" applyFill="1" applyBorder="1"/>
    <xf numFmtId="10" fontId="23" fillId="0" borderId="15" xfId="2" applyNumberFormat="1" applyFont="1" applyBorder="1"/>
    <xf numFmtId="43" fontId="23" fillId="0" borderId="0" xfId="1" applyFont="1" applyAlignment="1">
      <alignment vertical="top" wrapText="1"/>
    </xf>
    <xf numFmtId="164" fontId="23" fillId="3" borderId="0" xfId="0" applyNumberFormat="1" applyFont="1" applyFill="1" applyBorder="1" applyAlignment="1">
      <alignment horizontal="right"/>
    </xf>
    <xf numFmtId="173" fontId="23" fillId="3" borderId="3" xfId="0" applyNumberFormat="1" applyFont="1" applyFill="1" applyBorder="1" applyAlignment="1">
      <alignment horizontal="right"/>
    </xf>
    <xf numFmtId="172" fontId="23" fillId="3" borderId="4" xfId="0" applyNumberFormat="1" applyFont="1" applyFill="1" applyBorder="1" applyAlignment="1">
      <alignment horizontal="right"/>
    </xf>
    <xf numFmtId="172" fontId="23" fillId="3" borderId="0" xfId="0" applyNumberFormat="1" applyFont="1" applyFill="1" applyBorder="1" applyAlignment="1">
      <alignment horizontal="right"/>
    </xf>
    <xf numFmtId="43" fontId="23" fillId="0" borderId="3" xfId="1" applyFont="1" applyFill="1" applyBorder="1"/>
    <xf numFmtId="165" fontId="23" fillId="0" borderId="4" xfId="1" applyNumberFormat="1" applyFont="1" applyFill="1" applyBorder="1"/>
    <xf numFmtId="165" fontId="23" fillId="0" borderId="0" xfId="1" applyNumberFormat="1" applyFont="1" applyFill="1" applyBorder="1"/>
    <xf numFmtId="0" fontId="55" fillId="0" borderId="0" xfId="0" applyFont="1" applyAlignment="1">
      <alignment horizontal="left" vertical="top" wrapText="1"/>
    </xf>
    <xf numFmtId="43" fontId="23" fillId="9" borderId="0" xfId="1" applyFont="1" applyFill="1" applyAlignment="1">
      <alignment vertical="top" wrapText="1"/>
    </xf>
    <xf numFmtId="164" fontId="55" fillId="0" borderId="0" xfId="0" applyNumberFormat="1" applyFont="1" applyAlignment="1">
      <alignment vertical="top" wrapText="1"/>
    </xf>
    <xf numFmtId="43" fontId="23" fillId="0" borderId="0" xfId="1" applyFont="1" applyFill="1"/>
    <xf numFmtId="43" fontId="23" fillId="0" borderId="5" xfId="1" applyFont="1" applyFill="1" applyBorder="1"/>
    <xf numFmtId="43" fontId="23" fillId="0" borderId="6" xfId="1" applyFont="1" applyFill="1" applyBorder="1"/>
    <xf numFmtId="0" fontId="23" fillId="9" borderId="0" xfId="0" applyFont="1" applyFill="1" applyAlignment="1">
      <alignment horizontal="center"/>
    </xf>
    <xf numFmtId="0" fontId="23" fillId="0" borderId="5" xfId="0" applyFont="1" applyFill="1" applyBorder="1"/>
    <xf numFmtId="43" fontId="23" fillId="0" borderId="16" xfId="1" applyFont="1" applyFill="1" applyBorder="1"/>
    <xf numFmtId="0" fontId="23" fillId="0" borderId="0" xfId="0" applyFont="1" applyAlignment="1">
      <alignment vertical="top" wrapText="1"/>
    </xf>
    <xf numFmtId="0" fontId="55" fillId="0" borderId="0" xfId="0" applyFont="1" applyAlignment="1">
      <alignment horizontal="center" vertical="top" wrapText="1"/>
    </xf>
    <xf numFmtId="2" fontId="55" fillId="0" borderId="0" xfId="0" applyNumberFormat="1" applyFont="1" applyAlignment="1">
      <alignment horizontal="right" vertical="top" wrapText="1"/>
    </xf>
    <xf numFmtId="2" fontId="55" fillId="0" borderId="0" xfId="1" applyNumberFormat="1" applyFont="1" applyAlignment="1">
      <alignment horizontal="right" vertical="top" wrapText="1"/>
    </xf>
    <xf numFmtId="0" fontId="23" fillId="9" borderId="0" xfId="0" applyFont="1" applyFill="1" applyAlignment="1">
      <alignment horizontal="right"/>
    </xf>
    <xf numFmtId="0" fontId="49" fillId="0" borderId="0" xfId="0" applyFont="1" applyAlignment="1">
      <alignment horizontal="left"/>
    </xf>
    <xf numFmtId="165" fontId="55" fillId="0" borderId="0" xfId="1" applyNumberFormat="1" applyFont="1" applyAlignment="1">
      <alignment horizontal="right" vertical="top" wrapText="1"/>
    </xf>
    <xf numFmtId="0" fontId="55" fillId="0" borderId="0" xfId="0" applyFont="1" applyAlignment="1">
      <alignment horizontal="right" vertical="top" wrapText="1"/>
    </xf>
    <xf numFmtId="165" fontId="55" fillId="0" borderId="0" xfId="1" applyNumberFormat="1" applyFont="1" applyAlignment="1">
      <alignment vertical="top" wrapText="1"/>
    </xf>
    <xf numFmtId="0" fontId="23" fillId="0" borderId="0" xfId="0" applyFont="1" applyFill="1" applyAlignment="1">
      <alignment vertical="top" wrapText="1"/>
    </xf>
    <xf numFmtId="0" fontId="55" fillId="0" borderId="0" xfId="0" applyFont="1" applyFill="1" applyAlignment="1">
      <alignment vertical="top" wrapText="1"/>
    </xf>
    <xf numFmtId="165" fontId="55" fillId="0" borderId="0" xfId="0" applyNumberFormat="1" applyFont="1" applyAlignment="1">
      <alignment vertical="top" wrapText="1"/>
    </xf>
    <xf numFmtId="165" fontId="55" fillId="0" borderId="0" xfId="1" applyNumberFormat="1" applyFont="1" applyFill="1" applyAlignment="1">
      <alignment vertical="top" wrapText="1"/>
    </xf>
    <xf numFmtId="172" fontId="55" fillId="0" borderId="0" xfId="0" applyNumberFormat="1" applyFont="1" applyFill="1" applyAlignment="1">
      <alignment vertical="top" wrapText="1"/>
    </xf>
    <xf numFmtId="172" fontId="23" fillId="0" borderId="0" xfId="0" applyNumberFormat="1" applyFont="1"/>
    <xf numFmtId="0" fontId="23" fillId="0" borderId="0" xfId="0" applyFont="1" applyFill="1" applyAlignment="1">
      <alignment horizontal="right" vertical="top"/>
    </xf>
    <xf numFmtId="0" fontId="23" fillId="0" borderId="0" xfId="0" applyFont="1" applyFill="1" applyAlignment="1">
      <alignment vertical="top"/>
    </xf>
    <xf numFmtId="174" fontId="23" fillId="0" borderId="0" xfId="0" applyNumberFormat="1" applyFont="1"/>
    <xf numFmtId="0" fontId="23" fillId="0" borderId="0" xfId="0" applyFont="1" applyFill="1" applyAlignment="1">
      <alignment horizontal="right"/>
    </xf>
    <xf numFmtId="0" fontId="56" fillId="0" borderId="0" xfId="0" applyFont="1" applyFill="1" applyAlignment="1">
      <alignment wrapText="1"/>
    </xf>
    <xf numFmtId="0" fontId="57" fillId="0" borderId="0" xfId="0" applyFont="1" applyFill="1"/>
    <xf numFmtId="0" fontId="57" fillId="0" borderId="0" xfId="0" applyFont="1" applyFill="1" applyAlignment="1">
      <alignment vertical="top"/>
    </xf>
    <xf numFmtId="0" fontId="57" fillId="0" borderId="0" xfId="0" applyFont="1" applyFill="1" applyAlignment="1">
      <alignment horizontal="center"/>
    </xf>
    <xf numFmtId="0" fontId="57" fillId="0" borderId="0" xfId="0" applyFont="1" applyFill="1" applyBorder="1"/>
    <xf numFmtId="165" fontId="23" fillId="0" borderId="0" xfId="0" applyNumberFormat="1" applyFont="1"/>
    <xf numFmtId="175" fontId="23" fillId="0" borderId="0" xfId="2" applyNumberFormat="1" applyFont="1"/>
    <xf numFmtId="10" fontId="52" fillId="0" borderId="0" xfId="2" applyNumberFormat="1" applyFont="1"/>
    <xf numFmtId="0" fontId="2" fillId="2" borderId="0" xfId="0" applyFont="1" applyFill="1" applyAlignment="1">
      <alignment horizontal="center" vertical="center"/>
    </xf>
    <xf numFmtId="0" fontId="51" fillId="0" borderId="0" xfId="0" applyFont="1" applyAlignment="1">
      <alignment horizontal="left"/>
    </xf>
    <xf numFmtId="0" fontId="23" fillId="0" borderId="0" xfId="0" applyFont="1" applyAlignment="1">
      <alignment horizontal="left"/>
    </xf>
    <xf numFmtId="0" fontId="23" fillId="0" borderId="10" xfId="0" applyFont="1" applyBorder="1" applyAlignment="1">
      <alignment horizontal="center"/>
    </xf>
    <xf numFmtId="0" fontId="51" fillId="0" borderId="0" xfId="0" applyFont="1" applyAlignment="1">
      <alignment horizontal="right"/>
    </xf>
    <xf numFmtId="0" fontId="51" fillId="3" borderId="22" xfId="0" applyFont="1" applyFill="1" applyBorder="1" applyAlignment="1">
      <alignment horizontal="center" vertical="center"/>
    </xf>
    <xf numFmtId="0" fontId="51" fillId="3" borderId="23" xfId="0" applyFont="1" applyFill="1" applyBorder="1" applyAlignment="1">
      <alignment horizontal="center" vertical="center"/>
    </xf>
    <xf numFmtId="0" fontId="51" fillId="3" borderId="24" xfId="0" applyFont="1" applyFill="1" applyBorder="1" applyAlignment="1">
      <alignment horizontal="center" vertical="center"/>
    </xf>
    <xf numFmtId="0" fontId="58" fillId="0" borderId="0" xfId="0" applyFont="1" applyAlignment="1">
      <alignment horizontal="center"/>
    </xf>
    <xf numFmtId="0" fontId="51" fillId="0" borderId="11" xfId="0" applyFont="1" applyBorder="1" applyAlignment="1">
      <alignment horizontal="center"/>
    </xf>
    <xf numFmtId="43" fontId="23" fillId="0" borderId="0" xfId="1" applyFont="1" applyAlignment="1">
      <alignment horizontal="center"/>
    </xf>
    <xf numFmtId="43" fontId="23" fillId="0" borderId="11" xfId="0" applyNumberFormat="1" applyFont="1" applyBorder="1"/>
    <xf numFmtId="165" fontId="23" fillId="0" borderId="0" xfId="1" applyNumberFormat="1" applyFont="1"/>
    <xf numFmtId="9" fontId="23" fillId="0" borderId="0" xfId="0" applyNumberFormat="1" applyFont="1" applyAlignment="1">
      <alignment horizontal="center"/>
    </xf>
    <xf numFmtId="0" fontId="59" fillId="0" borderId="0" xfId="0" applyFont="1" applyAlignment="1">
      <alignment horizontal="left"/>
    </xf>
    <xf numFmtId="43" fontId="51" fillId="3" borderId="0" xfId="0" applyNumberFormat="1" applyFont="1" applyFill="1"/>
    <xf numFmtId="165" fontId="51" fillId="3" borderId="0" xfId="0" applyNumberFormat="1" applyFont="1" applyFill="1"/>
    <xf numFmtId="165" fontId="23" fillId="0" borderId="9" xfId="1" applyNumberFormat="1" applyFont="1" applyBorder="1"/>
    <xf numFmtId="165" fontId="23" fillId="0" borderId="9" xfId="0" applyNumberFormat="1" applyFont="1" applyBorder="1"/>
    <xf numFmtId="165" fontId="23" fillId="0" borderId="1" xfId="1" applyNumberFormat="1" applyFont="1" applyBorder="1"/>
    <xf numFmtId="0" fontId="23" fillId="0" borderId="2" xfId="0" applyFont="1" applyBorder="1"/>
    <xf numFmtId="165" fontId="23" fillId="0" borderId="5" xfId="1" applyNumberFormat="1" applyFont="1" applyBorder="1"/>
    <xf numFmtId="0" fontId="23" fillId="0" borderId="6" xfId="0" applyFont="1" applyBorder="1"/>
    <xf numFmtId="43" fontId="23" fillId="3" borderId="0" xfId="0" applyNumberFormat="1" applyFont="1" applyFill="1"/>
    <xf numFmtId="0" fontId="23" fillId="0" borderId="13" xfId="0" applyFont="1" applyBorder="1"/>
    <xf numFmtId="0" fontId="23" fillId="0" borderId="14" xfId="0" applyFont="1" applyBorder="1"/>
    <xf numFmtId="43" fontId="23" fillId="3" borderId="15" xfId="0" applyNumberFormat="1" applyFont="1" applyFill="1" applyBorder="1"/>
    <xf numFmtId="0" fontId="51" fillId="0" borderId="0" xfId="0" applyFont="1" applyAlignment="1">
      <alignment horizontal="center"/>
    </xf>
    <xf numFmtId="43" fontId="33" fillId="6" borderId="98" xfId="0" applyNumberFormat="1" applyFont="1" applyFill="1" applyBorder="1" applyAlignment="1" applyProtection="1">
      <alignment vertical="center"/>
      <protection hidden="1"/>
    </xf>
    <xf numFmtId="43" fontId="33" fillId="6" borderId="100" xfId="0" applyNumberFormat="1" applyFont="1" applyFill="1" applyBorder="1" applyAlignment="1" applyProtection="1">
      <alignment vertical="center"/>
      <protection hidden="1"/>
    </xf>
    <xf numFmtId="43" fontId="33" fillId="6" borderId="101" xfId="0" applyNumberFormat="1" applyFont="1" applyFill="1" applyBorder="1" applyAlignment="1" applyProtection="1">
      <alignment vertical="center"/>
      <protection hidden="1"/>
    </xf>
    <xf numFmtId="43" fontId="33" fillId="6" borderId="99" xfId="0" applyNumberFormat="1" applyFont="1" applyFill="1" applyBorder="1" applyAlignment="1" applyProtection="1">
      <alignment vertical="center"/>
      <protection hidden="1"/>
    </xf>
    <xf numFmtId="43" fontId="44" fillId="6" borderId="98" xfId="0" applyNumberFormat="1" applyFont="1" applyFill="1" applyBorder="1" applyAlignment="1" applyProtection="1">
      <alignment vertical="center"/>
      <protection hidden="1"/>
    </xf>
    <xf numFmtId="43" fontId="44" fillId="6" borderId="99" xfId="0" applyNumberFormat="1" applyFont="1" applyFill="1" applyBorder="1" applyAlignment="1" applyProtection="1">
      <alignment vertical="center"/>
      <protection hidden="1"/>
    </xf>
    <xf numFmtId="177" fontId="0" fillId="3" borderId="7" xfId="0" applyNumberFormat="1" applyFill="1" applyBorder="1" applyAlignment="1" applyProtection="1">
      <alignment horizontal="center" vertical="center"/>
      <protection locked="0"/>
    </xf>
    <xf numFmtId="178" fontId="4" fillId="0" borderId="99" xfId="0" applyNumberFormat="1" applyFont="1" applyBorder="1" applyAlignment="1" applyProtection="1">
      <alignment horizontal="center"/>
      <protection hidden="1"/>
    </xf>
    <xf numFmtId="0" fontId="25" fillId="6" borderId="0" xfId="0" applyFont="1" applyFill="1" applyProtection="1">
      <protection hidden="1"/>
    </xf>
    <xf numFmtId="0" fontId="26" fillId="6" borderId="0" xfId="0" applyFont="1" applyFill="1" applyProtection="1">
      <protection hidden="1"/>
    </xf>
    <xf numFmtId="0" fontId="28" fillId="6" borderId="0" xfId="0" applyFont="1" applyFill="1" applyAlignment="1" applyProtection="1">
      <alignment horizontal="left"/>
      <protection hidden="1"/>
    </xf>
    <xf numFmtId="0" fontId="24" fillId="6" borderId="0" xfId="3" applyFill="1" applyAlignment="1" applyProtection="1">
      <protection hidden="1"/>
    </xf>
    <xf numFmtId="0" fontId="29" fillId="5" borderId="13" xfId="0" applyFont="1" applyFill="1" applyBorder="1" applyAlignment="1" applyProtection="1">
      <alignment horizontal="left" vertical="center" wrapText="1"/>
      <protection hidden="1"/>
    </xf>
    <xf numFmtId="0" fontId="25" fillId="6" borderId="1" xfId="0" applyFont="1" applyFill="1" applyBorder="1" applyAlignment="1" applyProtection="1">
      <alignment horizontal="left"/>
      <protection hidden="1"/>
    </xf>
    <xf numFmtId="0" fontId="9" fillId="6" borderId="0" xfId="0" applyFont="1" applyFill="1" applyProtection="1">
      <protection hidden="1"/>
    </xf>
    <xf numFmtId="0" fontId="25" fillId="6" borderId="3" xfId="0" applyFont="1" applyFill="1" applyBorder="1" applyAlignment="1" applyProtection="1">
      <alignment horizontal="left"/>
      <protection hidden="1"/>
    </xf>
    <xf numFmtId="0" fontId="25" fillId="6" borderId="5" xfId="0" applyFont="1" applyFill="1" applyBorder="1" applyAlignment="1" applyProtection="1">
      <alignment horizontal="left"/>
      <protection hidden="1"/>
    </xf>
    <xf numFmtId="0" fontId="23" fillId="6" borderId="0" xfId="0" applyFont="1" applyFill="1" applyProtection="1">
      <protection hidden="1"/>
    </xf>
    <xf numFmtId="0" fontId="31" fillId="6" borderId="0" xfId="0" applyFont="1" applyFill="1" applyAlignment="1" applyProtection="1">
      <alignment horizontal="left"/>
      <protection hidden="1"/>
    </xf>
    <xf numFmtId="9" fontId="23" fillId="6" borderId="0" xfId="2" applyFont="1" applyFill="1" applyProtection="1">
      <protection hidden="1"/>
    </xf>
    <xf numFmtId="0" fontId="32" fillId="6" borderId="0" xfId="0" applyFont="1" applyFill="1" applyProtection="1">
      <protection hidden="1"/>
    </xf>
    <xf numFmtId="0" fontId="33" fillId="6" borderId="0" xfId="0" applyFont="1" applyFill="1" applyAlignment="1" applyProtection="1">
      <alignment horizontal="left" vertical="center"/>
      <protection hidden="1"/>
    </xf>
    <xf numFmtId="43" fontId="23" fillId="6" borderId="0" xfId="1" applyFont="1" applyFill="1" applyProtection="1">
      <protection hidden="1"/>
    </xf>
    <xf numFmtId="43" fontId="23" fillId="6" borderId="0" xfId="0" applyNumberFormat="1" applyFont="1" applyFill="1" applyProtection="1">
      <protection hidden="1"/>
    </xf>
    <xf numFmtId="43" fontId="33" fillId="6" borderId="0" xfId="0" applyNumberFormat="1" applyFont="1" applyFill="1" applyAlignment="1" applyProtection="1">
      <alignment horizontal="left" vertical="center"/>
      <protection hidden="1"/>
    </xf>
    <xf numFmtId="0" fontId="32" fillId="6" borderId="0" xfId="0" applyFont="1" applyFill="1" applyAlignment="1" applyProtection="1">
      <alignment horizontal="left" vertical="center"/>
      <protection hidden="1"/>
    </xf>
    <xf numFmtId="164" fontId="0" fillId="6" borderId="0" xfId="0" applyNumberFormat="1" applyFill="1" applyProtection="1">
      <protection hidden="1"/>
    </xf>
    <xf numFmtId="0" fontId="32" fillId="5" borderId="56" xfId="0" applyFont="1" applyFill="1" applyBorder="1" applyAlignment="1" applyProtection="1">
      <alignment horizontal="center" vertical="center"/>
      <protection hidden="1"/>
    </xf>
    <xf numFmtId="0" fontId="32" fillId="5" borderId="56" xfId="0" applyFont="1" applyFill="1" applyBorder="1" applyAlignment="1" applyProtection="1">
      <alignment horizontal="center" vertical="center" wrapText="1"/>
      <protection hidden="1"/>
    </xf>
    <xf numFmtId="0" fontId="32" fillId="5" borderId="72" xfId="0" applyFont="1" applyFill="1" applyBorder="1" applyAlignment="1" applyProtection="1">
      <alignment horizontal="center" vertical="center"/>
      <protection hidden="1"/>
    </xf>
    <xf numFmtId="0" fontId="32" fillId="5" borderId="72" xfId="0" applyFont="1" applyFill="1" applyBorder="1" applyAlignment="1" applyProtection="1">
      <alignment horizontal="center" vertical="center" wrapText="1"/>
      <protection hidden="1"/>
    </xf>
    <xf numFmtId="0" fontId="32" fillId="5" borderId="57" xfId="0" applyFont="1" applyFill="1" applyBorder="1" applyAlignment="1" applyProtection="1">
      <alignment horizontal="center" vertical="center"/>
      <protection hidden="1"/>
    </xf>
    <xf numFmtId="0" fontId="33" fillId="6" borderId="100" xfId="0" applyFont="1" applyFill="1" applyBorder="1" applyAlignment="1" applyProtection="1">
      <alignment horizontal="center" vertical="center"/>
      <protection hidden="1"/>
    </xf>
    <xf numFmtId="0" fontId="23" fillId="6" borderId="0" xfId="0" applyFont="1" applyFill="1" applyAlignment="1" applyProtection="1">
      <alignment horizontal="left" vertical="center"/>
      <protection hidden="1"/>
    </xf>
    <xf numFmtId="0" fontId="33" fillId="6" borderId="99" xfId="0" applyFont="1" applyFill="1" applyBorder="1" applyAlignment="1" applyProtection="1">
      <alignment horizontal="center" vertical="center"/>
      <protection hidden="1"/>
    </xf>
    <xf numFmtId="0" fontId="33" fillId="6" borderId="71" xfId="0" applyFont="1" applyFill="1" applyBorder="1" applyAlignment="1" applyProtection="1">
      <alignment horizontal="center" vertical="center"/>
      <protection hidden="1"/>
    </xf>
    <xf numFmtId="0" fontId="33" fillId="6" borderId="69" xfId="0" applyFont="1" applyFill="1" applyBorder="1" applyAlignment="1" applyProtection="1">
      <alignment horizontal="center" vertical="center"/>
      <protection hidden="1"/>
    </xf>
    <xf numFmtId="0" fontId="25" fillId="5" borderId="13" xfId="0" applyFont="1" applyFill="1" applyBorder="1" applyAlignment="1" applyProtection="1">
      <alignment vertical="center"/>
      <protection hidden="1"/>
    </xf>
    <xf numFmtId="0" fontId="25" fillId="5" borderId="14" xfId="0" applyFont="1" applyFill="1" applyBorder="1" applyAlignment="1" applyProtection="1">
      <alignment vertical="center"/>
      <protection hidden="1"/>
    </xf>
    <xf numFmtId="169" fontId="25" fillId="5" borderId="14" xfId="0" applyNumberFormat="1" applyFont="1" applyFill="1" applyBorder="1" applyAlignment="1" applyProtection="1">
      <alignment horizontal="center" vertical="center"/>
      <protection hidden="1"/>
    </xf>
    <xf numFmtId="0" fontId="25" fillId="5" borderId="14" xfId="0" applyFont="1" applyFill="1" applyBorder="1" applyAlignment="1" applyProtection="1">
      <alignment horizontal="center" vertical="center"/>
      <protection hidden="1"/>
    </xf>
    <xf numFmtId="169" fontId="0" fillId="6" borderId="0" xfId="0" applyNumberFormat="1" applyFill="1" applyAlignment="1" applyProtection="1">
      <alignment horizontal="center"/>
      <protection hidden="1"/>
    </xf>
    <xf numFmtId="43" fontId="9" fillId="6" borderId="0" xfId="1" applyFont="1" applyFill="1" applyProtection="1">
      <protection hidden="1"/>
    </xf>
    <xf numFmtId="0" fontId="34" fillId="6" borderId="0" xfId="0" applyFont="1" applyFill="1" applyProtection="1">
      <protection hidden="1"/>
    </xf>
    <xf numFmtId="0" fontId="35" fillId="6" borderId="0" xfId="0" applyFont="1" applyFill="1" applyProtection="1">
      <protection hidden="1"/>
    </xf>
    <xf numFmtId="0" fontId="7" fillId="6" borderId="0" xfId="0" applyFont="1" applyFill="1" applyProtection="1">
      <protection hidden="1"/>
    </xf>
    <xf numFmtId="0" fontId="36" fillId="6" borderId="0" xfId="0" applyFont="1" applyFill="1" applyProtection="1">
      <protection hidden="1"/>
    </xf>
    <xf numFmtId="0" fontId="24" fillId="6" borderId="0" xfId="3" applyFill="1" applyAlignment="1" applyProtection="1">
      <protection locked="0" hidden="1"/>
    </xf>
    <xf numFmtId="168" fontId="33" fillId="6" borderId="99" xfId="0" applyNumberFormat="1" applyFont="1" applyFill="1" applyBorder="1" applyAlignment="1" applyProtection="1">
      <alignment horizontal="center" vertical="center"/>
      <protection locked="0" hidden="1"/>
    </xf>
    <xf numFmtId="168" fontId="33" fillId="6" borderId="71" xfId="0" applyNumberFormat="1" applyFont="1" applyFill="1" applyBorder="1" applyAlignment="1" applyProtection="1">
      <alignment horizontal="center" vertical="center"/>
      <protection locked="0" hidden="1"/>
    </xf>
    <xf numFmtId="0" fontId="0" fillId="6" borderId="0" xfId="0" applyFill="1" applyProtection="1">
      <protection locked="0" hidden="1"/>
    </xf>
    <xf numFmtId="168" fontId="33" fillId="6" borderId="69" xfId="0" applyNumberFormat="1" applyFont="1" applyFill="1" applyBorder="1" applyAlignment="1" applyProtection="1">
      <alignment horizontal="center" vertical="center"/>
      <protection locked="0" hidden="1"/>
    </xf>
    <xf numFmtId="43" fontId="1" fillId="6" borderId="0" xfId="1" applyFont="1" applyFill="1" applyProtection="1">
      <protection hidden="1"/>
    </xf>
    <xf numFmtId="43" fontId="33" fillId="6" borderId="0" xfId="0" applyNumberFormat="1" applyFont="1" applyFill="1" applyAlignment="1" applyProtection="1">
      <alignment horizontal="left" vertical="center" indent="1"/>
      <protection hidden="1"/>
    </xf>
    <xf numFmtId="43" fontId="2" fillId="6" borderId="0" xfId="0" applyNumberFormat="1" applyFont="1" applyFill="1" applyBorder="1" applyAlignment="1" applyProtection="1">
      <alignment vertical="center"/>
      <protection hidden="1"/>
    </xf>
    <xf numFmtId="178" fontId="33" fillId="6" borderId="60" xfId="0" applyNumberFormat="1" applyFont="1" applyFill="1" applyBorder="1" applyAlignment="1" applyProtection="1">
      <alignment horizontal="center" vertical="center"/>
      <protection hidden="1"/>
    </xf>
    <xf numFmtId="0" fontId="33" fillId="6" borderId="60" xfId="0" applyFont="1" applyFill="1" applyBorder="1" applyAlignment="1" applyProtection="1">
      <alignment horizontal="center" vertical="center"/>
      <protection hidden="1"/>
    </xf>
    <xf numFmtId="178" fontId="33" fillId="6" borderId="71" xfId="0" applyNumberFormat="1" applyFont="1" applyFill="1" applyBorder="1" applyAlignment="1" applyProtection="1">
      <alignment horizontal="center" vertical="center"/>
      <protection hidden="1"/>
    </xf>
    <xf numFmtId="0" fontId="33" fillId="6" borderId="64" xfId="0" applyFont="1" applyFill="1" applyBorder="1" applyAlignment="1" applyProtection="1">
      <alignment horizontal="center" vertical="center"/>
      <protection hidden="1"/>
    </xf>
    <xf numFmtId="9" fontId="23" fillId="6" borderId="0" xfId="0" applyNumberFormat="1" applyFont="1" applyFill="1" applyAlignment="1" applyProtection="1">
      <alignment horizontal="left" vertical="center"/>
      <protection hidden="1"/>
    </xf>
    <xf numFmtId="43" fontId="9" fillId="6" borderId="0" xfId="1" applyFont="1" applyFill="1" applyBorder="1" applyProtection="1">
      <protection hidden="1"/>
    </xf>
    <xf numFmtId="43" fontId="9" fillId="6" borderId="0" xfId="0" applyNumberFormat="1" applyFont="1" applyFill="1" applyProtection="1">
      <protection hidden="1"/>
    </xf>
    <xf numFmtId="0" fontId="37" fillId="6" borderId="0" xfId="0" applyFont="1" applyFill="1" applyProtection="1">
      <protection hidden="1"/>
    </xf>
    <xf numFmtId="0" fontId="33" fillId="6" borderId="0" xfId="0" applyFont="1" applyFill="1" applyAlignment="1" applyProtection="1">
      <alignment horizontal="left" vertical="center" indent="1"/>
      <protection hidden="1"/>
    </xf>
    <xf numFmtId="43" fontId="0" fillId="6" borderId="0" xfId="0" applyNumberFormat="1" applyFill="1" applyProtection="1">
      <protection hidden="1"/>
    </xf>
    <xf numFmtId="9" fontId="0" fillId="2" borderId="7" xfId="2" applyFont="1" applyFill="1" applyBorder="1" applyAlignment="1" applyProtection="1">
      <alignment horizontal="center" vertical="center"/>
      <protection locked="0" hidden="1"/>
    </xf>
    <xf numFmtId="39" fontId="25" fillId="6" borderId="0" xfId="1" applyNumberFormat="1" applyFont="1" applyFill="1" applyAlignment="1" applyProtection="1">
      <alignment horizontal="left" vertical="center"/>
      <protection hidden="1"/>
    </xf>
    <xf numFmtId="39" fontId="25" fillId="6" borderId="4" xfId="1" applyNumberFormat="1" applyFont="1" applyFill="1" applyBorder="1" applyAlignment="1" applyProtection="1">
      <alignment horizontal="left" vertical="center"/>
      <protection hidden="1"/>
    </xf>
    <xf numFmtId="176" fontId="0" fillId="6" borderId="0" xfId="0" applyNumberFormat="1" applyFill="1" applyProtection="1">
      <protection hidden="1"/>
    </xf>
    <xf numFmtId="0" fontId="44" fillId="6" borderId="60" xfId="0" applyFont="1" applyFill="1" applyBorder="1" applyAlignment="1" applyProtection="1">
      <alignment horizontal="center" vertical="center"/>
      <protection hidden="1"/>
    </xf>
    <xf numFmtId="0" fontId="44" fillId="6" borderId="99" xfId="0" applyFont="1" applyFill="1" applyBorder="1" applyAlignment="1" applyProtection="1">
      <alignment horizontal="center" vertical="center"/>
      <protection hidden="1"/>
    </xf>
    <xf numFmtId="0" fontId="44" fillId="6" borderId="71" xfId="0" applyFont="1" applyFill="1" applyBorder="1" applyAlignment="1" applyProtection="1">
      <alignment horizontal="center" vertical="center"/>
      <protection hidden="1"/>
    </xf>
    <xf numFmtId="0" fontId="44" fillId="6" borderId="69" xfId="0" applyFont="1" applyFill="1" applyBorder="1" applyAlignment="1" applyProtection="1">
      <alignment horizontal="center" vertical="center"/>
      <protection hidden="1"/>
    </xf>
    <xf numFmtId="168" fontId="33" fillId="6" borderId="71" xfId="0" applyNumberFormat="1" applyFont="1" applyFill="1" applyBorder="1" applyAlignment="1" applyProtection="1">
      <alignment horizontal="center" vertical="center"/>
      <protection hidden="1"/>
    </xf>
    <xf numFmtId="168" fontId="33" fillId="6" borderId="60" xfId="0" applyNumberFormat="1" applyFont="1" applyFill="1" applyBorder="1" applyAlignment="1" applyProtection="1">
      <alignment horizontal="center" vertical="center"/>
      <protection locked="0" hidden="1"/>
    </xf>
    <xf numFmtId="168" fontId="44" fillId="6" borderId="60" xfId="0" applyNumberFormat="1" applyFont="1" applyFill="1" applyBorder="1" applyAlignment="1" applyProtection="1">
      <alignment horizontal="center" vertical="center"/>
      <protection locked="0" hidden="1"/>
    </xf>
    <xf numFmtId="168" fontId="44" fillId="6" borderId="99" xfId="0" applyNumberFormat="1" applyFont="1" applyFill="1" applyBorder="1" applyAlignment="1" applyProtection="1">
      <alignment horizontal="center" vertical="center"/>
      <protection locked="0" hidden="1"/>
    </xf>
    <xf numFmtId="168" fontId="44" fillId="6" borderId="71" xfId="0" applyNumberFormat="1" applyFont="1" applyFill="1" applyBorder="1" applyAlignment="1" applyProtection="1">
      <alignment horizontal="center" vertical="center"/>
      <protection locked="0" hidden="1"/>
    </xf>
    <xf numFmtId="0" fontId="30" fillId="6" borderId="0" xfId="0" applyFont="1" applyFill="1" applyAlignment="1" applyProtection="1">
      <alignment horizontal="left" vertical="center"/>
      <protection hidden="1"/>
    </xf>
    <xf numFmtId="9" fontId="30" fillId="6" borderId="0" xfId="2" applyFont="1" applyFill="1" applyAlignment="1" applyProtection="1">
      <alignment horizontal="left" vertical="center"/>
      <protection hidden="1"/>
    </xf>
    <xf numFmtId="43" fontId="30" fillId="6" borderId="0" xfId="0" applyNumberFormat="1" applyFont="1" applyFill="1" applyAlignment="1" applyProtection="1">
      <alignment horizontal="left" vertical="center"/>
      <protection hidden="1"/>
    </xf>
    <xf numFmtId="0" fontId="25" fillId="6" borderId="0" xfId="0" applyFont="1" applyFill="1" applyAlignment="1" applyProtection="1">
      <alignment horizontal="left" vertical="center"/>
      <protection hidden="1"/>
    </xf>
    <xf numFmtId="0" fontId="23" fillId="6" borderId="0" xfId="0" applyFont="1" applyFill="1" applyAlignment="1" applyProtection="1">
      <alignment vertical="center"/>
      <protection hidden="1"/>
    </xf>
    <xf numFmtId="168" fontId="33" fillId="6" borderId="99" xfId="0" applyNumberFormat="1" applyFont="1" applyFill="1" applyBorder="1" applyAlignment="1" applyProtection="1">
      <alignment horizontal="center" vertical="center"/>
      <protection hidden="1"/>
    </xf>
    <xf numFmtId="168" fontId="33" fillId="6" borderId="100" xfId="0" applyNumberFormat="1" applyFont="1" applyFill="1" applyBorder="1" applyAlignment="1" applyProtection="1">
      <alignment horizontal="center" vertical="center"/>
      <protection hidden="1"/>
    </xf>
    <xf numFmtId="0" fontId="9" fillId="0" borderId="13" xfId="0" applyFont="1" applyBorder="1" applyAlignment="1">
      <alignment horizontal="center"/>
    </xf>
    <xf numFmtId="0" fontId="9" fillId="0" borderId="15" xfId="0" applyFont="1" applyBorder="1" applyAlignment="1">
      <alignment horizontal="center"/>
    </xf>
    <xf numFmtId="0" fontId="51" fillId="0" borderId="0" xfId="0" applyFont="1" applyAlignment="1">
      <alignment horizontal="center"/>
    </xf>
    <xf numFmtId="0" fontId="52" fillId="0" borderId="0" xfId="0" applyFont="1" applyAlignment="1">
      <alignment horizontal="center"/>
    </xf>
    <xf numFmtId="166" fontId="23" fillId="10" borderId="97" xfId="0" applyNumberFormat="1" applyFont="1" applyFill="1" applyBorder="1" applyAlignment="1" applyProtection="1">
      <alignment horizontal="left" vertical="center"/>
      <protection hidden="1"/>
    </xf>
    <xf numFmtId="166" fontId="23" fillId="10" borderId="0" xfId="0" applyNumberFormat="1" applyFont="1" applyFill="1" applyBorder="1" applyAlignment="1" applyProtection="1">
      <alignment horizontal="left" vertical="center"/>
      <protection hidden="1"/>
    </xf>
    <xf numFmtId="0" fontId="14" fillId="5" borderId="0" xfId="0" applyFont="1" applyFill="1" applyBorder="1" applyAlignment="1">
      <alignment horizontal="center" vertical="center"/>
    </xf>
    <xf numFmtId="0" fontId="33" fillId="6" borderId="67" xfId="0" applyFont="1" applyFill="1" applyBorder="1" applyAlignment="1" applyProtection="1">
      <alignment horizontal="center" vertical="center"/>
      <protection hidden="1"/>
    </xf>
    <xf numFmtId="0" fontId="33" fillId="6" borderId="68" xfId="0" applyFont="1" applyFill="1" applyBorder="1" applyAlignment="1" applyProtection="1">
      <alignment horizontal="center" vertical="center"/>
      <protection hidden="1"/>
    </xf>
    <xf numFmtId="0" fontId="0" fillId="6" borderId="0" xfId="0" applyFill="1" applyAlignment="1" applyProtection="1">
      <alignment horizontal="center"/>
      <protection hidden="1"/>
    </xf>
    <xf numFmtId="0" fontId="27" fillId="6" borderId="0" xfId="0" applyFont="1" applyFill="1" applyAlignment="1" applyProtection="1">
      <alignment horizontal="right" vertical="center"/>
      <protection hidden="1"/>
    </xf>
    <xf numFmtId="0" fontId="29" fillId="5" borderId="25" xfId="0" applyFont="1" applyFill="1" applyBorder="1" applyAlignment="1" applyProtection="1">
      <alignment horizontal="left" vertical="center" wrapText="1"/>
      <protection hidden="1"/>
    </xf>
    <xf numFmtId="0" fontId="29" fillId="5" borderId="2" xfId="0" applyFont="1" applyFill="1" applyBorder="1" applyAlignment="1" applyProtection="1">
      <alignment horizontal="left" vertical="center" wrapText="1"/>
      <protection hidden="1"/>
    </xf>
    <xf numFmtId="0" fontId="25" fillId="6" borderId="25" xfId="0" applyFont="1" applyFill="1" applyBorder="1" applyAlignment="1" applyProtection="1">
      <alignment horizontal="left"/>
      <protection hidden="1"/>
    </xf>
    <xf numFmtId="0" fontId="25" fillId="6" borderId="2" xfId="0" applyFont="1" applyFill="1" applyBorder="1" applyAlignment="1" applyProtection="1">
      <alignment horizontal="left"/>
      <protection hidden="1"/>
    </xf>
    <xf numFmtId="167" fontId="0" fillId="6" borderId="0" xfId="0" applyNumberFormat="1" applyFill="1" applyAlignment="1" applyProtection="1">
      <alignment horizontal="left" vertical="center"/>
      <protection hidden="1"/>
    </xf>
    <xf numFmtId="167" fontId="0" fillId="6" borderId="4" xfId="0" applyNumberFormat="1" applyFill="1" applyBorder="1" applyAlignment="1" applyProtection="1">
      <alignment horizontal="left" vertical="center"/>
      <protection hidden="1"/>
    </xf>
    <xf numFmtId="39" fontId="30" fillId="6" borderId="0" xfId="1" applyNumberFormat="1" applyFont="1" applyFill="1" applyAlignment="1" applyProtection="1">
      <alignment horizontal="left" vertical="center"/>
      <protection hidden="1"/>
    </xf>
    <xf numFmtId="39" fontId="30" fillId="6" borderId="4" xfId="1" applyNumberFormat="1" applyFont="1" applyFill="1" applyBorder="1" applyAlignment="1" applyProtection="1">
      <alignment horizontal="left" vertical="center"/>
      <protection hidden="1"/>
    </xf>
    <xf numFmtId="39" fontId="25" fillId="6" borderId="0" xfId="1" applyNumberFormat="1" applyFont="1" applyFill="1" applyAlignment="1" applyProtection="1">
      <alignment horizontal="left" vertical="center"/>
      <protection hidden="1"/>
    </xf>
    <xf numFmtId="39" fontId="25" fillId="6" borderId="4" xfId="1" applyNumberFormat="1" applyFont="1" applyFill="1" applyBorder="1" applyAlignment="1" applyProtection="1">
      <alignment horizontal="left" vertical="center"/>
      <protection hidden="1"/>
    </xf>
    <xf numFmtId="39" fontId="40" fillId="6" borderId="16" xfId="1" applyNumberFormat="1" applyFont="1" applyFill="1" applyBorder="1" applyAlignment="1" applyProtection="1">
      <alignment horizontal="left" vertical="center"/>
      <protection hidden="1"/>
    </xf>
    <xf numFmtId="39" fontId="41" fillId="6" borderId="6" xfId="1" applyNumberFormat="1" applyFont="1" applyFill="1" applyBorder="1" applyAlignment="1" applyProtection="1">
      <alignment horizontal="left" vertical="center"/>
      <protection hidden="1"/>
    </xf>
    <xf numFmtId="0" fontId="32" fillId="5" borderId="13" xfId="0" applyFont="1" applyFill="1" applyBorder="1" applyAlignment="1" applyProtection="1">
      <alignment horizontal="center" vertical="center"/>
      <protection hidden="1"/>
    </xf>
    <xf numFmtId="0" fontId="32" fillId="5" borderId="55" xfId="0" applyFont="1" applyFill="1" applyBorder="1" applyAlignment="1" applyProtection="1">
      <alignment horizontal="center" vertical="center"/>
      <protection hidden="1"/>
    </xf>
    <xf numFmtId="0" fontId="33" fillId="6" borderId="58" xfId="0" applyFont="1" applyFill="1" applyBorder="1" applyAlignment="1" applyProtection="1">
      <alignment horizontal="center" vertical="center"/>
      <protection hidden="1"/>
    </xf>
    <xf numFmtId="0" fontId="33" fillId="6" borderId="59" xfId="0" applyFont="1" applyFill="1" applyBorder="1" applyAlignment="1" applyProtection="1">
      <alignment horizontal="center" vertical="center"/>
      <protection hidden="1"/>
    </xf>
    <xf numFmtId="0" fontId="4" fillId="6" borderId="0" xfId="0" applyFont="1" applyFill="1" applyAlignment="1" applyProtection="1">
      <alignment horizontal="left" vertical="top" wrapText="1"/>
      <protection hidden="1"/>
    </xf>
    <xf numFmtId="0" fontId="36" fillId="6" borderId="65" xfId="0" applyFont="1" applyFill="1" applyBorder="1" applyAlignment="1" applyProtection="1">
      <alignment horizontal="center"/>
      <protection hidden="1"/>
    </xf>
    <xf numFmtId="0" fontId="33" fillId="6" borderId="62" xfId="0" applyFont="1" applyFill="1" applyBorder="1" applyAlignment="1" applyProtection="1">
      <alignment horizontal="center" vertical="center"/>
      <protection hidden="1"/>
    </xf>
    <xf numFmtId="0" fontId="33" fillId="6" borderId="63" xfId="0" applyFont="1" applyFill="1" applyBorder="1" applyAlignment="1" applyProtection="1">
      <alignment horizontal="center" vertical="center"/>
      <protection hidden="1"/>
    </xf>
    <xf numFmtId="39" fontId="38" fillId="6" borderId="16" xfId="1" applyNumberFormat="1" applyFont="1" applyFill="1" applyBorder="1" applyAlignment="1" applyProtection="1">
      <alignment horizontal="left" vertical="center"/>
      <protection hidden="1"/>
    </xf>
    <xf numFmtId="39" fontId="25" fillId="6" borderId="6" xfId="1" applyNumberFormat="1" applyFont="1" applyFill="1" applyBorder="1" applyAlignment="1" applyProtection="1">
      <alignment horizontal="left" vertical="center"/>
      <protection hidden="1"/>
    </xf>
    <xf numFmtId="0" fontId="4" fillId="6" borderId="0" xfId="0" applyFont="1" applyFill="1" applyAlignment="1" applyProtection="1">
      <alignment horizontal="left" vertical="top"/>
      <protection hidden="1"/>
    </xf>
    <xf numFmtId="0" fontId="33" fillId="6" borderId="79" xfId="0" applyFont="1" applyFill="1" applyBorder="1" applyAlignment="1" applyProtection="1">
      <alignment horizontal="center" vertical="center"/>
      <protection hidden="1"/>
    </xf>
    <xf numFmtId="0" fontId="33" fillId="6" borderId="80" xfId="0" applyFont="1" applyFill="1" applyBorder="1" applyAlignment="1" applyProtection="1">
      <alignment horizontal="center" vertical="center"/>
      <protection hidden="1"/>
    </xf>
    <xf numFmtId="0" fontId="0" fillId="6" borderId="0" xfId="0" applyFill="1" applyAlignment="1" applyProtection="1">
      <alignment horizontal="left" vertical="top" wrapText="1"/>
      <protection hidden="1"/>
    </xf>
    <xf numFmtId="0" fontId="0" fillId="6" borderId="0" xfId="0" applyFill="1" applyAlignment="1" applyProtection="1">
      <alignment horizontal="left" vertical="top"/>
      <protection hidden="1"/>
    </xf>
    <xf numFmtId="0" fontId="44" fillId="6" borderId="79" xfId="0" applyFont="1" applyFill="1" applyBorder="1" applyAlignment="1" applyProtection="1">
      <alignment horizontal="center" vertical="center"/>
      <protection hidden="1"/>
    </xf>
    <xf numFmtId="0" fontId="44" fillId="6" borderId="80" xfId="0" applyFont="1" applyFill="1" applyBorder="1" applyAlignment="1" applyProtection="1">
      <alignment horizontal="center" vertical="center"/>
      <protection hidden="1"/>
    </xf>
    <xf numFmtId="0" fontId="44" fillId="6" borderId="58" xfId="0" applyFont="1" applyFill="1" applyBorder="1" applyAlignment="1" applyProtection="1">
      <alignment horizontal="center" vertical="center"/>
      <protection hidden="1"/>
    </xf>
    <xf numFmtId="0" fontId="44" fillId="6" borderId="59" xfId="0" applyFont="1" applyFill="1" applyBorder="1" applyAlignment="1" applyProtection="1">
      <alignment horizontal="center" vertical="center"/>
      <protection hidden="1"/>
    </xf>
  </cellXfs>
  <cellStyles count="36">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externalLink" Target="externalLinks/externalLink22.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externalLink" Target="externalLinks/externalLink25.xml"/><Relationship Id="rId47" Type="http://schemas.openxmlformats.org/officeDocument/2006/relationships/externalLink" Target="externalLinks/externalLink30.xml"/><Relationship Id="rId50" Type="http://schemas.openxmlformats.org/officeDocument/2006/relationships/externalLink" Target="externalLinks/externalLink33.xml"/><Relationship Id="rId55" Type="http://schemas.openxmlformats.org/officeDocument/2006/relationships/externalLink" Target="externalLinks/externalLink38.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2.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externalLink" Target="externalLinks/externalLink23.xml"/><Relationship Id="rId45" Type="http://schemas.openxmlformats.org/officeDocument/2006/relationships/externalLink" Target="externalLinks/externalLink28.xml"/><Relationship Id="rId53" Type="http://schemas.openxmlformats.org/officeDocument/2006/relationships/externalLink" Target="externalLinks/externalLink36.xml"/><Relationship Id="rId58" Type="http://schemas.openxmlformats.org/officeDocument/2006/relationships/externalLink" Target="externalLinks/externalLink41.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externalLink" Target="externalLinks/externalLink2.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externalLink" Target="externalLinks/externalLink26.xml"/><Relationship Id="rId48" Type="http://schemas.openxmlformats.org/officeDocument/2006/relationships/externalLink" Target="externalLinks/externalLink31.xml"/><Relationship Id="rId56" Type="http://schemas.openxmlformats.org/officeDocument/2006/relationships/externalLink" Target="externalLinks/externalLink39.xml"/><Relationship Id="rId8" Type="http://schemas.openxmlformats.org/officeDocument/2006/relationships/worksheet" Target="worksheets/sheet8.xml"/><Relationship Id="rId51" Type="http://schemas.openxmlformats.org/officeDocument/2006/relationships/externalLink" Target="externalLinks/externalLink3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46" Type="http://schemas.openxmlformats.org/officeDocument/2006/relationships/externalLink" Target="externalLinks/externalLink29.xml"/><Relationship Id="rId59" Type="http://schemas.openxmlformats.org/officeDocument/2006/relationships/externalLink" Target="externalLinks/externalLink42.xml"/><Relationship Id="rId20" Type="http://schemas.openxmlformats.org/officeDocument/2006/relationships/externalLink" Target="externalLinks/externalLink3.xml"/><Relationship Id="rId41" Type="http://schemas.openxmlformats.org/officeDocument/2006/relationships/externalLink" Target="externalLinks/externalLink24.xml"/><Relationship Id="rId54" Type="http://schemas.openxmlformats.org/officeDocument/2006/relationships/externalLink" Target="externalLinks/externalLink37.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49" Type="http://schemas.openxmlformats.org/officeDocument/2006/relationships/externalLink" Target="externalLinks/externalLink32.xml"/><Relationship Id="rId57" Type="http://schemas.openxmlformats.org/officeDocument/2006/relationships/externalLink" Target="externalLinks/externalLink40.xml"/><Relationship Id="rId10" Type="http://schemas.openxmlformats.org/officeDocument/2006/relationships/worksheet" Target="worksheets/sheet10.xml"/><Relationship Id="rId31" Type="http://schemas.openxmlformats.org/officeDocument/2006/relationships/externalLink" Target="externalLinks/externalLink14.xml"/><Relationship Id="rId44" Type="http://schemas.openxmlformats.org/officeDocument/2006/relationships/externalLink" Target="externalLinks/externalLink27.xml"/><Relationship Id="rId52" Type="http://schemas.openxmlformats.org/officeDocument/2006/relationships/externalLink" Target="externalLinks/externalLink35.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11250" y="74083"/>
          <a:ext cx="0" cy="7874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9525"/>
          <a:ext cx="0" cy="7874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979170</xdr:colOff>
      <xdr:row>0</xdr:row>
      <xdr:rowOff>17145</xdr:rowOff>
    </xdr:from>
    <xdr:to>
      <xdr:col>1</xdr:col>
      <xdr:colOff>979170</xdr:colOff>
      <xdr:row>4</xdr:row>
      <xdr:rowOff>93345</xdr:rowOff>
    </xdr:to>
    <xdr:pic>
      <xdr:nvPicPr>
        <xdr:cNvPr id="3" name="Picture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3470" y="17145"/>
          <a:ext cx="0" cy="8077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11250" y="74083"/>
          <a:ext cx="0" cy="7874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9525"/>
          <a:ext cx="0" cy="7874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Meranti/2SER090710-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Lpc-fileserver/Budget%202009/2009%20Budget/5%20Year%20Financial%20Model/No%20IPO/Landco_revised%205%20years_without%20IP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E/WINDOWS/TEMP/notesFFF692/AWS/Engagements/SM%20Prime%20Holdings,Inc/SMP334-CY05_December%2031,%202005_Audit/Documents/SMPHIL_CONSO_DEC%2005_SGV%20Procedur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AuditFile/KLAudit/Integrated%20Brickworks/IBSB-AWP2002(baru).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lpc-fileserver/Budget%202009%20Template/Leisure%20Comm%201/2009%20Opex%20Budget%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10.57.2.12/SharedDocs/AWS/Engagements/SM%20Prime%20Holdings,Inc/SMP334-CY05_December%2031,%202005_Audit/Documents/SMPHI_leadsked_12.31.04_consolidated_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E/client-latest/Ingress/Statutory%20audit-FYE%202003/Magmapeak/MagmaPeak-ALLAWPs-20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WINDOWS/TEMP/notesFFF692/AWS/Engagements/SM%20Prime%20Holdings,Inc/SMP334-CY05_December%2031,%202005_Audit/Documents/SMPHI_leadsked_12.31.04_consolidated_fin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Lpc-fileserver/Budget%202009/Investor%20Relations/First%20Metro%20Investment%20Corp/Scenarios/Scenario%201%20No%20IPO%20@%20P2B%20Equity%20with%20no%20interest/excel%20support%20files_investors%20brief_6Ma72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Elizabeth%20Carascoso/Desktop/KT%20Bartolome/fr%20Project%20Director/fr%20DEM/Woodridge%20Place%20Ph2_Initial%20runs%20(Linden%20&amp;%20Mahogany)%20adjusted%202010091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ATA/Audit_WP/Berjaya%20Soutex/awpsoutex02/WINDOWS/TEMP/AUDIT/1998/Exc036/Mmc_pl/MMC-P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dc_sap07/nit-nit/Program%20Files/Acctg/Aum/greenbelt/fs/gb-fs%2001'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lpc-fileserver/Budget%202008/2007%20BUDGET/2007%20Budget%20Templates/2007%20CAPEX%20BUDGET%20TEMPLAT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H/Data/Serendra/Sales/Inventory.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Mdc_sap07/nit-nit/reports/GAE8'97.WK1"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0.57.4.32/Shared%20Folder/Users/Elizabeth%20Carascoso/Desktop/KT%20Bartolome/fr%20Project%20Director/fr%20DEM/Woodridge%20Place%20Ph2_Initial%20runs%20(Linden%20&amp;%20Mahogany)%20adjusted%202010091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Mdc_sap07/nit-nit/ACCTG/FS/fs2001/FS08'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Lpc-fileserver/Budget%202009/DOCUME~1/RNREGA~1/LOCALS~1/Temp/notesE1EF34/Budget%20Templates%20&amp;%20Guidelines/2008_Responsibility%20Centers_V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filesvr/Budget%202008/DOCUME~1/AEHERN~1/LOCALS~1/Temp/notesE49C89/~672124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E/weihweihong/WHH/Scientex/07%20-%20Texland%20Group/Audit%20of%20holding%20company/Texland%20Sdn%20Bhd/Jenny/Yuasa%20Mechatronics/BAfile/AUD2/Nit344/Ye99/AWPs/Nit344_AWP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G/StandardDoc/Nst334_Awp1_without%20adj.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Lpc-fileserver/Budget%202009/DOCUME~1/RNREGA~1/LOCALS~1/Temp/notesE1EF34/2008%20Loans%20&amp;%20Notes%20Payable%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yn/GLORIETTA%205/LYNLYN-E1-2005/GAE8'97.W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Lpc-fileserver/budget%202012/DOCUME~1/RNREGA~1/LOCALS~1/Temp/notesE1EF34/2008%20Loans%20&amp;%20Notes%20Payable%20Templat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lpc-fileserver/Budget%202009/raki/templates/1Assumption%20Template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E/WINNT/TEMP/DATABASE/Ahmad%20Nazri%20Mohamad/Clients/AIH%20(Malaysia)%20Sdn%20Bhd/Update/Cybercode%20(M)%20Sdn%20Bhd/Cashflow%20-%20working.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Mdc_sap07/nit-nit/ACCTG/FS/fs2001/FS-JAN20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lZDELACRUZ/Budget%202008_Due%20Diligence%20Files/2008%20Consolidation/Balance%20Sheets/Balance%20Sheet_POC/2008%20Balance%20Sheet_LPC_POC.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filesvr-03/HOMETOWN%20COMMUNITIES/Documents%20and%20Settings/acer/Local%20Settings/Temp/2007%20BUDGET/2007%20Budget%20Templates/Sales%20Template.New%20Project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lpc-fileserver/Budget%202008/2008%20Consolidation_v1/P&amp;L%20and%20Cashflows%20-%20POC/2008%20Financial%20Reports%20Templat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nespro/gad_work/Data/Dec98/NSMALJU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lpc-fileserver/Budget%202008/Budget%20Templates%20&amp;%20Guidelines/Guidelines/2008_Responsibility%20Centers_V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F/Data/Sime%20Darby/Financials/2007.08.08/SZ%20Conso%208.8.07%20JD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SSAL~1/AppData/Local/Temp/notesFCBCEE/17%20August%20201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D/Users/heraclene.frio/Documents/Personal/OLD%20FILES%20(Alveo)/Vesta%20Pricing%20(new).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E/weihweihong/WHH/Scientex/07%20-%20Texland%20Group/Audit%20of%20holding%20company/Texland%20Sdn%20Bhd/Jenny/Yuasa%20Mechatronics/WINDOWS/Desktop/DATA/dsfurniture/dsawp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lpc-fileserver/Budget%202009/Budget%20Templates%20&amp;%20Guidelines/Templates/revenue%20templates/North%20Ridge%20and%20Peak%20with%20CTS%20Financing/1Assumption%20TemplateNR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WINDOWS/TEMP/notesFFF692/AWS/Engagements/SM%20Prime%20Holdings,Inc/SMP334-CY05_December%2031,%202005_Audit/Documents/Conso%20template%20for%20smph_FINAL_DEC%2005_SGV%20procedur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10.57.2.12/SharedDocs/AWS/Engagements/SM%20Prime%20Holdings,Inc/SMP334-CY05_December%2031,%202005_Audit/Documents/Conso%20template%20for%20smph_FINAL_DEC%2005_SGV%20procedur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Amanda/NNR/NNR30.6.01/Client/Ultradata%20(Malaysia)%20Sdn%20Bhd/UltraDat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Data/4%20NUVALI%20VESTA/VP/Concept%20Approval%20FS/Vesta%2020090706%20Cons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10.57.2.12/SharedDocs/AWS/Engagements/SM%20Prime%20Holdings,Inc/SMP334-CY05_December%2031,%202005_Audit/Documents/SMPHIL_CONSO_DEC%2005_SGV%20Procedur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PR"/>
      <sheetName val="GL"/>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shflows (Monthly)"/>
      <sheetName val="cashflows (2008Monthly) (2)"/>
      <sheetName val="cashflows (Annual) (2)"/>
      <sheetName val="orig monthly collection"/>
      <sheetName val="cashflows (Annual) (4)"/>
      <sheetName val="cashflows (Annual) (3)"/>
      <sheetName val="cashflows (Annual) (4)-wo t3&amp;up"/>
      <sheetName val="cashflows (Annual)"/>
      <sheetName val="p&amp;l-poc (Monthly)"/>
      <sheetName val="poc pnl-july board"/>
      <sheetName val="p&amp;l-fa (Monthly)"/>
      <sheetName val="p&amp;l-poc (Annual)"/>
      <sheetName val="p&amp;l - fa (Annual)"/>
      <sheetName val="Hotel P&amp;L "/>
      <sheetName val="Commercial P&amp;L "/>
      <sheetName val="BV-POC-ipo"/>
      <sheetName val="BV-FA-ipo"/>
      <sheetName val="BV-POC"/>
      <sheetName val="BV-FA"/>
      <sheetName val="BS Summary (POC)"/>
      <sheetName val="BS Summary (FA)"/>
      <sheetName val="BS Details (POC)"/>
      <sheetName val="BS Details (FA)"/>
      <sheetName val="DE analysis-POC"/>
      <sheetName val="DE analysis-FA"/>
      <sheetName val="POC-Rev.Cos.Devt Cost-revised"/>
      <sheetName val="POC-Rev.Cos.Devt Cost-base"/>
      <sheetName val="FA-Rev.Cos.Devt Cost-revised"/>
      <sheetName val="FA-Rev.Cos.Devt Cost.Rate-base"/>
      <sheetName val="rev.cos.rate-POC"/>
      <sheetName val="cos-poc"/>
      <sheetName val="rev-fa"/>
      <sheetName val="cos-fa"/>
      <sheetName val="collections- existing"/>
      <sheetName val="collections- new"/>
      <sheetName val="sales"/>
      <sheetName val="collections- others"/>
      <sheetName val="salesorig"/>
      <sheetName val="sales (2)"/>
      <sheetName val="land development"/>
      <sheetName val="land development (2)"/>
      <sheetName val="land development (3)"/>
      <sheetName val="loans"/>
      <sheetName val="cap interest"/>
      <sheetName val="interest capitalization"/>
      <sheetName val="cashflows (2008Monthly)"/>
      <sheetName val="p&amp;l-poc (2008Monthly)"/>
      <sheetName val="p&amp;l-fa (2008Monthly)"/>
      <sheetName val="transportation"/>
      <sheetName val="SALES BY STATUS"/>
      <sheetName val="crc database"/>
      <sheetName val="manpower dbase"/>
      <sheetName val="cashflows_(Monthly)"/>
      <sheetName val="cashflows_(2008Monthly)_(2)"/>
      <sheetName val="cashflows_(Annual)_(2)"/>
      <sheetName val="orig_monthly_collection"/>
      <sheetName val="cashflows_(Annual)_(4)"/>
      <sheetName val="cashflows_(Annual)_(3)"/>
      <sheetName val="cashflows_(Annual)_(4)-wo_t3&amp;up"/>
      <sheetName val="cashflows_(Annual)"/>
      <sheetName val="p&amp;l-poc_(Monthly)"/>
      <sheetName val="poc_pnl-july_board"/>
      <sheetName val="p&amp;l-fa_(Monthly)"/>
      <sheetName val="p&amp;l-poc_(Annual)"/>
      <sheetName val="p&amp;l_-_fa_(Annual)"/>
      <sheetName val="Hotel_P&amp;L_"/>
      <sheetName val="Commercial_P&amp;L_"/>
      <sheetName val="BS_Summary_(POC)"/>
      <sheetName val="BS_Summary_(FA)"/>
      <sheetName val="BS_Details_(POC)"/>
      <sheetName val="BS_Details_(FA)"/>
      <sheetName val="DE_analysis-POC"/>
      <sheetName val="DE_analysis-FA"/>
      <sheetName val="POC-Rev_Cos_Devt_Cost-revised"/>
      <sheetName val="POC-Rev_Cos_Devt_Cost-base"/>
      <sheetName val="FA-Rev_Cos_Devt_Cost-revised"/>
      <sheetName val="FA-Rev_Cos_Devt_Cost_Rate-base"/>
      <sheetName val="rev_cos_rate-POC"/>
      <sheetName val="collections-_existing"/>
      <sheetName val="collections-_new"/>
      <sheetName val="collections-_others"/>
      <sheetName val="sales_(2)"/>
      <sheetName val="land_development"/>
      <sheetName val="land_development_(2)"/>
      <sheetName val="land_development_(3)"/>
      <sheetName val="cap_interest"/>
      <sheetName val="interest_capitalization"/>
      <sheetName val="cashflows_(2008Monthly)"/>
      <sheetName val="p&amp;l-poc_(2008Monthly)"/>
      <sheetName val="p&amp;l-fa_(2008Monthly)"/>
      <sheetName val="SALES_BY_STATUS"/>
      <sheetName val="crc_database"/>
      <sheetName val="manpower_dbase"/>
      <sheetName val="g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row r="2">
          <cell r="B2" t="str">
            <v>LANDCO PACIFIC CORPORATION &amp; SUBSIDIARIES</v>
          </cell>
          <cell r="F2" t="str">
            <v>go back to annual cashflows</v>
          </cell>
          <cell r="J2" t="str">
            <v>LANDCO PACIFIC CORPORATION &amp; SUBSIDIARIES</v>
          </cell>
          <cell r="W2" t="str">
            <v>go back to annual cashflows</v>
          </cell>
        </row>
        <row r="3">
          <cell r="B3" t="str">
            <v>LOAN SCHEDULE</v>
          </cell>
          <cell r="J3" t="str">
            <v>LOAN SCHEDULE</v>
          </cell>
        </row>
        <row r="4">
          <cell r="B4" t="str">
            <v>INCLUDING ADVANCES FROM SHAREHOLDERS</v>
          </cell>
          <cell r="J4" t="str">
            <v xml:space="preserve"> </v>
          </cell>
        </row>
        <row r="5">
          <cell r="P5" t="str">
            <v>Regular CTS</v>
          </cell>
        </row>
        <row r="6">
          <cell r="B6" t="str">
            <v>Ending Cash</v>
          </cell>
          <cell r="D6" t="e">
            <v>#REF!</v>
          </cell>
          <cell r="E6" t="e">
            <v>#REF!</v>
          </cell>
          <cell r="F6" t="e">
            <v>#REF!</v>
          </cell>
          <cell r="G6" t="e">
            <v>#REF!</v>
          </cell>
          <cell r="H6" t="e">
            <v>#REF!</v>
          </cell>
          <cell r="K6" t="str">
            <v>2008 Monthly</v>
          </cell>
          <cell r="P6">
            <v>4000000</v>
          </cell>
          <cell r="Q6">
            <v>68219000.000000015</v>
          </cell>
          <cell r="R6">
            <v>79175000</v>
          </cell>
          <cell r="S6">
            <v>50247785</v>
          </cell>
          <cell r="T6">
            <v>22222022</v>
          </cell>
          <cell r="U6">
            <v>197998315</v>
          </cell>
          <cell r="V6">
            <v>157261086</v>
          </cell>
        </row>
        <row r="7">
          <cell r="C7">
            <v>2007</v>
          </cell>
          <cell r="D7">
            <v>2008</v>
          </cell>
          <cell r="E7">
            <v>2009</v>
          </cell>
          <cell r="F7">
            <v>2010</v>
          </cell>
          <cell r="G7">
            <v>2011</v>
          </cell>
          <cell r="H7">
            <v>2012</v>
          </cell>
          <cell r="K7" t="str">
            <v>Jan</v>
          </cell>
          <cell r="L7" t="str">
            <v>Feb</v>
          </cell>
          <cell r="M7" t="str">
            <v>Mar</v>
          </cell>
          <cell r="N7" t="str">
            <v>Apr</v>
          </cell>
          <cell r="O7" t="str">
            <v>May</v>
          </cell>
          <cell r="P7" t="str">
            <v>Jun</v>
          </cell>
          <cell r="Q7" t="str">
            <v>Jul</v>
          </cell>
          <cell r="R7" t="str">
            <v>Aug</v>
          </cell>
          <cell r="S7" t="str">
            <v>Sep</v>
          </cell>
          <cell r="T7" t="str">
            <v>Oct</v>
          </cell>
          <cell r="U7" t="str">
            <v>Nov</v>
          </cell>
          <cell r="V7" t="str">
            <v>Dec</v>
          </cell>
          <cell r="W7" t="str">
            <v>Total</v>
          </cell>
        </row>
        <row r="8">
          <cell r="B8" t="str">
            <v>CTS Borrowings</v>
          </cell>
          <cell r="J8" t="str">
            <v>CTS Borrowings</v>
          </cell>
        </row>
        <row r="9">
          <cell r="B9" t="str">
            <v>Loan Availments</v>
          </cell>
          <cell r="J9" t="str">
            <v>Loan Availments</v>
          </cell>
        </row>
        <row r="10">
          <cell r="B10" t="str">
            <v>Existing Loans</v>
          </cell>
          <cell r="C10">
            <v>1086591296.4300001</v>
          </cell>
        </row>
        <row r="11">
          <cell r="B11" t="str">
            <v>CTS Loan 1</v>
          </cell>
          <cell r="D11">
            <v>1179933208</v>
          </cell>
          <cell r="J11" t="str">
            <v>CTS Loan 1</v>
          </cell>
          <cell r="K11">
            <v>101100000</v>
          </cell>
          <cell r="L11">
            <v>0</v>
          </cell>
          <cell r="M11">
            <v>0</v>
          </cell>
          <cell r="N11">
            <v>18300000</v>
          </cell>
          <cell r="O11">
            <v>58410000</v>
          </cell>
          <cell r="P11">
            <v>104000000</v>
          </cell>
          <cell r="Q11">
            <v>68219000.000000015</v>
          </cell>
          <cell r="R11">
            <v>208175000</v>
          </cell>
          <cell r="S11">
            <v>130247785</v>
          </cell>
          <cell r="T11">
            <v>51222022</v>
          </cell>
          <cell r="U11">
            <v>282998315</v>
          </cell>
          <cell r="V11">
            <v>157261086</v>
          </cell>
          <cell r="W11">
            <v>1179933208</v>
          </cell>
        </row>
        <row r="12">
          <cell r="B12" t="str">
            <v>CTS Loan 2</v>
          </cell>
          <cell r="E12">
            <v>700000000</v>
          </cell>
        </row>
        <row r="13">
          <cell r="B13" t="str">
            <v>CTS Loan 3</v>
          </cell>
          <cell r="F13">
            <v>2000000000</v>
          </cell>
        </row>
        <row r="14">
          <cell r="B14" t="str">
            <v>CTS Loan 4</v>
          </cell>
          <cell r="G14">
            <v>1600000000</v>
          </cell>
        </row>
        <row r="15">
          <cell r="B15" t="str">
            <v>CTS Loan 5</v>
          </cell>
          <cell r="H15">
            <v>1000000000</v>
          </cell>
        </row>
        <row r="16">
          <cell r="B16" t="str">
            <v>CTS Loan 6</v>
          </cell>
        </row>
        <row r="17">
          <cell r="C17">
            <v>1086591296.4300001</v>
          </cell>
          <cell r="D17">
            <v>1179933208</v>
          </cell>
          <cell r="E17">
            <v>700000000</v>
          </cell>
          <cell r="F17">
            <v>2000000000</v>
          </cell>
          <cell r="G17">
            <v>1600000000</v>
          </cell>
          <cell r="H17">
            <v>1000000000</v>
          </cell>
          <cell r="K17">
            <v>101100000</v>
          </cell>
          <cell r="L17">
            <v>0</v>
          </cell>
          <cell r="M17">
            <v>0</v>
          </cell>
          <cell r="N17">
            <v>18300000</v>
          </cell>
          <cell r="O17">
            <v>58410000</v>
          </cell>
          <cell r="P17">
            <v>104000000</v>
          </cell>
          <cell r="Q17">
            <v>68219000.000000015</v>
          </cell>
          <cell r="R17">
            <v>208175000</v>
          </cell>
          <cell r="S17">
            <v>130247785</v>
          </cell>
          <cell r="T17">
            <v>51222022</v>
          </cell>
          <cell r="U17">
            <v>282998315</v>
          </cell>
          <cell r="V17">
            <v>157261086</v>
          </cell>
          <cell r="W17">
            <v>1179933208</v>
          </cell>
        </row>
        <row r="18">
          <cell r="B18" t="str">
            <v>CTS Buffer</v>
          </cell>
          <cell r="D18">
            <v>-277417029.61557758</v>
          </cell>
          <cell r="E18">
            <v>1273084421.5147805</v>
          </cell>
          <cell r="F18">
            <v>463498522.95275617</v>
          </cell>
          <cell r="G18">
            <v>-1443836357.9594612</v>
          </cell>
          <cell r="H18">
            <v>-2849810351.621057</v>
          </cell>
        </row>
        <row r="19">
          <cell r="B19" t="str">
            <v>Annual Loan Amortization</v>
          </cell>
        </row>
        <row r="20">
          <cell r="B20" t="str">
            <v>Existing Loans</v>
          </cell>
          <cell r="J20" t="str">
            <v>Monthly Loan Amortization</v>
          </cell>
        </row>
        <row r="21">
          <cell r="B21" t="str">
            <v>CTS Loan 1</v>
          </cell>
          <cell r="D21">
            <v>173753484.90429518</v>
          </cell>
          <cell r="E21">
            <v>491263988.27910823</v>
          </cell>
          <cell r="F21">
            <v>491263988.27910823</v>
          </cell>
          <cell r="G21">
            <v>262968227.02171394</v>
          </cell>
          <cell r="J21" t="str">
            <v>Jan</v>
          </cell>
          <cell r="K21">
            <v>3357966.7220792528</v>
          </cell>
          <cell r="L21">
            <v>3357966.7220792528</v>
          </cell>
          <cell r="M21">
            <v>3357966.7220792528</v>
          </cell>
          <cell r="N21">
            <v>3357966.7220792528</v>
          </cell>
          <cell r="O21">
            <v>3357966.7220792528</v>
          </cell>
          <cell r="P21">
            <v>3357966.7220792528</v>
          </cell>
          <cell r="Q21">
            <v>3357966.7220792528</v>
          </cell>
          <cell r="R21">
            <v>3357966.7220792528</v>
          </cell>
          <cell r="S21">
            <v>3357966.7220792528</v>
          </cell>
          <cell r="T21">
            <v>3357966.7220792528</v>
          </cell>
          <cell r="U21">
            <v>3357966.7220792528</v>
          </cell>
          <cell r="V21">
            <v>3357966.7220792528</v>
          </cell>
          <cell r="W21">
            <v>40295600.664951049</v>
          </cell>
        </row>
        <row r="22">
          <cell r="B22" t="str">
            <v>CTS Loan 2</v>
          </cell>
          <cell r="E22">
            <v>115232052.70699139</v>
          </cell>
          <cell r="F22">
            <v>230464105.41398278</v>
          </cell>
          <cell r="G22">
            <v>230464105.41398278</v>
          </cell>
          <cell r="H22">
            <v>230464105.41398278</v>
          </cell>
          <cell r="J22" t="str">
            <v>Feb</v>
          </cell>
          <cell r="L22">
            <v>0</v>
          </cell>
          <cell r="M22">
            <v>0</v>
          </cell>
          <cell r="N22">
            <v>0</v>
          </cell>
          <cell r="O22">
            <v>0</v>
          </cell>
          <cell r="P22">
            <v>0</v>
          </cell>
          <cell r="Q22">
            <v>0</v>
          </cell>
          <cell r="R22">
            <v>0</v>
          </cell>
          <cell r="S22">
            <v>0</v>
          </cell>
          <cell r="T22">
            <v>0</v>
          </cell>
          <cell r="U22">
            <v>0</v>
          </cell>
          <cell r="V22">
            <v>0</v>
          </cell>
          <cell r="W22">
            <v>0</v>
          </cell>
        </row>
        <row r="23">
          <cell r="B23" t="str">
            <v>CTS Loan 3</v>
          </cell>
          <cell r="F23">
            <v>329234436.30568969</v>
          </cell>
          <cell r="G23">
            <v>658468872.61137938</v>
          </cell>
          <cell r="H23">
            <v>658468872.61137938</v>
          </cell>
          <cell r="J23" t="str">
            <v>March</v>
          </cell>
          <cell r="M23">
            <v>0</v>
          </cell>
          <cell r="N23">
            <v>0</v>
          </cell>
          <cell r="O23">
            <v>0</v>
          </cell>
          <cell r="P23">
            <v>0</v>
          </cell>
          <cell r="Q23">
            <v>0</v>
          </cell>
          <cell r="R23">
            <v>0</v>
          </cell>
          <cell r="S23">
            <v>0</v>
          </cell>
          <cell r="T23">
            <v>0</v>
          </cell>
          <cell r="U23">
            <v>0</v>
          </cell>
          <cell r="V23">
            <v>0</v>
          </cell>
          <cell r="W23">
            <v>0</v>
          </cell>
        </row>
        <row r="24">
          <cell r="B24" t="str">
            <v>CTS Loan 4</v>
          </cell>
          <cell r="G24">
            <v>263387549.04455176</v>
          </cell>
          <cell r="H24">
            <v>526775098.08910352</v>
          </cell>
          <cell r="J24" t="str">
            <v>April</v>
          </cell>
          <cell r="N24">
            <v>607821.86957517639</v>
          </cell>
          <cell r="O24">
            <v>607821.86957517639</v>
          </cell>
          <cell r="P24">
            <v>607821.86957517639</v>
          </cell>
          <cell r="Q24">
            <v>607821.86957517639</v>
          </cell>
          <cell r="R24">
            <v>607821.86957517639</v>
          </cell>
          <cell r="S24">
            <v>607821.86957517639</v>
          </cell>
          <cell r="T24">
            <v>607821.86957517639</v>
          </cell>
          <cell r="U24">
            <v>607821.86957517639</v>
          </cell>
          <cell r="V24">
            <v>607821.86957517639</v>
          </cell>
          <cell r="W24">
            <v>5470396.8261765875</v>
          </cell>
        </row>
        <row r="25">
          <cell r="B25" t="str">
            <v>CTS Loan 5</v>
          </cell>
          <cell r="H25">
            <v>164617218.15284485</v>
          </cell>
          <cell r="J25" t="str">
            <v>May</v>
          </cell>
          <cell r="O25">
            <v>1940047.8361686368</v>
          </cell>
          <cell r="P25">
            <v>1940047.8361686368</v>
          </cell>
          <cell r="Q25">
            <v>1940047.8361686368</v>
          </cell>
          <cell r="R25">
            <v>1940047.8361686368</v>
          </cell>
          <cell r="S25">
            <v>1940047.8361686368</v>
          </cell>
          <cell r="T25">
            <v>1940047.8361686368</v>
          </cell>
          <cell r="U25">
            <v>1940047.8361686368</v>
          </cell>
          <cell r="V25">
            <v>1940047.8361686368</v>
          </cell>
          <cell r="W25">
            <v>15520382.689349096</v>
          </cell>
        </row>
        <row r="26">
          <cell r="B26" t="str">
            <v>CTS Loan 6</v>
          </cell>
        </row>
        <row r="27">
          <cell r="C27">
            <v>0</v>
          </cell>
          <cell r="D27">
            <v>173753484.90429518</v>
          </cell>
          <cell r="E27">
            <v>606496040.9860996</v>
          </cell>
          <cell r="F27">
            <v>1050962529.9987807</v>
          </cell>
          <cell r="G27">
            <v>1415288754.0916281</v>
          </cell>
          <cell r="H27">
            <v>1580325294.2673106</v>
          </cell>
          <cell r="J27" t="str">
            <v>Jun</v>
          </cell>
          <cell r="P27">
            <v>3454288.2205365216</v>
          </cell>
          <cell r="Q27">
            <v>3454288.2205365216</v>
          </cell>
          <cell r="R27">
            <v>3454288.2205365216</v>
          </cell>
          <cell r="S27">
            <v>3454288.2205365216</v>
          </cell>
          <cell r="T27">
            <v>3454288.2205365216</v>
          </cell>
          <cell r="U27">
            <v>3454288.2205365216</v>
          </cell>
          <cell r="V27">
            <v>3454288.2205365216</v>
          </cell>
          <cell r="W27">
            <v>24180017.543755654</v>
          </cell>
        </row>
        <row r="28">
          <cell r="J28" t="str">
            <v>Jul</v>
          </cell>
          <cell r="Q28">
            <v>2265847.0011228942</v>
          </cell>
          <cell r="R28">
            <v>2265847.0011228942</v>
          </cell>
          <cell r="S28">
            <v>2265847.0011228942</v>
          </cell>
          <cell r="T28">
            <v>2265847.0011228942</v>
          </cell>
          <cell r="U28">
            <v>2265847.0011228942</v>
          </cell>
          <cell r="V28">
            <v>2265847.0011228942</v>
          </cell>
          <cell r="W28">
            <v>13595082.006737364</v>
          </cell>
        </row>
        <row r="29">
          <cell r="B29" t="str">
            <v>Loan Repayment</v>
          </cell>
          <cell r="J29" t="str">
            <v>Aug</v>
          </cell>
          <cell r="R29">
            <v>5652245.172401947</v>
          </cell>
          <cell r="S29">
            <v>5652245.172401947</v>
          </cell>
          <cell r="T29">
            <v>5652245.172401947</v>
          </cell>
          <cell r="U29">
            <v>5652245.172401947</v>
          </cell>
          <cell r="V29">
            <v>5652245.172401947</v>
          </cell>
          <cell r="W29">
            <v>28261225.862009734</v>
          </cell>
        </row>
        <row r="30">
          <cell r="B30" t="str">
            <v>Existing Loans</v>
          </cell>
          <cell r="D30">
            <v>206073684.095056</v>
          </cell>
          <cell r="E30">
            <v>115261198.7928583</v>
          </cell>
          <cell r="F30">
            <v>80185080.650697991</v>
          </cell>
          <cell r="G30">
            <v>37513019.227799453</v>
          </cell>
          <cell r="H30">
            <v>25690250.291163217</v>
          </cell>
          <cell r="J30" t="str">
            <v>Sep</v>
          </cell>
          <cell r="S30">
            <v>4326090.2834276296</v>
          </cell>
          <cell r="T30">
            <v>4326090.2834276296</v>
          </cell>
          <cell r="U30">
            <v>4326090.2834276296</v>
          </cell>
          <cell r="V30">
            <v>4326090.2834276296</v>
          </cell>
          <cell r="W30">
            <v>17304361.133710518</v>
          </cell>
        </row>
        <row r="31">
          <cell r="B31" t="str">
            <v>CTS Loan 1</v>
          </cell>
          <cell r="D31">
            <v>162496413.52254039</v>
          </cell>
          <cell r="E31">
            <v>369171572.94181305</v>
          </cell>
          <cell r="F31">
            <v>413472161.69483066</v>
          </cell>
          <cell r="G31">
            <v>234793059.84081602</v>
          </cell>
          <cell r="H31">
            <v>0</v>
          </cell>
          <cell r="J31" t="str">
            <v>Oct</v>
          </cell>
          <cell r="T31">
            <v>1701304.1079486783</v>
          </cell>
          <cell r="U31">
            <v>1701304.1079486783</v>
          </cell>
          <cell r="V31">
            <v>1701304.1079486783</v>
          </cell>
          <cell r="W31">
            <v>5103912.3238460347</v>
          </cell>
        </row>
        <row r="32">
          <cell r="B32" t="str">
            <v>CTS Loan 2</v>
          </cell>
          <cell r="E32">
            <v>73232052.706991389</v>
          </cell>
          <cell r="F32">
            <v>155251951.73882174</v>
          </cell>
          <cell r="G32">
            <v>173882185.94748038</v>
          </cell>
          <cell r="H32">
            <v>194748048.26117802</v>
          </cell>
          <cell r="J32" t="str">
            <v>Nov</v>
          </cell>
          <cell r="U32">
            <v>9399593.7109248452</v>
          </cell>
          <cell r="V32">
            <v>9399593.7109248452</v>
          </cell>
          <cell r="W32">
            <v>18799187.42184969</v>
          </cell>
        </row>
        <row r="33">
          <cell r="B33" t="str">
            <v>CTS Loan 3</v>
          </cell>
          <cell r="F33">
            <v>209234436.30568969</v>
          </cell>
          <cell r="G33">
            <v>443577004.96806216</v>
          </cell>
          <cell r="H33">
            <v>496806245.56422961</v>
          </cell>
          <cell r="J33" t="str">
            <v>Dec</v>
          </cell>
          <cell r="V33">
            <v>5223318.4319094308</v>
          </cell>
          <cell r="W33">
            <v>5223318.4319094308</v>
          </cell>
        </row>
        <row r="34">
          <cell r="B34" t="str">
            <v>CTS Loan 4</v>
          </cell>
          <cell r="G34">
            <v>167387549.04455176</v>
          </cell>
          <cell r="H34">
            <v>354861603.97444975</v>
          </cell>
          <cell r="K34">
            <v>3357966.7220792528</v>
          </cell>
          <cell r="L34">
            <v>3357966.7220792528</v>
          </cell>
          <cell r="M34">
            <v>3357966.7220792528</v>
          </cell>
          <cell r="N34">
            <v>3965788.5916544292</v>
          </cell>
          <cell r="O34">
            <v>5905836.4278230658</v>
          </cell>
          <cell r="P34">
            <v>9360124.6483595874</v>
          </cell>
          <cell r="Q34">
            <v>11625971.649482481</v>
          </cell>
          <cell r="R34">
            <v>17278216.821884427</v>
          </cell>
          <cell r="S34">
            <v>21604307.105312057</v>
          </cell>
          <cell r="T34">
            <v>23305611.213260736</v>
          </cell>
          <cell r="U34">
            <v>32705204.924185582</v>
          </cell>
          <cell r="V34">
            <v>37928523.356095016</v>
          </cell>
          <cell r="W34">
            <v>173753484.90429518</v>
          </cell>
        </row>
        <row r="35">
          <cell r="B35" t="str">
            <v>CTS Loan 5</v>
          </cell>
          <cell r="H35">
            <v>104617218.15284485</v>
          </cell>
        </row>
        <row r="36">
          <cell r="B36" t="str">
            <v>CTS Loan 6</v>
          </cell>
        </row>
        <row r="37">
          <cell r="C37">
            <v>0</v>
          </cell>
          <cell r="D37">
            <v>368570097.61759639</v>
          </cell>
          <cell r="E37">
            <v>557664824.44166279</v>
          </cell>
          <cell r="F37">
            <v>858143630.39004004</v>
          </cell>
          <cell r="G37">
            <v>1057152819.0287098</v>
          </cell>
          <cell r="H37">
            <v>1176723366.2438655</v>
          </cell>
          <cell r="J37" t="str">
            <v>Loan Repayment</v>
          </cell>
        </row>
        <row r="38">
          <cell r="J38" t="str">
            <v>Jan</v>
          </cell>
          <cell r="K38">
            <v>2346966.7220792528</v>
          </cell>
          <cell r="L38">
            <v>2370436.3893000456</v>
          </cell>
          <cell r="M38">
            <v>2394140.753193046</v>
          </cell>
          <cell r="N38">
            <v>2418082.1607249761</v>
          </cell>
          <cell r="O38">
            <v>2442262.9823322264</v>
          </cell>
          <cell r="P38">
            <v>2466685.6121555483</v>
          </cell>
          <cell r="Q38">
            <v>2491352.4682771037</v>
          </cell>
          <cell r="R38">
            <v>2516265.9929598747</v>
          </cell>
          <cell r="S38">
            <v>2541428.6528894734</v>
          </cell>
          <cell r="T38">
            <v>2566842.9394183685</v>
          </cell>
          <cell r="U38">
            <v>2592511.3688125522</v>
          </cell>
          <cell r="V38">
            <v>2618436.4825006775</v>
          </cell>
          <cell r="W38">
            <v>29765412.524643149</v>
          </cell>
        </row>
        <row r="39">
          <cell r="B39" t="str">
            <v>Outstanding Balance</v>
          </cell>
          <cell r="J39" t="str">
            <v>Feb</v>
          </cell>
          <cell r="L39">
            <v>0</v>
          </cell>
          <cell r="M39">
            <v>0</v>
          </cell>
          <cell r="N39">
            <v>0</v>
          </cell>
          <cell r="O39">
            <v>0</v>
          </cell>
          <cell r="P39">
            <v>0</v>
          </cell>
          <cell r="Q39">
            <v>0</v>
          </cell>
          <cell r="R39">
            <v>0</v>
          </cell>
          <cell r="S39">
            <v>0</v>
          </cell>
          <cell r="T39">
            <v>0</v>
          </cell>
          <cell r="U39">
            <v>0</v>
          </cell>
          <cell r="V39">
            <v>0</v>
          </cell>
          <cell r="W39">
            <v>0</v>
          </cell>
        </row>
        <row r="40">
          <cell r="B40" t="str">
            <v>Existing Loans</v>
          </cell>
          <cell r="D40">
            <v>880517612.33494401</v>
          </cell>
          <cell r="E40">
            <v>765256413.54208565</v>
          </cell>
          <cell r="F40">
            <v>685071332.8913877</v>
          </cell>
          <cell r="G40">
            <v>647558313.66358829</v>
          </cell>
          <cell r="H40">
            <v>621868063.37242508</v>
          </cell>
          <cell r="J40" t="str">
            <v>March</v>
          </cell>
          <cell r="M40">
            <v>0</v>
          </cell>
          <cell r="N40">
            <v>0</v>
          </cell>
          <cell r="O40">
            <v>0</v>
          </cell>
          <cell r="P40">
            <v>0</v>
          </cell>
          <cell r="Q40">
            <v>0</v>
          </cell>
          <cell r="R40">
            <v>0</v>
          </cell>
          <cell r="S40">
            <v>0</v>
          </cell>
          <cell r="T40">
            <v>0</v>
          </cell>
          <cell r="U40">
            <v>0</v>
          </cell>
          <cell r="V40">
            <v>0</v>
          </cell>
          <cell r="W40">
            <v>0</v>
          </cell>
        </row>
        <row r="41">
          <cell r="B41" t="str">
            <v>CTS Loan 1</v>
          </cell>
          <cell r="D41">
            <v>1017436794.4774597</v>
          </cell>
          <cell r="E41">
            <v>648265221.53564668</v>
          </cell>
          <cell r="F41">
            <v>234793059.84081602</v>
          </cell>
          <cell r="G41">
            <v>0</v>
          </cell>
          <cell r="H41">
            <v>0</v>
          </cell>
          <cell r="J41" t="str">
            <v>April</v>
          </cell>
          <cell r="N41">
            <v>424821.86957517639</v>
          </cell>
          <cell r="O41">
            <v>429070.08827092813</v>
          </cell>
          <cell r="P41">
            <v>433360.78915363748</v>
          </cell>
          <cell r="Q41">
            <v>437694.3970451738</v>
          </cell>
          <cell r="R41">
            <v>442071.34101562563</v>
          </cell>
          <cell r="S41">
            <v>446492.05442578183</v>
          </cell>
          <cell r="T41">
            <v>450956.97497003968</v>
          </cell>
          <cell r="U41">
            <v>455466.54471974005</v>
          </cell>
          <cell r="V41">
            <v>460021.21016693744</v>
          </cell>
          <cell r="W41">
            <v>3979955.2693430409</v>
          </cell>
        </row>
        <row r="42">
          <cell r="B42" t="str">
            <v>CTS Loan 2</v>
          </cell>
          <cell r="E42">
            <v>626767947.29300857</v>
          </cell>
          <cell r="F42">
            <v>471515995.55418682</v>
          </cell>
          <cell r="G42">
            <v>297633809.60670644</v>
          </cell>
          <cell r="H42">
            <v>102885761.34552842</v>
          </cell>
          <cell r="J42" t="str">
            <v>May</v>
          </cell>
          <cell r="O42">
            <v>1355947.8361686368</v>
          </cell>
          <cell r="P42">
            <v>1369507.3145303233</v>
          </cell>
          <cell r="Q42">
            <v>1383202.3876756264</v>
          </cell>
          <cell r="R42">
            <v>1397034.4115523826</v>
          </cell>
          <cell r="S42">
            <v>1411004.7556679067</v>
          </cell>
          <cell r="T42">
            <v>1425114.8032245857</v>
          </cell>
          <cell r="U42">
            <v>1439365.9512568314</v>
          </cell>
          <cell r="V42">
            <v>1453759.6107693999</v>
          </cell>
          <cell r="W42">
            <v>11234937.070845693</v>
          </cell>
        </row>
        <row r="43">
          <cell r="B43" t="str">
            <v>CTS Loan 3</v>
          </cell>
          <cell r="F43">
            <v>1790765563.6943102</v>
          </cell>
          <cell r="G43">
            <v>1347188558.726248</v>
          </cell>
          <cell r="H43">
            <v>850382313.16201842</v>
          </cell>
          <cell r="J43" t="str">
            <v>Jun</v>
          </cell>
          <cell r="P43">
            <v>2414288.2205365216</v>
          </cell>
          <cell r="Q43">
            <v>2438431.1027418869</v>
          </cell>
          <cell r="R43">
            <v>2462815.4137693057</v>
          </cell>
          <cell r="S43">
            <v>2487443.5679069986</v>
          </cell>
          <cell r="T43">
            <v>2512318.0035860687</v>
          </cell>
          <cell r="U43">
            <v>2537441.1836219295</v>
          </cell>
          <cell r="V43">
            <v>2562815.5954581485</v>
          </cell>
          <cell r="W43">
            <v>17415553.087620862</v>
          </cell>
        </row>
        <row r="44">
          <cell r="B44" t="str">
            <v>CTS Loan 4</v>
          </cell>
          <cell r="G44">
            <v>1432612450.9554482</v>
          </cell>
          <cell r="H44">
            <v>1077750846.9809985</v>
          </cell>
          <cell r="J44" t="str">
            <v>Jul</v>
          </cell>
          <cell r="Q44">
            <v>1583657.0011228942</v>
          </cell>
          <cell r="R44">
            <v>1599493.571134123</v>
          </cell>
          <cell r="S44">
            <v>1615488.5068454642</v>
          </cell>
          <cell r="T44">
            <v>1631643.3919139188</v>
          </cell>
          <cell r="U44">
            <v>1647959.825833058</v>
          </cell>
          <cell r="V44">
            <v>1664439.4240913887</v>
          </cell>
          <cell r="W44">
            <v>9742681.7209408469</v>
          </cell>
        </row>
        <row r="45">
          <cell r="B45" t="str">
            <v>CTS Loan 5</v>
          </cell>
          <cell r="H45">
            <v>895382781.84715509</v>
          </cell>
          <cell r="J45" t="str">
            <v>Aug</v>
          </cell>
          <cell r="R45">
            <v>28570495.172401946</v>
          </cell>
          <cell r="S45">
            <v>16856200.124125965</v>
          </cell>
          <cell r="T45">
            <v>4024762.1253672261</v>
          </cell>
          <cell r="U45">
            <v>4065009.7466208981</v>
          </cell>
          <cell r="V45">
            <v>4105659.8440871071</v>
          </cell>
          <cell r="W45">
            <v>57622127.012603141</v>
          </cell>
        </row>
        <row r="46">
          <cell r="B46" t="str">
            <v>CTS Loan 6</v>
          </cell>
        </row>
        <row r="47">
          <cell r="D47">
            <v>1897954406.8124037</v>
          </cell>
          <cell r="E47">
            <v>2040289582.3707409</v>
          </cell>
          <cell r="F47">
            <v>3182145951.9807005</v>
          </cell>
          <cell r="G47">
            <v>3724993132.9519911</v>
          </cell>
          <cell r="H47">
            <v>3548269766.7081256</v>
          </cell>
          <cell r="J47" t="str">
            <v>Sep</v>
          </cell>
          <cell r="S47">
            <v>3023612.43342763</v>
          </cell>
          <cell r="T47">
            <v>3053848.5577619057</v>
          </cell>
          <cell r="U47">
            <v>3084387.0433395253</v>
          </cell>
          <cell r="V47">
            <v>3115230.9137729201</v>
          </cell>
          <cell r="W47">
            <v>12277078.94830198</v>
          </cell>
        </row>
        <row r="48">
          <cell r="J48" t="str">
            <v>Oct</v>
          </cell>
          <cell r="T48">
            <v>1189083.8879486783</v>
          </cell>
          <cell r="U48">
            <v>1200974.7268281651</v>
          </cell>
          <cell r="V48">
            <v>1212984.4740964468</v>
          </cell>
          <cell r="W48">
            <v>3603043.08887329</v>
          </cell>
        </row>
        <row r="49">
          <cell r="A49">
            <v>0.12</v>
          </cell>
          <cell r="B49" t="str">
            <v>Interest</v>
          </cell>
          <cell r="J49" t="str">
            <v>Nov</v>
          </cell>
          <cell r="U49">
            <v>6569610.5609248448</v>
          </cell>
          <cell r="V49">
            <v>6635306.6665340941</v>
          </cell>
          <cell r="W49">
            <v>13204917.227458939</v>
          </cell>
        </row>
        <row r="50">
          <cell r="A50">
            <v>0.11154236391749267</v>
          </cell>
          <cell r="B50" t="str">
            <v>Existing Loans</v>
          </cell>
          <cell r="D50">
            <v>121200961.81597522</v>
          </cell>
          <cell r="E50">
            <v>98215015.950826064</v>
          </cell>
          <cell r="F50">
            <v>85358509.369506583</v>
          </cell>
          <cell r="G50">
            <v>76414475.922812939</v>
          </cell>
          <cell r="H50">
            <v>72230185.08046183</v>
          </cell>
          <cell r="J50" t="str">
            <v>Dec</v>
          </cell>
          <cell r="V50">
            <v>3650707.5719094304</v>
          </cell>
          <cell r="W50">
            <v>3650707.5719094304</v>
          </cell>
        </row>
        <row r="51">
          <cell r="A51">
            <v>0.12</v>
          </cell>
          <cell r="B51" t="str">
            <v>CTS Loan 1</v>
          </cell>
          <cell r="D51">
            <v>49257071.381754771</v>
          </cell>
          <cell r="E51">
            <v>122092415.33729516</v>
          </cell>
          <cell r="F51">
            <v>77791826.5842776</v>
          </cell>
          <cell r="G51">
            <v>28175167.180897921</v>
          </cell>
          <cell r="H51">
            <v>0</v>
          </cell>
          <cell r="K51">
            <v>2346966.7220792528</v>
          </cell>
          <cell r="L51">
            <v>2370436.3893000456</v>
          </cell>
          <cell r="M51">
            <v>2394140.753193046</v>
          </cell>
          <cell r="N51">
            <v>2842904.0303001525</v>
          </cell>
          <cell r="O51">
            <v>4227280.9067717912</v>
          </cell>
          <cell r="P51">
            <v>6683841.9363760306</v>
          </cell>
          <cell r="Q51">
            <v>8334337.3568626847</v>
          </cell>
          <cell r="R51">
            <v>36988175.902833253</v>
          </cell>
          <cell r="S51">
            <v>28381670.095289223</v>
          </cell>
          <cell r="T51">
            <v>16854570.684190791</v>
          </cell>
          <cell r="U51">
            <v>23592726.951957546</v>
          </cell>
          <cell r="V51">
            <v>27479361.793386552</v>
          </cell>
          <cell r="W51">
            <v>162496413.52254039</v>
          </cell>
        </row>
        <row r="52">
          <cell r="A52">
            <v>0.12</v>
          </cell>
          <cell r="B52" t="str">
            <v>CTS Loan 2</v>
          </cell>
          <cell r="E52">
            <v>42000000</v>
          </cell>
          <cell r="F52">
            <v>75212153.675161019</v>
          </cell>
          <cell r="G52">
            <v>56581919.466502413</v>
          </cell>
          <cell r="H52">
            <v>35716057.15280477</v>
          </cell>
          <cell r="J52" t="str">
            <v>Outstanding Balance</v>
          </cell>
        </row>
        <row r="53">
          <cell r="A53">
            <v>0.12</v>
          </cell>
          <cell r="B53" t="str">
            <v>CTS Loan 3</v>
          </cell>
          <cell r="F53">
            <v>120000000</v>
          </cell>
          <cell r="G53">
            <v>214891867.64331722</v>
          </cell>
          <cell r="H53">
            <v>161662627.04714975</v>
          </cell>
          <cell r="J53" t="str">
            <v>Jan</v>
          </cell>
          <cell r="K53">
            <v>98753033.277920753</v>
          </cell>
          <cell r="L53">
            <v>96382596.888620704</v>
          </cell>
          <cell r="M53">
            <v>93988456.135427654</v>
          </cell>
          <cell r="N53">
            <v>91570373.974702671</v>
          </cell>
          <cell r="O53">
            <v>89128110.992370442</v>
          </cell>
          <cell r="P53">
            <v>86661425.3802149</v>
          </cell>
          <cell r="Q53">
            <v>84170072.911937803</v>
          </cell>
          <cell r="R53">
            <v>81653806.918977931</v>
          </cell>
          <cell r="S53">
            <v>79112378.266088456</v>
          </cell>
          <cell r="T53">
            <v>76545535.32667008</v>
          </cell>
          <cell r="U53">
            <v>73953023.957857534</v>
          </cell>
          <cell r="V53">
            <v>71334587.475356862</v>
          </cell>
        </row>
        <row r="54">
          <cell r="A54">
            <v>0.12</v>
          </cell>
          <cell r="B54" t="str">
            <v>CTS Loan 4</v>
          </cell>
          <cell r="G54">
            <v>96000000</v>
          </cell>
          <cell r="H54">
            <v>171913494.11465377</v>
          </cell>
          <cell r="J54" t="str">
            <v>Feb</v>
          </cell>
          <cell r="L54">
            <v>0</v>
          </cell>
          <cell r="M54">
            <v>0</v>
          </cell>
          <cell r="N54">
            <v>0</v>
          </cell>
          <cell r="O54">
            <v>0</v>
          </cell>
          <cell r="P54">
            <v>0</v>
          </cell>
          <cell r="Q54">
            <v>0</v>
          </cell>
          <cell r="R54">
            <v>0</v>
          </cell>
          <cell r="S54">
            <v>0</v>
          </cell>
          <cell r="T54">
            <v>0</v>
          </cell>
          <cell r="U54">
            <v>0</v>
          </cell>
          <cell r="V54">
            <v>0</v>
          </cell>
        </row>
        <row r="55">
          <cell r="A55">
            <v>0.12</v>
          </cell>
          <cell r="B55" t="str">
            <v>CTS Loan 5</v>
          </cell>
          <cell r="H55">
            <v>60000000</v>
          </cell>
          <cell r="J55" t="str">
            <v>March</v>
          </cell>
          <cell r="M55">
            <v>0</v>
          </cell>
          <cell r="N55">
            <v>0</v>
          </cell>
          <cell r="O55">
            <v>0</v>
          </cell>
          <cell r="P55">
            <v>0</v>
          </cell>
          <cell r="Q55">
            <v>0</v>
          </cell>
          <cell r="R55">
            <v>0</v>
          </cell>
          <cell r="S55">
            <v>0</v>
          </cell>
          <cell r="T55">
            <v>0</v>
          </cell>
          <cell r="U55">
            <v>0</v>
          </cell>
          <cell r="V55">
            <v>0</v>
          </cell>
        </row>
        <row r="56">
          <cell r="A56">
            <v>0.12</v>
          </cell>
          <cell r="B56" t="str">
            <v>CTS Loan 6</v>
          </cell>
        </row>
        <row r="57">
          <cell r="C57">
            <v>0</v>
          </cell>
          <cell r="D57">
            <v>170458033.19773</v>
          </cell>
          <cell r="E57">
            <v>262307431.28812122</v>
          </cell>
          <cell r="F57">
            <v>358362489.62894517</v>
          </cell>
          <cell r="G57">
            <v>472063430.21353048</v>
          </cell>
          <cell r="H57">
            <v>501522363.39507014</v>
          </cell>
          <cell r="J57" t="str">
            <v>April</v>
          </cell>
          <cell r="N57">
            <v>17875178.130424824</v>
          </cell>
          <cell r="O57">
            <v>17446108.042153895</v>
          </cell>
          <cell r="P57">
            <v>17012747.253000256</v>
          </cell>
          <cell r="Q57">
            <v>16575052.855955081</v>
          </cell>
          <cell r="R57">
            <v>16132981.514939455</v>
          </cell>
          <cell r="S57">
            <v>15686489.460513674</v>
          </cell>
          <cell r="T57">
            <v>15235532.485543635</v>
          </cell>
          <cell r="U57">
            <v>14780065.940823894</v>
          </cell>
          <cell r="V57">
            <v>14320044.730656957</v>
          </cell>
        </row>
        <row r="58">
          <cell r="J58" t="str">
            <v>May</v>
          </cell>
          <cell r="O58">
            <v>57054052.163831361</v>
          </cell>
          <cell r="P58">
            <v>55684544.84930104</v>
          </cell>
          <cell r="Q58">
            <v>54301342.461625412</v>
          </cell>
          <cell r="R58">
            <v>52904308.050073028</v>
          </cell>
          <cell r="S58">
            <v>51493303.294405118</v>
          </cell>
          <cell r="T58">
            <v>50068188.491180532</v>
          </cell>
          <cell r="U58">
            <v>48628822.539923698</v>
          </cell>
          <cell r="V58">
            <v>47175062.929154299</v>
          </cell>
        </row>
        <row r="59">
          <cell r="J59" t="str">
            <v>Jun</v>
          </cell>
          <cell r="P59">
            <v>101585711.77946348</v>
          </cell>
          <cell r="Q59">
            <v>99147280.676721603</v>
          </cell>
          <cell r="R59">
            <v>96684465.262952298</v>
          </cell>
          <cell r="S59">
            <v>94197021.695045292</v>
          </cell>
          <cell r="T59">
            <v>91684703.691459224</v>
          </cell>
          <cell r="U59">
            <v>89147262.507837296</v>
          </cell>
          <cell r="V59">
            <v>86584446.912379146</v>
          </cell>
        </row>
        <row r="60">
          <cell r="J60" t="str">
            <v>Jul</v>
          </cell>
          <cell r="Q60">
            <v>66635342.998877123</v>
          </cell>
          <cell r="R60">
            <v>65035849.427743003</v>
          </cell>
          <cell r="S60">
            <v>63420360.920897536</v>
          </cell>
          <cell r="T60">
            <v>61788717.528983615</v>
          </cell>
          <cell r="U60">
            <v>60140757.703150555</v>
          </cell>
          <cell r="V60">
            <v>58476318.279059164</v>
          </cell>
        </row>
        <row r="61">
          <cell r="J61" t="str">
            <v>Aug</v>
          </cell>
          <cell r="R61">
            <v>179604504.82759807</v>
          </cell>
          <cell r="S61">
            <v>162748304.70347211</v>
          </cell>
          <cell r="T61">
            <v>158723542.57810488</v>
          </cell>
          <cell r="U61">
            <v>154658532.83148399</v>
          </cell>
          <cell r="V61">
            <v>150552872.9873969</v>
          </cell>
        </row>
        <row r="62">
          <cell r="J62" t="str">
            <v>Sep</v>
          </cell>
          <cell r="S62">
            <v>127224172.56657237</v>
          </cell>
          <cell r="T62">
            <v>124170324.00881046</v>
          </cell>
          <cell r="U62">
            <v>121085936.96547094</v>
          </cell>
          <cell r="V62">
            <v>117970706.05169801</v>
          </cell>
        </row>
        <row r="63">
          <cell r="J63" t="str">
            <v>Oct</v>
          </cell>
          <cell r="T63">
            <v>50032938.112051323</v>
          </cell>
          <cell r="U63">
            <v>48831963.385223158</v>
          </cell>
          <cell r="V63">
            <v>47618978.91112671</v>
          </cell>
        </row>
        <row r="64">
          <cell r="J64" t="str">
            <v>Nov</v>
          </cell>
          <cell r="U64">
            <v>276428704.43907517</v>
          </cell>
          <cell r="V64">
            <v>269793397.77254111</v>
          </cell>
        </row>
        <row r="65">
          <cell r="J65" t="str">
            <v>Dec</v>
          </cell>
          <cell r="V65">
            <v>153610378.42809057</v>
          </cell>
        </row>
        <row r="66">
          <cell r="K66">
            <v>98753033.277920753</v>
          </cell>
          <cell r="L66">
            <v>96382596.888620704</v>
          </cell>
          <cell r="M66">
            <v>93988456.135427654</v>
          </cell>
          <cell r="N66">
            <v>109445552.1051275</v>
          </cell>
          <cell r="O66">
            <v>163628271.1983557</v>
          </cell>
          <cell r="P66">
            <v>260944429.2619797</v>
          </cell>
          <cell r="Q66">
            <v>320829091.90511703</v>
          </cell>
          <cell r="R66">
            <v>492015916.00228381</v>
          </cell>
          <cell r="S66">
            <v>593882030.90699458</v>
          </cell>
          <cell r="T66">
            <v>628249482.22280371</v>
          </cell>
          <cell r="U66">
            <v>887655070.27084613</v>
          </cell>
          <cell r="V66">
            <v>1017436794.4774597</v>
          </cell>
        </row>
        <row r="67">
          <cell r="J67" t="str">
            <v>Interest</v>
          </cell>
          <cell r="K67">
            <v>0.12</v>
          </cell>
        </row>
        <row r="68">
          <cell r="J68" t="str">
            <v>Jan</v>
          </cell>
          <cell r="K68">
            <v>1011000</v>
          </cell>
          <cell r="L68">
            <v>987530.33277920738</v>
          </cell>
          <cell r="M68">
            <v>963825.96888620697</v>
          </cell>
          <cell r="N68">
            <v>939884.56135427661</v>
          </cell>
          <cell r="O68">
            <v>915703.73974702659</v>
          </cell>
          <cell r="P68">
            <v>891281.10992370441</v>
          </cell>
          <cell r="Q68">
            <v>866614.25380214897</v>
          </cell>
          <cell r="R68">
            <v>841700.72911937803</v>
          </cell>
          <cell r="S68">
            <v>816538.06918977934</v>
          </cell>
          <cell r="T68">
            <v>791123.78266088443</v>
          </cell>
          <cell r="U68">
            <v>765455.35326670075</v>
          </cell>
          <cell r="V68">
            <v>739530.23957857536</v>
          </cell>
          <cell r="W68">
            <v>10530188.140307888</v>
          </cell>
        </row>
        <row r="69">
          <cell r="J69" t="str">
            <v>Feb</v>
          </cell>
          <cell r="L69">
            <v>0</v>
          </cell>
          <cell r="M69">
            <v>0</v>
          </cell>
          <cell r="N69">
            <v>0</v>
          </cell>
          <cell r="O69">
            <v>0</v>
          </cell>
          <cell r="P69">
            <v>0</v>
          </cell>
          <cell r="Q69">
            <v>0</v>
          </cell>
          <cell r="R69">
            <v>0</v>
          </cell>
          <cell r="S69">
            <v>0</v>
          </cell>
          <cell r="T69">
            <v>0</v>
          </cell>
          <cell r="U69">
            <v>0</v>
          </cell>
          <cell r="V69">
            <v>0</v>
          </cell>
          <cell r="W69">
            <v>0</v>
          </cell>
        </row>
        <row r="70">
          <cell r="J70" t="str">
            <v>March</v>
          </cell>
          <cell r="M70">
            <v>0</v>
          </cell>
          <cell r="N70">
            <v>0</v>
          </cell>
          <cell r="O70">
            <v>0</v>
          </cell>
          <cell r="P70">
            <v>0</v>
          </cell>
          <cell r="Q70">
            <v>0</v>
          </cell>
          <cell r="R70">
            <v>0</v>
          </cell>
          <cell r="S70">
            <v>0</v>
          </cell>
          <cell r="T70">
            <v>0</v>
          </cell>
          <cell r="U70">
            <v>0</v>
          </cell>
          <cell r="V70">
            <v>0</v>
          </cell>
          <cell r="W70">
            <v>0</v>
          </cell>
        </row>
        <row r="71">
          <cell r="J71" t="str">
            <v>April</v>
          </cell>
          <cell r="N71">
            <v>183000</v>
          </cell>
          <cell r="O71">
            <v>178751.78130424823</v>
          </cell>
          <cell r="P71">
            <v>174461.08042153894</v>
          </cell>
          <cell r="Q71">
            <v>170127.47253000256</v>
          </cell>
          <cell r="R71">
            <v>165750.52855955079</v>
          </cell>
          <cell r="S71">
            <v>161329.81514939453</v>
          </cell>
          <cell r="T71">
            <v>156864.89460513674</v>
          </cell>
          <cell r="U71">
            <v>152355.32485543634</v>
          </cell>
          <cell r="V71">
            <v>147800.65940823892</v>
          </cell>
          <cell r="W71">
            <v>1490441.5568335471</v>
          </cell>
        </row>
        <row r="72">
          <cell r="J72" t="str">
            <v>May</v>
          </cell>
          <cell r="O72">
            <v>584100</v>
          </cell>
          <cell r="P72">
            <v>570540.52163831366</v>
          </cell>
          <cell r="Q72">
            <v>556845.44849301036</v>
          </cell>
          <cell r="R72">
            <v>543013.42461625405</v>
          </cell>
          <cell r="S72">
            <v>529043.0805007302</v>
          </cell>
          <cell r="T72">
            <v>514933.03294405114</v>
          </cell>
          <cell r="U72">
            <v>500681.88491180533</v>
          </cell>
          <cell r="V72">
            <v>486288.22539923695</v>
          </cell>
          <cell r="W72">
            <v>4285445.618503402</v>
          </cell>
        </row>
        <row r="73">
          <cell r="J73" t="str">
            <v>Jun</v>
          </cell>
          <cell r="P73">
            <v>1040000</v>
          </cell>
          <cell r="Q73">
            <v>1015857.1177946348</v>
          </cell>
          <cell r="R73">
            <v>991472.80676721595</v>
          </cell>
          <cell r="S73">
            <v>966844.65262952296</v>
          </cell>
          <cell r="T73">
            <v>941970.21695045289</v>
          </cell>
          <cell r="U73">
            <v>916847.03691459214</v>
          </cell>
          <cell r="V73">
            <v>891472.62507837301</v>
          </cell>
          <cell r="W73">
            <v>6764464.4561347924</v>
          </cell>
        </row>
        <row r="74">
          <cell r="J74" t="str">
            <v>Jul</v>
          </cell>
          <cell r="Q74">
            <v>682190.00000000012</v>
          </cell>
          <cell r="R74">
            <v>666353.42998877121</v>
          </cell>
          <cell r="S74">
            <v>650358.49427743</v>
          </cell>
          <cell r="T74">
            <v>634203.60920897534</v>
          </cell>
          <cell r="U74">
            <v>617887.17528983613</v>
          </cell>
          <cell r="V74">
            <v>601407.57703150553</v>
          </cell>
          <cell r="W74">
            <v>3852400.2857965184</v>
          </cell>
        </row>
        <row r="75">
          <cell r="J75" t="str">
            <v>Aug</v>
          </cell>
          <cell r="R75">
            <v>2081750</v>
          </cell>
          <cell r="S75">
            <v>1796045.0482759804</v>
          </cell>
          <cell r="T75">
            <v>1627483.0470347209</v>
          </cell>
          <cell r="U75">
            <v>1587235.4257810488</v>
          </cell>
          <cell r="V75">
            <v>1546585.3283148399</v>
          </cell>
          <cell r="W75">
            <v>8639098.8494065888</v>
          </cell>
        </row>
        <row r="76">
          <cell r="J76" t="str">
            <v>Sep</v>
          </cell>
          <cell r="S76">
            <v>1302477.8499999999</v>
          </cell>
          <cell r="T76">
            <v>1272241.7256657237</v>
          </cell>
          <cell r="U76">
            <v>1241703.2400881045</v>
          </cell>
          <cell r="V76">
            <v>1210859.3696547092</v>
          </cell>
          <cell r="W76">
            <v>5027282.1854085373</v>
          </cell>
        </row>
        <row r="77">
          <cell r="J77" t="str">
            <v>Oct</v>
          </cell>
          <cell r="T77">
            <v>512220.22</v>
          </cell>
          <cell r="U77">
            <v>500329.38112051319</v>
          </cell>
          <cell r="V77">
            <v>488319.63385223155</v>
          </cell>
          <cell r="W77">
            <v>1500869.2349727447</v>
          </cell>
        </row>
        <row r="78">
          <cell r="J78" t="str">
            <v>Nov</v>
          </cell>
          <cell r="U78">
            <v>2829983.15</v>
          </cell>
          <cell r="V78">
            <v>2764287.0443907515</v>
          </cell>
          <cell r="W78">
            <v>5594270.1943907514</v>
          </cell>
        </row>
        <row r="79">
          <cell r="J79" t="str">
            <v>Dec</v>
          </cell>
          <cell r="V79">
            <v>1572610.86</v>
          </cell>
          <cell r="W79">
            <v>1572610.86</v>
          </cell>
        </row>
        <row r="80">
          <cell r="K80">
            <v>1011000.12</v>
          </cell>
          <cell r="L80">
            <v>987530.33277920738</v>
          </cell>
          <cell r="M80">
            <v>963825.96888620697</v>
          </cell>
          <cell r="N80">
            <v>1122884.5613542767</v>
          </cell>
          <cell r="O80">
            <v>1678555.5210512748</v>
          </cell>
          <cell r="P80">
            <v>2676282.7119835569</v>
          </cell>
          <cell r="Q80">
            <v>3291634.2926197965</v>
          </cell>
          <cell r="R80">
            <v>5290040.9190511703</v>
          </cell>
          <cell r="S80">
            <v>6222637.0100228367</v>
          </cell>
          <cell r="T80">
            <v>6451040.5290699452</v>
          </cell>
          <cell r="U80">
            <v>9112477.9722280372</v>
          </cell>
          <cell r="V80">
            <v>10449161.562708462</v>
          </cell>
          <cell r="W80">
            <v>49257071.381754771</v>
          </cell>
        </row>
        <row r="83">
          <cell r="J83" t="str">
            <v>Total Principal</v>
          </cell>
        </row>
        <row r="84">
          <cell r="J84" t="str">
            <v>Existing</v>
          </cell>
          <cell r="K84">
            <v>17172807.007921334</v>
          </cell>
          <cell r="L84">
            <v>17172807.007921334</v>
          </cell>
          <cell r="M84">
            <v>17172807.007921334</v>
          </cell>
          <cell r="N84">
            <v>17172807.007921334</v>
          </cell>
          <cell r="O84">
            <v>17172807.007921334</v>
          </cell>
          <cell r="P84">
            <v>17172807.007921334</v>
          </cell>
          <cell r="Q84">
            <v>17172807.007921334</v>
          </cell>
          <cell r="R84">
            <v>17172807.007921334</v>
          </cell>
          <cell r="S84">
            <v>17172807.007921334</v>
          </cell>
          <cell r="T84">
            <v>17172807.007921334</v>
          </cell>
          <cell r="U84">
            <v>17172807.007921334</v>
          </cell>
          <cell r="V84">
            <v>17172807.007921334</v>
          </cell>
          <cell r="W84">
            <v>206073684.09505603</v>
          </cell>
        </row>
        <row r="85">
          <cell r="J85" t="str">
            <v>New</v>
          </cell>
          <cell r="K85">
            <v>2346966.7220792528</v>
          </cell>
          <cell r="L85">
            <v>2370436.3893000456</v>
          </cell>
          <cell r="M85">
            <v>2394140.753193046</v>
          </cell>
          <cell r="N85">
            <v>2842904.0303001525</v>
          </cell>
          <cell r="O85">
            <v>4227280.9067717912</v>
          </cell>
          <cell r="P85">
            <v>6683841.9363760306</v>
          </cell>
          <cell r="Q85">
            <v>8334337.3568626847</v>
          </cell>
          <cell r="R85">
            <v>36988175.902833253</v>
          </cell>
          <cell r="S85">
            <v>28381670.095289223</v>
          </cell>
          <cell r="T85">
            <v>16854570.684190791</v>
          </cell>
          <cell r="U85">
            <v>23592726.951957546</v>
          </cell>
          <cell r="V85">
            <v>27479361.793386552</v>
          </cell>
          <cell r="W85">
            <v>162496413.52254036</v>
          </cell>
        </row>
        <row r="86">
          <cell r="K86">
            <v>19519773.730000585</v>
          </cell>
          <cell r="L86">
            <v>19543243.397221379</v>
          </cell>
          <cell r="M86">
            <v>19566947.761114381</v>
          </cell>
          <cell r="N86">
            <v>20015711.038221486</v>
          </cell>
          <cell r="O86">
            <v>21400087.914693125</v>
          </cell>
          <cell r="P86">
            <v>23856648.944297366</v>
          </cell>
          <cell r="Q86">
            <v>25507144.364784017</v>
          </cell>
          <cell r="R86">
            <v>54160982.910754591</v>
          </cell>
          <cell r="S86">
            <v>45554477.103210554</v>
          </cell>
          <cell r="T86">
            <v>34027377.692112125</v>
          </cell>
          <cell r="U86">
            <v>40765533.959878877</v>
          </cell>
          <cell r="V86">
            <v>44652168.801307887</v>
          </cell>
          <cell r="W86">
            <v>368570097.61759639</v>
          </cell>
        </row>
        <row r="88">
          <cell r="J88" t="str">
            <v>Total Interest</v>
          </cell>
        </row>
        <row r="89">
          <cell r="J89" t="str">
            <v>Existing</v>
          </cell>
          <cell r="K89">
            <v>10100080.151331268</v>
          </cell>
          <cell r="L89">
            <v>10100080.151331268</v>
          </cell>
          <cell r="M89">
            <v>10100080.151331268</v>
          </cell>
          <cell r="N89">
            <v>10100080.151331268</v>
          </cell>
          <cell r="O89">
            <v>10100080.151331268</v>
          </cell>
          <cell r="P89">
            <v>10100080.151331268</v>
          </cell>
          <cell r="Q89">
            <v>10100080.151331268</v>
          </cell>
          <cell r="R89">
            <v>10100080.151331268</v>
          </cell>
          <cell r="S89">
            <v>10100080.151331268</v>
          </cell>
          <cell r="T89">
            <v>10100080.151331268</v>
          </cell>
          <cell r="U89">
            <v>10100080.151331268</v>
          </cell>
          <cell r="V89">
            <v>10100080.151331268</v>
          </cell>
          <cell r="W89">
            <v>121200961.81597525</v>
          </cell>
        </row>
        <row r="90">
          <cell r="J90" t="str">
            <v>New</v>
          </cell>
          <cell r="K90">
            <v>1011000.12</v>
          </cell>
          <cell r="L90">
            <v>987530.33277920738</v>
          </cell>
          <cell r="M90">
            <v>963825.96888620697</v>
          </cell>
          <cell r="N90">
            <v>1122884.5613542767</v>
          </cell>
          <cell r="O90">
            <v>1678555.5210512748</v>
          </cell>
          <cell r="P90">
            <v>2676282.7119835569</v>
          </cell>
          <cell r="Q90">
            <v>3291634.2926197965</v>
          </cell>
          <cell r="R90">
            <v>5290040.9190511703</v>
          </cell>
          <cell r="S90">
            <v>6222637.0100228367</v>
          </cell>
          <cell r="T90">
            <v>6451040.5290699452</v>
          </cell>
          <cell r="U90">
            <v>9112477.9722280372</v>
          </cell>
          <cell r="V90">
            <v>10449161.562708462</v>
          </cell>
          <cell r="W90">
            <v>49257071.501754768</v>
          </cell>
        </row>
        <row r="91">
          <cell r="K91">
            <v>11111080.271331267</v>
          </cell>
          <cell r="L91">
            <v>11087610.484110476</v>
          </cell>
          <cell r="M91">
            <v>11063906.120217476</v>
          </cell>
          <cell r="N91">
            <v>11222964.712685544</v>
          </cell>
          <cell r="O91">
            <v>11778635.672382543</v>
          </cell>
          <cell r="P91">
            <v>12776362.863314826</v>
          </cell>
          <cell r="Q91">
            <v>13391714.443951065</v>
          </cell>
          <cell r="R91">
            <v>15390121.070382439</v>
          </cell>
          <cell r="S91">
            <v>16322717.161354106</v>
          </cell>
          <cell r="T91">
            <v>16551120.680401213</v>
          </cell>
          <cell r="U91">
            <v>19212558.123559304</v>
          </cell>
          <cell r="V91">
            <v>20549241.714039728</v>
          </cell>
          <cell r="W91">
            <v>170458033.31773001</v>
          </cell>
        </row>
        <row r="92">
          <cell r="J92" t="str">
            <v>PNB</v>
          </cell>
          <cell r="R92">
            <v>79000000</v>
          </cell>
          <cell r="T92">
            <v>29000000</v>
          </cell>
          <cell r="U92">
            <v>85000000</v>
          </cell>
        </row>
        <row r="93">
          <cell r="J93" t="str">
            <v>BPI</v>
          </cell>
          <cell r="P93">
            <v>100000000</v>
          </cell>
          <cell r="S93">
            <v>80000000</v>
          </cell>
        </row>
        <row r="94">
          <cell r="J94" t="str">
            <v>DBP</v>
          </cell>
        </row>
        <row r="95">
          <cell r="J95" t="str">
            <v>Wealthbank</v>
          </cell>
          <cell r="R95">
            <v>50000000</v>
          </cell>
        </row>
      </sheetData>
      <sheetData sheetId="44"/>
      <sheetData sheetId="45"/>
      <sheetData sheetId="46"/>
      <sheetData sheetId="47"/>
      <sheetData sheetId="48"/>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RITERIA3"/>
      <sheetName val="CRITERIA2"/>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_x0000_"/>
      <sheetName val="CF-1"/>
      <sheetName val="CF-2"/>
      <sheetName val="CF-3"/>
      <sheetName val="OS"/>
      <sheetName val="BPR-PL "/>
      <sheetName val="BPR-BS"/>
      <sheetName val="BPR - Conclusion"/>
      <sheetName val="AP110"/>
      <sheetName val="F-1l2"/>
      <sheetName val="F-1"/>
      <sheetName val="F-2"/>
      <sheetName val="F-3"/>
      <sheetName val="F-4"/>
      <sheetName val="F-7"/>
      <sheetName val="F-8(FSA)"/>
      <sheetName val="F-9b"/>
      <sheetName val="F-9c"/>
      <sheetName val="F-21"/>
      <sheetName val="A"/>
      <sheetName val="B"/>
      <sheetName val="RCD-1-1"/>
      <sheetName val="B-10"/>
      <sheetName val="C"/>
      <sheetName val="C-5"/>
      <sheetName val="C-6"/>
      <sheetName val="C-6a"/>
      <sheetName val="L"/>
      <sheetName val="U"/>
      <sheetName val="U-2"/>
      <sheetName val="AA"/>
      <sheetName val="BB"/>
      <sheetName val="BB-1"/>
      <sheetName val="CC"/>
      <sheetName val="FF"/>
      <sheetName val="FF-1"/>
      <sheetName val="FF-2"/>
      <sheetName val="M MM"/>
      <sheetName val="Pnl-10"/>
      <sheetName val="10"/>
      <sheetName val="10-1"/>
      <sheetName val="10-2"/>
      <sheetName val="20"/>
      <sheetName val="20-1"/>
      <sheetName val="30"/>
      <sheetName val="30-Note"/>
      <sheetName val="30a"/>
      <sheetName val="70"/>
      <sheetName val="GiaVL"/>
      <sheetName val="**??"/>
      <sheetName val="Quantity"/>
      <sheetName val="FF-3"/>
      <sheetName val="BPR-PL_"/>
      <sheetName val="BPR_-_Conclusion"/>
      <sheetName val="M_MM"/>
      <sheetName val="table"/>
      <sheetName val="F_1l2"/>
      <sheetName val="F_4"/>
      <sheetName val="F_21"/>
      <sheetName val="B_10"/>
      <sheetName val="C_5"/>
      <sheetName val="C_6"/>
      <sheetName val="C_6a"/>
      <sheetName val="U_2"/>
      <sheetName val="BB_1"/>
      <sheetName val="FF_2"/>
      <sheetName val="Pnl_10"/>
      <sheetName val="30_Note"/>
      <sheetName val="F_8_FSA_"/>
      <sheetName val="F_9c"/>
      <sheetName val="Bal Sheet"/>
      <sheetName val="FSA"/>
      <sheetName val="RATE"/>
      <sheetName val="Sheet3"/>
      <sheetName val="EE97"/>
      <sheetName val="CA Comp"/>
      <sheetName val="Profitability"/>
      <sheetName val="Company Info"/>
      <sheetName val="acs"/>
      <sheetName val="5 Analysis"/>
      <sheetName val="F2-3-6 OH absorbtion rate "/>
      <sheetName val="Gain Loss Calculation"/>
      <sheetName val="1 LeadSchedule"/>
      <sheetName val="BIS LIST-NTH 18"/>
      <sheetName val="FF-2 (1)"/>
      <sheetName val="K1-1 Addn"/>
      <sheetName val="OPI"/>
      <sheetName val="FSL"/>
      <sheetName val="CA"/>
      <sheetName val="AJE"/>
      <sheetName val="**?"/>
      <sheetName val="Set_of_Books"/>
      <sheetName val="CA Sheet"/>
      <sheetName val="PAYROLL"/>
      <sheetName val="Reimbursements"/>
      <sheetName val="jul97"/>
      <sheetName val="BPR"/>
      <sheetName val="K1-1_Addn"/>
      <sheetName val="Bal_Sheet"/>
      <sheetName val="FF-2_(1)"/>
      <sheetName val="CA_Comp"/>
      <sheetName val="Company_Info"/>
      <sheetName val="1_LeadSchedule"/>
      <sheetName val="BIS_LIST-NTH_18"/>
      <sheetName val="F2-3-6_OH_absorbtion_rate_"/>
      <sheetName val="5_Analysis"/>
      <sheetName val="CA_Sheet"/>
      <sheetName val="cashflowcomp"/>
      <sheetName val="APCODE"/>
      <sheetName val="Budget_Headcount"/>
      <sheetName val="U-13-2(disc)"/>
      <sheetName val="Sch4"/>
      <sheetName val="Sch4t"/>
      <sheetName val="__"/>
      <sheetName val="FF-50"/>
      <sheetName val="PRICE @ 31 Jan 2000"/>
      <sheetName val="A-1"/>
      <sheetName val="K4"/>
      <sheetName val="1257"/>
      <sheetName val="Interim --&gt; Top"/>
      <sheetName val="Sch 4"/>
      <sheetName val="acc-notes"/>
      <sheetName val="FF-21(a)"/>
      <sheetName val="AMAL97"/>
      <sheetName val="LOOSECHKLIST"/>
      <sheetName val="FS"/>
      <sheetName val="F-1|F-2"/>
      <sheetName val="FF-2(1)"/>
      <sheetName val="C-1-5"/>
      <sheetName val="FS-AUDIT"/>
      <sheetName val="UB-20"/>
      <sheetName val="U-not use"/>
      <sheetName val="M"/>
      <sheetName val="F-5"/>
      <sheetName val="gl"/>
      <sheetName val="Notes"/>
      <sheetName val="Restrict"/>
      <sheetName val="QMCT"/>
      <sheetName val="SS"/>
      <sheetName val="BPR-PL_1"/>
      <sheetName val="BPR_-_Conclusion1"/>
      <sheetName val="M_MM1"/>
      <sheetName val="Bal_Sheet1"/>
      <sheetName val="FF-2_(1)1"/>
      <sheetName val="5_Analysis1"/>
      <sheetName val="CA_Comp1"/>
      <sheetName val="Company_Info1"/>
      <sheetName val="1_LeadSchedule1"/>
      <sheetName val="BIS_LIST-NTH_181"/>
      <sheetName val="K1-1_Addn1"/>
      <sheetName val="F2-3-6_OH_absorbtion_rate_1"/>
      <sheetName val="Gain_Loss_Calculation"/>
      <sheetName val="CA_Sheet1"/>
      <sheetName val="Sch_4"/>
      <sheetName val="A4|1(f)"/>
      <sheetName val="E1-1ss"/>
      <sheetName val="O1-1CA Sheet"/>
      <sheetName val="Sheet2"/>
      <sheetName val="Chart1"/>
      <sheetName val="F&amp;F-Nov"/>
      <sheetName val="DISP96"/>
      <sheetName val="ADD"/>
      <sheetName val="Sheet1"/>
      <sheetName val="BPCOR DETAILS"/>
      <sheetName val="BPMKT DETAILS"/>
      <sheetName val="2001"/>
      <sheetName val="FF-5"/>
      <sheetName val="FG2540"/>
      <sheetName val="MV"/>
      <sheetName val="Comp equip"/>
      <sheetName val="FFE"/>
      <sheetName val="cc 196 (SYS) (2)"/>
      <sheetName val="BPCOR_DETAILS"/>
      <sheetName val="BPMKT_DETAILS"/>
      <sheetName val="U8"/>
      <sheetName val="U1"/>
      <sheetName val="A3"/>
      <sheetName val="R4"/>
      <sheetName val="F-1 F-2"/>
      <sheetName val="Journal"/>
      <sheetName val="1 LeadSchedule (BI &amp; BII)"/>
      <sheetName val="J3|1-2"/>
      <sheetName val="U10|20"/>
      <sheetName val="____"/>
      <sheetName val="___"/>
      <sheetName val="Price List"/>
      <sheetName val="FF_3"/>
      <sheetName val="Sch 22"/>
      <sheetName val="CONTENTS"/>
      <sheetName val="BP-BP1"/>
      <sheetName val="F-4l5"/>
      <sheetName val="SW-TEO"/>
      <sheetName val="Weights"/>
      <sheetName val="tax-ss"/>
      <sheetName val="TOTAL MAT COSTS"/>
      <sheetName val="11-1"/>
      <sheetName val="FF-6"/>
      <sheetName val="Interim_--&gt;_Top"/>
      <sheetName val="O4"/>
      <sheetName val="HP"/>
      <sheetName val="Disposal"/>
      <sheetName val="SCH B"/>
      <sheetName val="Addition"/>
      <sheetName val="SCH 4 - 7"/>
      <sheetName val="FA_Rec"/>
      <sheetName val="K4. F&amp;F"/>
      <sheetName val="PL04"/>
      <sheetName val="Tb.Q3-03"/>
      <sheetName val="TB.Q3-04"/>
      <sheetName val="LETTER"/>
      <sheetName val="TaxComp"/>
      <sheetName val="4 Analysis"/>
      <sheetName val="A3-1"/>
      <sheetName val="pg8"/>
      <sheetName val="#REF"/>
      <sheetName val="CRA-Detail"/>
      <sheetName val="IBSB-AWP2002(baru)"/>
      <sheetName val="O1-1CA_Sheet"/>
      <sheetName val="Sheet4"/>
      <sheetName val="Cum.91-93"/>
      <sheetName val="Dec 94"/>
      <sheetName val="U1."/>
      <sheetName val="A8"/>
      <sheetName val="Annex"/>
      <sheetName val="**_x005f_x0000__x005f_x0000_"/>
      <sheetName val="**_x005f_x0000_"/>
      <sheetName val="SAP 2009"/>
      <sheetName val="JDE 2010"/>
      <sheetName val="98aug-M2"/>
      <sheetName val="P &amp; L EP"/>
      <sheetName val="P&amp;L JB"/>
      <sheetName val="PA"/>
      <sheetName val="BalSheetBUD"/>
      <sheetName val="A76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Integrated Brickworks S/B</v>
          </cell>
          <cell r="B1" t="str">
            <v>Integrated Brickworks S/B</v>
          </cell>
        </row>
        <row r="2">
          <cell r="A2" t="str">
            <v>31 December 2000</v>
          </cell>
          <cell r="B2" t="str">
            <v>Statutory Audit @ 31 December 2001</v>
          </cell>
        </row>
        <row r="3">
          <cell r="A3" t="str">
            <v>FORM  AP 110</v>
          </cell>
          <cell r="B3" t="str">
            <v>Operating expenses</v>
          </cell>
          <cell r="C3">
            <v>0</v>
          </cell>
          <cell r="D3" t="str">
            <v>Cost and price per unit stated here as at 31 December, 2001.</v>
          </cell>
        </row>
        <row r="4">
          <cell r="A4" t="str">
            <v>Working Balance Sheet - Assets &amp; Liability</v>
          </cell>
        </row>
        <row r="5">
          <cell r="A5" t="str">
            <v>MATERIALITY AND TOLERABLE SCOPE</v>
          </cell>
          <cell r="B5">
            <v>0</v>
          </cell>
          <cell r="C5" t="str">
            <v>Coverage : &gt; 50%</v>
          </cell>
          <cell r="D5" t="str">
            <v>Quantity</v>
          </cell>
          <cell r="E5" t="str">
            <v>Cost per</v>
          </cell>
          <cell r="F5" t="str">
            <v>Sales Price</v>
          </cell>
        </row>
        <row r="6">
          <cell r="B6" t="str">
            <v>Code</v>
          </cell>
          <cell r="C6" t="str">
            <v>Descrpition</v>
          </cell>
          <cell r="D6" t="str">
            <v>Sold</v>
          </cell>
          <cell r="E6" t="str">
            <v>unit</v>
          </cell>
          <cell r="F6" t="str">
            <v>per unit</v>
          </cell>
        </row>
        <row r="7">
          <cell r="C7" t="str">
            <v>31/12/00</v>
          </cell>
          <cell r="D7" t="str">
            <v>per total</v>
          </cell>
          <cell r="E7" t="str">
            <v xml:space="preserve">per </v>
          </cell>
          <cell r="F7" t="str">
            <v>Cost per</v>
          </cell>
        </row>
        <row r="8">
          <cell r="B8" t="str">
            <v>Code</v>
          </cell>
          <cell r="C8" t="str">
            <v>Descrpition</v>
          </cell>
          <cell r="D8" t="str">
            <v>Materiality</v>
          </cell>
          <cell r="E8" t="str">
            <v>Quantity</v>
          </cell>
          <cell r="F8" t="str">
            <v>unit</v>
          </cell>
        </row>
        <row r="9">
          <cell r="A9" t="str">
            <v>Materiality  Benchmark</v>
          </cell>
          <cell r="B9" t="str">
            <v>Amount</v>
          </cell>
          <cell r="C9" t="str">
            <v>Percentage</v>
          </cell>
          <cell r="D9" t="str">
            <v>After Tax</v>
          </cell>
          <cell r="E9" t="str">
            <v>Before Tax</v>
          </cell>
          <cell r="F9" t="str">
            <v>B</v>
          </cell>
        </row>
        <row r="10">
          <cell r="A10" t="str">
            <v>(use most appropriate benchmark)</v>
          </cell>
          <cell r="B10" t="str">
            <v>RM</v>
          </cell>
          <cell r="C10">
            <v>0</v>
          </cell>
          <cell r="D10" t="str">
            <v>RM</v>
          </cell>
          <cell r="E10" t="str">
            <v>RM</v>
          </cell>
          <cell r="F10">
            <v>0</v>
          </cell>
        </row>
        <row r="11">
          <cell r="A11">
            <v>2</v>
          </cell>
          <cell r="B11" t="str">
            <v>12.01</v>
          </cell>
          <cell r="C11" t="str">
            <v>4" Siries Block</v>
          </cell>
          <cell r="D11">
            <v>224878</v>
          </cell>
          <cell r="E11">
            <v>0.7601</v>
          </cell>
          <cell r="F11">
            <v>1.1000000000000001</v>
          </cell>
        </row>
        <row r="12">
          <cell r="A12" t="str">
            <v>Loss After Tax</v>
          </cell>
          <cell r="B12">
            <v>0</v>
          </cell>
          <cell r="C12">
            <v>0.08</v>
          </cell>
          <cell r="D12">
            <v>115545</v>
          </cell>
          <cell r="E12">
            <v>0</v>
          </cell>
          <cell r="F12">
            <v>0.75470000000000004</v>
          </cell>
        </row>
        <row r="13">
          <cell r="A13" t="str">
            <v>Total Revenue</v>
          </cell>
          <cell r="B13">
            <v>7784506</v>
          </cell>
          <cell r="C13" t="str">
            <v>0.25-0.5%</v>
          </cell>
          <cell r="D13">
            <v>96029</v>
          </cell>
          <cell r="E13">
            <v>38922.53</v>
          </cell>
          <cell r="F13">
            <v>0.37740000000000001</v>
          </cell>
        </row>
        <row r="14">
          <cell r="A14" t="str">
            <v>Total Assets</v>
          </cell>
          <cell r="B14" t="str">
            <v>10C.01</v>
          </cell>
          <cell r="C14" t="str">
            <v>0.25-0.5%</v>
          </cell>
          <cell r="D14">
            <v>58950</v>
          </cell>
          <cell r="E14">
            <v>0</v>
          </cell>
          <cell r="F14">
            <v>0.73770000000000002</v>
          </cell>
        </row>
        <row r="15">
          <cell r="A15" t="str">
            <v>Net Assets</v>
          </cell>
          <cell r="B15" t="str">
            <v>15.SS</v>
          </cell>
          <cell r="C15" t="str">
            <v>1-2%</v>
          </cell>
          <cell r="D15">
            <v>17186</v>
          </cell>
          <cell r="E15">
            <v>1.6183000000000001</v>
          </cell>
          <cell r="F15">
            <v>2.5</v>
          </cell>
        </row>
        <row r="16">
          <cell r="A16" t="str">
            <v>Normalised Profit After Tax</v>
          </cell>
          <cell r="B16">
            <v>0</v>
          </cell>
          <cell r="C16" t="str">
            <v>5-10%</v>
          </cell>
          <cell r="D16">
            <v>2100</v>
          </cell>
          <cell r="E16">
            <v>1</v>
          </cell>
          <cell r="F16">
            <v>0.37740000000000001</v>
          </cell>
        </row>
        <row r="17">
          <cell r="A17">
            <v>4</v>
          </cell>
          <cell r="B17">
            <v>12.01</v>
          </cell>
          <cell r="C17" t="str">
            <v>4.5" Full Block (in fill)</v>
          </cell>
          <cell r="D17">
            <v>76263</v>
          </cell>
          <cell r="E17">
            <v>1</v>
          </cell>
          <cell r="F17">
            <v>0.93710000000000004</v>
          </cell>
        </row>
        <row r="18">
          <cell r="A18">
            <v>5</v>
          </cell>
          <cell r="B18">
            <v>12.02</v>
          </cell>
          <cell r="C18" t="str">
            <v>4.5" Half Block</v>
          </cell>
          <cell r="D18">
            <v>35779</v>
          </cell>
          <cell r="E18">
            <v>1</v>
          </cell>
          <cell r="F18">
            <v>0.44890000000000002</v>
          </cell>
        </row>
        <row r="19">
          <cell r="A19">
            <v>6</v>
          </cell>
          <cell r="B19" t="str">
            <v>15DSS</v>
          </cell>
          <cell r="C19" t="str">
            <v>% Expected</v>
          </cell>
          <cell r="D19">
            <v>38160</v>
          </cell>
          <cell r="E19">
            <v>1.6183000000000001</v>
          </cell>
          <cell r="F19">
            <v>2.5</v>
          </cell>
        </row>
        <row r="20">
          <cell r="A20">
            <v>6</v>
          </cell>
          <cell r="B20" t="str">
            <v>Expected</v>
          </cell>
          <cell r="C20" t="str">
            <v>Error to Pre-tax</v>
          </cell>
          <cell r="D20" t="str">
            <v>Tolerable</v>
          </cell>
          <cell r="E20">
            <v>11503</v>
          </cell>
          <cell r="F20">
            <v>0</v>
          </cell>
        </row>
        <row r="21">
          <cell r="A21" t="str">
            <v>Expected no of PAJE</v>
          </cell>
          <cell r="B21" t="str">
            <v>Error (RM)</v>
          </cell>
          <cell r="C21" t="str">
            <v>Materiality</v>
          </cell>
          <cell r="D21" t="str">
            <v>Error %</v>
          </cell>
          <cell r="E21" t="str">
            <v>Tolerable Error</v>
          </cell>
          <cell r="F21">
            <v>1.6183000000000001</v>
          </cell>
        </row>
        <row r="22">
          <cell r="A22" t="str">
            <v>(a) *</v>
          </cell>
          <cell r="B22" t="str">
            <v>(b) *</v>
          </cell>
          <cell r="C22" t="str">
            <v>(b)/Pretax Materiality</v>
          </cell>
          <cell r="D22" t="str">
            <v>(c)</v>
          </cell>
          <cell r="E22" t="str">
            <v>(c) * Pretax Materiality</v>
          </cell>
          <cell r="F22">
            <v>1.6183000000000001</v>
          </cell>
        </row>
        <row r="23">
          <cell r="A23">
            <v>8</v>
          </cell>
          <cell r="B23" t="str">
            <v>20.01</v>
          </cell>
          <cell r="C23" t="str">
            <v>8" full block (Load bearing)</v>
          </cell>
          <cell r="D23">
            <v>31359</v>
          </cell>
          <cell r="E23">
            <v>1.2583</v>
          </cell>
          <cell r="F23">
            <v>1.5</v>
          </cell>
        </row>
        <row r="24">
          <cell r="A24" t="str">
            <v>0-2</v>
          </cell>
          <cell r="B24">
            <v>70500</v>
          </cell>
          <cell r="C24" t="str">
            <v>N/A</v>
          </cell>
          <cell r="D24">
            <v>0.6</v>
          </cell>
          <cell r="E24">
            <v>42300</v>
          </cell>
          <cell r="F24">
            <v>0</v>
          </cell>
        </row>
        <row r="25">
          <cell r="A25" t="str">
            <v>3-5</v>
          </cell>
          <cell r="B25">
            <v>0</v>
          </cell>
          <cell r="C25" t="str">
            <v>&lt;40%</v>
          </cell>
          <cell r="D25">
            <v>0.4</v>
          </cell>
          <cell r="E25">
            <v>0</v>
          </cell>
          <cell r="F25">
            <v>1.29</v>
          </cell>
        </row>
        <row r="26">
          <cell r="A26">
            <v>9</v>
          </cell>
          <cell r="B26">
            <v>0</v>
          </cell>
          <cell r="C26" t="str">
            <v>&lt;40%</v>
          </cell>
          <cell r="D26">
            <v>0.25</v>
          </cell>
          <cell r="E26">
            <v>0</v>
          </cell>
          <cell r="F26">
            <v>0.77059999999999995</v>
          </cell>
        </row>
        <row r="27">
          <cell r="A27" t="str">
            <v>6 or more</v>
          </cell>
          <cell r="B27">
            <v>0</v>
          </cell>
          <cell r="C27" t="str">
            <v>&lt;40%</v>
          </cell>
          <cell r="D27">
            <v>0.25</v>
          </cell>
          <cell r="E27">
            <v>0</v>
          </cell>
          <cell r="F27">
            <v>2.5</v>
          </cell>
        </row>
        <row r="28">
          <cell r="A28">
            <v>10</v>
          </cell>
          <cell r="B28">
            <v>0</v>
          </cell>
          <cell r="C28" t="str">
            <v>&lt;40%</v>
          </cell>
          <cell r="D28">
            <v>0.15</v>
          </cell>
          <cell r="E28">
            <v>0</v>
          </cell>
          <cell r="F28">
            <v>0</v>
          </cell>
        </row>
        <row r="29">
          <cell r="A29">
            <v>10</v>
          </cell>
          <cell r="B29" t="str">
            <v>20R.N</v>
          </cell>
          <cell r="C29" t="str">
            <v xml:space="preserve">8" split angle block </v>
          </cell>
          <cell r="D29" t="str">
            <v>say</v>
          </cell>
          <cell r="E29">
            <v>42000</v>
          </cell>
          <cell r="F29">
            <v>1.7182999999999999</v>
          </cell>
        </row>
        <row r="30">
          <cell r="A30">
            <v>11</v>
          </cell>
          <cell r="B30" t="str">
            <v>20R.S</v>
          </cell>
          <cell r="C30" t="str">
            <v xml:space="preserve">8" split angle standstone pjs960 block </v>
          </cell>
          <cell r="D30">
            <v>92</v>
          </cell>
          <cell r="E30">
            <v>1</v>
          </cell>
          <cell r="F30">
            <v>1.7182999999999999</v>
          </cell>
        </row>
        <row r="31">
          <cell r="A31" t="str">
            <v xml:space="preserve">*  Generally, the expected No of PAJE/ Expected Error is based on the prior year’s experience, however there is a need to </v>
          </cell>
          <cell r="B31" t="str">
            <v>Scope:  10 largest stock values</v>
          </cell>
          <cell r="C31" t="str">
            <v>B</v>
          </cell>
          <cell r="D31">
            <v>940265</v>
          </cell>
          <cell r="E31">
            <v>940265</v>
          </cell>
          <cell r="F31">
            <v>0</v>
          </cell>
        </row>
        <row r="32">
          <cell r="A32" t="str">
            <v xml:space="preserve">   review these scopes based on current year’s operations and performance.</v>
          </cell>
          <cell r="B32" t="str">
            <v>Forex loss</v>
          </cell>
          <cell r="C32" t="str">
            <v>Compac keystone siries</v>
          </cell>
          <cell r="D32">
            <v>0</v>
          </cell>
          <cell r="E32">
            <v>0</v>
          </cell>
          <cell r="F32">
            <v>0</v>
          </cell>
        </row>
        <row r="33">
          <cell r="A33">
            <v>12</v>
          </cell>
          <cell r="B33" t="str">
            <v>K2R.S</v>
          </cell>
          <cell r="C33" t="str">
            <v>ICU Split angle Natgrey Grade A</v>
          </cell>
          <cell r="D33">
            <v>17305</v>
          </cell>
          <cell r="E33">
            <v>1</v>
          </cell>
          <cell r="F33">
            <v>4.1935000000000002</v>
          </cell>
        </row>
        <row r="34">
          <cell r="A34" t="str">
            <v>PAJE scope listing at 10% of materiality</v>
          </cell>
          <cell r="B34" t="str">
            <v>K2R.B</v>
          </cell>
          <cell r="C34" t="str">
            <v>ICU Split angle black</v>
          </cell>
          <cell r="D34">
            <v>441</v>
          </cell>
          <cell r="E34">
            <v>4230</v>
          </cell>
          <cell r="F34">
            <v>4.1935000000000002</v>
          </cell>
        </row>
        <row r="35">
          <cell r="A35" t="str">
            <v>Trade payable / creditors</v>
          </cell>
          <cell r="B35" t="str">
            <v>Hire purchase interest</v>
          </cell>
          <cell r="C35" t="str">
            <v>Say PAJE &gt; RM5,000.</v>
          </cell>
          <cell r="D35">
            <v>0</v>
          </cell>
          <cell r="E35">
            <v>0</v>
          </cell>
          <cell r="F35">
            <v>0</v>
          </cell>
        </row>
        <row r="36">
          <cell r="A36">
            <v>14</v>
          </cell>
          <cell r="B36" t="str">
            <v>Interest payable - KGB</v>
          </cell>
          <cell r="C36" t="str">
            <v>Raw Materials</v>
          </cell>
          <cell r="D36">
            <v>550485</v>
          </cell>
          <cell r="E36">
            <v>550485</v>
          </cell>
          <cell r="F36">
            <v>0</v>
          </cell>
        </row>
        <row r="37">
          <cell r="A37" t="str">
            <v>PRJE scope listing at 1% of total assets</v>
          </cell>
          <cell r="B37" t="str">
            <v>TM-Cement</v>
          </cell>
          <cell r="C37" t="str">
            <v>Say PRJE &gt; RM361,000.</v>
          </cell>
          <cell r="D37">
            <v>140.72999999999999</v>
          </cell>
          <cell r="E37">
            <v>1</v>
          </cell>
          <cell r="F37">
            <v>140.72999999999999</v>
          </cell>
        </row>
        <row r="38">
          <cell r="A38">
            <v>15</v>
          </cell>
          <cell r="B38" t="str">
            <v>Pigment</v>
          </cell>
          <cell r="C38" t="str">
            <v>Elmulsion KR2-200Lit/Drum</v>
          </cell>
          <cell r="D38">
            <v>400</v>
          </cell>
          <cell r="E38">
            <v>1</v>
          </cell>
          <cell r="F38">
            <v>40</v>
          </cell>
        </row>
        <row r="39">
          <cell r="A39" t="str">
            <v>PRJE LISTING SCOPE</v>
          </cell>
          <cell r="B39" t="str">
            <v>Tim-Pallet</v>
          </cell>
          <cell r="C39" t="str">
            <v>TPI Sz 46x39x4.5 - Bt. Cave</v>
          </cell>
          <cell r="D39">
            <v>1097</v>
          </cell>
          <cell r="E39">
            <v>1</v>
          </cell>
          <cell r="F39">
            <v>11</v>
          </cell>
        </row>
        <row r="40">
          <cell r="A40">
            <v>17</v>
          </cell>
          <cell r="B40" t="str">
            <v>Tim-Pallet</v>
          </cell>
          <cell r="C40" t="str">
            <v>TPI Sz 46x39x4.5 - Tnh Merah</v>
          </cell>
          <cell r="D40">
            <v>11990</v>
          </cell>
          <cell r="E40">
            <v>1</v>
          </cell>
          <cell r="F40">
            <v>11</v>
          </cell>
        </row>
        <row r="41">
          <cell r="A41">
            <v>18</v>
          </cell>
          <cell r="B41" t="str">
            <v>Lubricant</v>
          </cell>
          <cell r="C41" t="str">
            <v>Diesel-Skid Tank 2 - P# 2</v>
          </cell>
          <cell r="D41">
            <v>10500</v>
          </cell>
          <cell r="E41">
            <v>1</v>
          </cell>
          <cell r="F41">
            <v>0.57999999999999996</v>
          </cell>
        </row>
        <row r="42">
          <cell r="A42">
            <v>18</v>
          </cell>
          <cell r="B42" t="str">
            <v>K2R.B</v>
          </cell>
          <cell r="C42" t="str">
            <v>TOTAL ASSETS</v>
          </cell>
          <cell r="D42" t="str">
            <v>%</v>
          </cell>
          <cell r="E42" t="str">
            <v>PRJE SCOPE</v>
          </cell>
          <cell r="F42">
            <v>4.1935000000000002</v>
          </cell>
        </row>
        <row r="43">
          <cell r="C43" t="str">
            <v>RM</v>
          </cell>
          <cell r="D43">
            <v>0</v>
          </cell>
          <cell r="E43" t="str">
            <v>RM</v>
          </cell>
          <cell r="F43">
            <v>0</v>
          </cell>
        </row>
        <row r="45">
          <cell r="A45" t="str">
            <v>PRJE  Scope</v>
          </cell>
          <cell r="B45">
            <v>0</v>
          </cell>
          <cell r="C45">
            <v>36143318</v>
          </cell>
          <cell r="D45">
            <v>0.01</v>
          </cell>
          <cell r="E45">
            <v>361433.18</v>
          </cell>
          <cell r="F45">
            <v>0</v>
          </cell>
        </row>
        <row r="46">
          <cell r="D46" t="str">
            <v>As per NRV test - per here</v>
          </cell>
          <cell r="E46">
            <v>0</v>
          </cell>
          <cell r="F46">
            <v>0</v>
          </cell>
        </row>
        <row r="47">
          <cell r="D47" t="str">
            <v>say</v>
          </cell>
          <cell r="E47">
            <v>361000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CRC info sheet"/>
      <sheetName val="manpower dbase"/>
      <sheetName val="crc database"/>
      <sheetName val="BUDGET SUMMARY"/>
      <sheetName val="CAPEX WORKSHEET"/>
      <sheetName val="Definitions"/>
      <sheetName val="People Cost"/>
      <sheetName val="Uniform"/>
      <sheetName val="Food &amp; Subsistence"/>
      <sheetName val="Transportation"/>
      <sheetName val="domestic_travel dbase"/>
      <sheetName val="Domestic Travel"/>
      <sheetName val="Domestic Travel Incentive"/>
      <sheetName val="Foreign Travel"/>
      <sheetName val="Gas &amp; Oil"/>
      <sheetName val="gas dtb"/>
      <sheetName val="Books &amp; Subscriptions"/>
      <sheetName val="Photocopying &amp; Printing"/>
      <sheetName val="Housekeeping Supplies"/>
      <sheetName val="Ofc Supplies"/>
      <sheetName val="ofc supplies database"/>
      <sheetName val="Ofc Supplies - Emp Comp Loan"/>
      <sheetName val="Farm Supplies"/>
      <sheetName val="Postage"/>
      <sheetName val="Telephone-Landline"/>
      <sheetName val="Radio"/>
      <sheetName val="Cellphone"/>
      <sheetName val="cellphone dbase"/>
      <sheetName val="Internet"/>
      <sheetName val="Meetings &amp; Conferences"/>
      <sheetName val="Electricity"/>
      <sheetName val="Water"/>
      <sheetName val="Janitorial"/>
      <sheetName val="Security"/>
      <sheetName val="Manpower Services"/>
      <sheetName val="Rental Exp"/>
      <sheetName val="Rent-Vehicle_database"/>
      <sheetName val="Rental Exp-Vehicle"/>
      <sheetName val="Rental Exp-Employee Car Plan"/>
      <sheetName val="car plan dbase"/>
      <sheetName val="Cusa Expense"/>
      <sheetName val="Rep &amp; Maint"/>
      <sheetName val="Rep &amp; Maint-Employee Car Plan"/>
      <sheetName val="Rep-car dtb"/>
      <sheetName val="Rep &amp; Maint-Memparks"/>
      <sheetName val="Audit Fees"/>
      <sheetName val="Legal Fees"/>
      <sheetName val="PMF"/>
      <sheetName val="Prof Fee-Others"/>
      <sheetName val="PMF-Interco"/>
      <sheetName val="Service Fee"/>
      <sheetName val="Car Insurance"/>
      <sheetName val="Insurance-Emp Car Plan"/>
      <sheetName val="insurance dtb"/>
      <sheetName val="Property Insurance"/>
      <sheetName val="Business Permit"/>
      <sheetName val="Car Registration"/>
      <sheetName val="car reg dbase"/>
      <sheetName val="Car Registration-Emp Car Plan"/>
      <sheetName val="emp car reg dbase"/>
      <sheetName val="BIR Registration"/>
      <sheetName val="Documentary Stamps"/>
      <sheetName val="Realty &amp; Other Fixed Taxes"/>
      <sheetName val="Land Processing Fee"/>
      <sheetName val="Fringe Benefit Tax"/>
      <sheetName val="Other Taxes &amp; Licenses"/>
      <sheetName val="Notarial Expenses"/>
      <sheetName val="Membership"/>
      <sheetName val="Bank Charges"/>
      <sheetName val="ADA"/>
      <sheetName val="Miscellaneous"/>
      <sheetName val="Company Gifts"/>
      <sheetName val="Rep &amp; Ent"/>
      <sheetName val="Dontn &amp; Contrbtn"/>
      <sheetName val="Commission-Variable"/>
      <sheetName val="Commission-Fixed"/>
      <sheetName val="Ads &amp; Promo"/>
      <sheetName val="Events (Selling)"/>
      <sheetName val="Sponsorship_Exhibits"/>
      <sheetName val="Press_Media"/>
      <sheetName val="2007A_2008LE"/>
      <sheetName val="table"/>
      <sheetName val="CRC_info_sheet"/>
      <sheetName val="manpower_dbase"/>
      <sheetName val="crc_database"/>
      <sheetName val="BUDGET_SUMMARY"/>
      <sheetName val="CAPEX_WORKSHEET"/>
      <sheetName val="People_Cost"/>
      <sheetName val="Food_&amp;_Subsistence"/>
      <sheetName val="domestic_travel_dbase"/>
      <sheetName val="Domestic_Travel"/>
      <sheetName val="Domestic_Travel_Incentive"/>
      <sheetName val="Foreign_Travel"/>
      <sheetName val="Gas_&amp;_Oil"/>
      <sheetName val="gas_dtb"/>
      <sheetName val="Books_&amp;_Subscriptions"/>
      <sheetName val="Photocopying_&amp;_Printing"/>
      <sheetName val="Housekeeping_Supplies"/>
      <sheetName val="Ofc_Supplies"/>
      <sheetName val="ofc_supplies_database"/>
      <sheetName val="Ofc_Supplies_-_Emp_Comp_Loan"/>
      <sheetName val="Farm_Supplies"/>
      <sheetName val="cellphone_dbase"/>
      <sheetName val="Meetings_&amp;_Conferences"/>
      <sheetName val="Manpower_Services"/>
      <sheetName val="Rental_Exp"/>
      <sheetName val="Rental_Exp-Vehicle"/>
      <sheetName val="Rental_Exp-Employee_Car_Plan"/>
      <sheetName val="car_plan_dbase"/>
      <sheetName val="Cusa_Expense"/>
      <sheetName val="Rep_&amp;_Maint"/>
      <sheetName val="Rep_&amp;_Maint-Employee_Car_Plan"/>
      <sheetName val="Rep-car_dtb"/>
      <sheetName val="Rep_&amp;_Maint-Memparks"/>
      <sheetName val="Audit_Fees"/>
      <sheetName val="Legal_Fees"/>
      <sheetName val="Prof_Fee-Others"/>
      <sheetName val="Service_Fee"/>
      <sheetName val="Car_Insurance"/>
      <sheetName val="Insurance-Emp_Car_Plan"/>
      <sheetName val="insurance_dtb"/>
      <sheetName val="Property_Insurance"/>
      <sheetName val="Business_Permit"/>
      <sheetName val="Car_Registration"/>
      <sheetName val="car_reg_dbase"/>
      <sheetName val="Car_Registration-Emp_Car_Plan"/>
      <sheetName val="emp_car_reg_dbase"/>
      <sheetName val="BIR_Registration"/>
      <sheetName val="Documentary_Stamps"/>
      <sheetName val="Realty_&amp;_Other_Fixed_Taxes"/>
      <sheetName val="Land_Processing_Fee"/>
      <sheetName val="Fringe_Benefit_Tax"/>
      <sheetName val="Other_Taxes_&amp;_Licenses"/>
      <sheetName val="Notarial_Expenses"/>
      <sheetName val="Bank_Charges"/>
      <sheetName val="Company_Gifts"/>
      <sheetName val="Rep_&amp;_Ent"/>
      <sheetName val="Dontn_&amp;_Contrbtn"/>
      <sheetName val="Ads_&amp;_Promo"/>
      <sheetName val="Events_(Selling)"/>
      <sheetName val="Ads &amp; Promo:Events (Selling)"/>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sheetData sheetId="13"/>
      <sheetData sheetId="14"/>
      <sheetData sheetId="15"/>
      <sheetData sheetId="16" refreshError="1"/>
      <sheetData sheetId="17"/>
      <sheetData sheetId="18"/>
      <sheetData sheetId="19"/>
      <sheetData sheetId="20"/>
      <sheetData sheetId="21" refreshError="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RITERIA1"/>
      <sheetName val="PARENT_ITR RECON"/>
      <sheetName val="Analytics"/>
      <sheetName val="PARENT_ITR EXPENSES"/>
      <sheetName val="WPL_AUDITED_PARENT"/>
      <sheetName val="PFDs"/>
      <sheetName val="AUDITED_TAX_PARENT"/>
      <sheetName val="AUDIT TAX_FINAL"/>
      <sheetName val="REVISED PE,TE,SAD"/>
      <sheetName val="CONSO_BS "/>
      <sheetName val="CONSO_IS"/>
      <sheetName val="WBS_AUDITED_CONSO"/>
      <sheetName val="INVESTMENTS"/>
      <sheetName val="SUMMARY OF PAJES"/>
      <sheetName val="WPL_AUDITED_CONSO"/>
      <sheetName val="AUDIT_ADJ_CONSO"/>
      <sheetName val="AUDITED_CASH FLOW_CONSO"/>
      <sheetName val="WBS_AUDITED_PARENT"/>
      <sheetName val="AUDITED_ BS_PARENT"/>
      <sheetName val="AUDITED_IS_PARENT"/>
      <sheetName val="AUDITED_CASHFLOW_PARENT"/>
      <sheetName val="FINAL_DIT_parent"/>
      <sheetName val="K-roll_PARENT"/>
      <sheetName val="CLIENT_ADJ_CONSO"/>
      <sheetName val="FARDC_WBS"/>
      <sheetName val="_FARDC_WPL"/>
      <sheetName val="FARDC_WPL_final"/>
      <sheetName val="_FARDC_WBS_final"/>
      <sheetName val="CLIENT_CONSO_CF"/>
      <sheetName val="CLIENT_ADJ_PARENT"/>
      <sheetName val="PARENT RESTATED CF"/>
      <sheetName val="CLIENT_BS"/>
      <sheetName val="CLIENT_BS details"/>
      <sheetName val="CLIENT_IS details"/>
      <sheetName val="CLIENT_IS"/>
      <sheetName val="CLIENT_PSC_ADJ"/>
      <sheetName val="CLIENT_DIT_PSC"/>
      <sheetName val="CLIENT_FARDC_adj"/>
      <sheetName val="CLIENT_PSC_WPL"/>
      <sheetName val="CLIENT_PSC_WBS"/>
      <sheetName val="CLIENT_CPDC_WPL"/>
      <sheetName val="CLIENT_CPDC_WBS"/>
      <sheetName val="CODE"/>
      <sheetName val="CLIENT_CPDC_ADJ"/>
      <sheetName val="CLIENT_PCI_ADJ"/>
      <sheetName val="CLIENT_DIT_CPDC"/>
      <sheetName val="CLIENT_DIT_parent"/>
      <sheetName val="WBS_CLIENT_CONSO"/>
      <sheetName val="RWROWS2"/>
      <sheetName val="RWRACCTS2"/>
      <sheetName val="RWRCALCS2"/>
      <sheetName val="RWCOLUMNS2"/>
      <sheetName val="RWCACCTS2"/>
      <sheetName val="RWCCALCS2"/>
      <sheetName val="RWCEXCEPTIONS2"/>
      <sheetName val="RWCEXCEPTIONSDETAIL2"/>
      <sheetName val="RWROWORDERS2"/>
      <sheetName val="RWCONTENTS2"/>
      <sheetName val="RWDISPLAYROWS2"/>
      <sheetName val="RWDISPLAYCOLS2"/>
      <sheetName val="RWCONTROLVALUES2"/>
      <sheetName val="RWREPORT2"/>
      <sheetName val="CRITERIA2"/>
      <sheetName val="CLIENT_mcit-psc"/>
      <sheetName val="WPL_CONSO_CLIENT"/>
      <sheetName val="FSA"/>
      <sheetName val="SUM-tax"/>
      <sheetName val="CLIENT_TAX_CONSO_1"/>
      <sheetName val="K-roll_final_CONSO"/>
      <sheetName val="AUDIT TAX_FINAL (2)"/>
      <sheetName val="loan amort"/>
      <sheetName val="CLIENT_due to_from"/>
      <sheetName val="mancom_is"/>
      <sheetName val="ISperQrtr"/>
      <sheetName val="mancom_bs"/>
      <sheetName val="COMP_Month"/>
      <sheetName val="mda"/>
      <sheetName val="COMP_Qtr"/>
      <sheetName val="samestore"/>
      <sheetName val="MALL"/>
      <sheetName val="finanHighlights"/>
      <sheetName val="WPL_AUDITED_PARENT_04"/>
      <sheetName val="WBS_AUDITED_PARENT_04"/>
      <sheetName val="WBS_AUDITED_CONSO_04"/>
      <sheetName val="WPL_AUDITED_CONSO_04"/>
      <sheetName val="AUDITED_ BS_PARENT_04"/>
      <sheetName val="AUDITED_CASHFLOW_PARENT_04"/>
      <sheetName val="AUDITED_IS_PARENT_04"/>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v>1</v>
          </cell>
          <cell r="L1">
            <v>4</v>
          </cell>
        </row>
        <row r="2">
          <cell r="B2" t="str">
            <v>SM SUPERMALLS</v>
          </cell>
        </row>
        <row r="3">
          <cell r="J3">
            <v>7</v>
          </cell>
          <cell r="L3">
            <v>7</v>
          </cell>
        </row>
        <row r="4">
          <cell r="B4" t="str">
            <v>SMPHI Calendar</v>
          </cell>
          <cell r="D4" t="str">
            <v>SUB ACCOUNT</v>
          </cell>
        </row>
        <row r="6">
          <cell r="B6" t="str">
            <v>General Ledger Super User</v>
          </cell>
        </row>
        <row r="18">
          <cell r="B18">
            <v>4</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row r="4">
          <cell r="H4" t="str">
            <v>SUB ACCOUNT</v>
          </cell>
          <cell r="J4">
            <v>6</v>
          </cell>
        </row>
        <row r="15">
          <cell r="B15">
            <v>1056</v>
          </cell>
        </row>
        <row r="17">
          <cell r="B17" t="str">
            <v>-</v>
          </cell>
        </row>
        <row r="21">
          <cell r="B21" t="str">
            <v>No</v>
          </cell>
        </row>
        <row r="23">
          <cell r="B23" t="str">
            <v>,</v>
          </cell>
        </row>
      </sheetData>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sheetData sheetId="96"/>
      <sheetData sheetId="97"/>
      <sheetData sheetId="98"/>
      <sheetData sheetId="99"/>
      <sheetData sheetId="10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D"/>
    </sheetNames>
    <sheetDataSet>
      <sheetData sheetId="0">
        <row r="36">
          <cell r="E36">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RITERIA2"/>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 P&amp;L (2)"/>
      <sheetName val="revenues by sbu (revised)"/>
      <sheetName val="revenues by sbu"/>
      <sheetName val="sales"/>
      <sheetName val="Conso P&amp;L (trading+hotel) ppt "/>
      <sheetName val="Conso P&amp;L (expanded) ppt "/>
      <sheetName val="Conso P&amp;L (trading) ppt"/>
      <sheetName val="Conso P&amp;L (trading) (2)"/>
      <sheetName val="Conso P&amp;L (trading)"/>
      <sheetName val="market summary"/>
      <sheetName val="equity summary"/>
      <sheetName val="summary"/>
      <sheetName val="Conso P&amp;L"/>
      <sheetName val="Conso Cashflows"/>
      <sheetName val="HO P&amp;L "/>
      <sheetName val="Beach resort P&amp;L"/>
      <sheetName val="Resorts P&amp;L"/>
      <sheetName val="Urban Conso P&amp;L"/>
      <sheetName val="Urban 2 P&amp;L"/>
      <sheetName val="Urban 1 P&amp;L"/>
      <sheetName val="VisMin P&amp;L"/>
      <sheetName val="Hometown P&amp;L"/>
      <sheetName val="Hotels P&amp;L"/>
      <sheetName val="Resorts Cashflows"/>
      <sheetName val="Hometown Cashflows "/>
      <sheetName val="Hotels Cashflows"/>
      <sheetName val="VisMin Cashflows"/>
      <sheetName val="Urban Conso Cashflows"/>
      <sheetName val="Urban 2 Cashflows"/>
      <sheetName val="Urban 1 Cashflows"/>
      <sheetName val="HO Cashflows"/>
      <sheetName val="beach resort Cashflows "/>
      <sheetName val="Conso Cashflows (trading+hotel)"/>
      <sheetName val="Conso Cashflows (trading) ppt"/>
      <sheetName val="Conso Cashflows (trading)"/>
      <sheetName val="Sheet3"/>
      <sheetName val="SALES BY STATUS"/>
      <sheetName val="Chart of Accounts"/>
      <sheetName val="PAYORS"/>
      <sheetName val="TTYPE"/>
      <sheetName val="Control"/>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row r="71">
          <cell r="C71">
            <v>1.5</v>
          </cell>
        </row>
        <row r="72">
          <cell r="C72">
            <v>2</v>
          </cell>
        </row>
      </sheetData>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refreshError="1"/>
      <sheetData sheetId="29" refreshError="1"/>
      <sheetData sheetId="30" refreshError="1"/>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sept10 gpm (3)"/>
      <sheetName val="15sept10 gpm (2)"/>
      <sheetName val="Summary_Woodridge"/>
      <sheetName val="P&amp;L Highlights"/>
      <sheetName val="Assumptions"/>
      <sheetName val="Monthly"/>
      <sheetName val="Annual"/>
      <sheetName val="Landowner"/>
      <sheetName val="Schedules"/>
      <sheetName val="Mar'15 turnover to buyers"/>
      <sheetName val="take-up sched"/>
      <sheetName val="SUMMARY"/>
      <sheetName val="EXCOM"/>
      <sheetName val="15sept10 gpm"/>
      <sheetName val="COMM"/>
      <sheetName val="table"/>
      <sheetName val="n7-e"/>
    </sheetNames>
    <sheetDataSet>
      <sheetData sheetId="0"/>
      <sheetData sheetId="1"/>
      <sheetData sheetId="2"/>
      <sheetData sheetId="3"/>
      <sheetData sheetId="4">
        <row r="132">
          <cell r="E132">
            <v>0</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3"/>
      <sheetName val="C"/>
      <sheetName val="C-1"/>
      <sheetName val="C-2"/>
      <sheetName val="31"/>
      <sheetName val="10-2"/>
      <sheetName val="10"/>
      <sheetName val="20"/>
      <sheetName val="30"/>
      <sheetName val="Companies"/>
    </sheetNames>
    <sheetDataSet>
      <sheetData sheetId="0" refreshError="1">
        <row r="1">
          <cell r="A1" t="str">
            <v>Excellent Strategy Sdn. Bhd.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XXX0"/>
      <sheetName val="XXX1"/>
      <sheetName val="XXX2"/>
      <sheetName val="P&amp;L"/>
      <sheetName val="BS"/>
      <sheetName val="CFREV"/>
      <sheetName val="surety"/>
      <sheetName val="perf"/>
      <sheetName val="sub"/>
      <sheetName val="p&amp;l-redev"/>
      <sheetName val="dtb"/>
      <sheetName val="afis"/>
      <sheetName val="sl"/>
      <sheetName val="gl"/>
      <sheetName val="jv10-adj"/>
      <sheetName val="jv09-adj"/>
      <sheetName val="jv08-deprec"/>
      <sheetName val="jv07-accrual"/>
      <sheetName val="jv06-revenue"/>
      <sheetName val="jv05-sa"/>
      <sheetName val="jv04-cip"/>
      <sheetName val="jv03-hoc"/>
      <sheetName val="jv02-apv"/>
      <sheetName val="jv01-mrr"/>
      <sheetName val="subcon"/>
      <sheetName val="lapsing"/>
      <sheetName val="mrr"/>
      <sheetName val="apv"/>
      <sheetName val="input"/>
      <sheetName val="hoc"/>
      <sheetName val="recl"/>
      <sheetName val="revenue"/>
      <sheetName val="Land Dev't. Ph-1"/>
      <sheetName val="4-Lane bridge"/>
      <sheetName val="Hac.Lots"/>
      <sheetName val="Res.Lots"/>
      <sheetName val="Spine Road"/>
      <sheetName val="Land_Dev't__Ph-1"/>
      <sheetName val="4-Lane_bridge"/>
      <sheetName val="Hac_Lots"/>
      <sheetName val="Res_Lots"/>
      <sheetName val="Spine_Road"/>
      <sheetName val="PH 5"/>
      <sheetName val="Bill 3 -BPO1"/>
      <sheetName val="Bill 3 -BPO2"/>
      <sheetName val="Bill 2 -RETAIL"/>
      <sheetName val="PH_5"/>
      <sheetName val="Sheet3"/>
      <sheetName val="Land_Dev't__Ph-11"/>
      <sheetName val="4-Lane_bridge1"/>
      <sheetName val="Hac_Lots1"/>
      <sheetName val="Res_Lots1"/>
      <sheetName val="Spine_Road1"/>
      <sheetName val="PH_51"/>
      <sheetName val="Bill_3_-BPO1"/>
      <sheetName val="Bill_3_-BPO2"/>
      <sheetName val="Bill_2_-RETAIL"/>
      <sheetName val="MATERIAL'S PRICE"/>
      <sheetName val="GAE8'97"/>
      <sheetName val="Benefits"/>
      <sheetName val="bar chart-rev"/>
      <sheetName val="BOQ"/>
      <sheetName val="derive"/>
      <sheetName val="Schedule S-Curve Revision#3"/>
      <sheetName val="Land_Dev't__Ph-12"/>
      <sheetName val="4-Lane_bridge2"/>
      <sheetName val="Hac_Lots2"/>
      <sheetName val="Res_Lots2"/>
      <sheetName val="Spine_Road2"/>
      <sheetName val="PH_52"/>
      <sheetName val="Bill_3_-BPO11"/>
      <sheetName val="Bill_3_-BPO21"/>
      <sheetName val="Bill_2_-RETAIL1"/>
      <sheetName val="MATERIAL'S_PRICE"/>
      <sheetName val="bar_chart-rev"/>
      <sheetName val="Schedule_S-Curve_Revision#3"/>
      <sheetName val="금액내역서"/>
      <sheetName val="UTILITIES"/>
      <sheetName val="30231303"/>
      <sheetName val=""/>
      <sheetName val="B2A"/>
      <sheetName val="B3A"/>
      <sheetName val="B3B"/>
      <sheetName val="B3C (2)"/>
      <sheetName val="B3C"/>
      <sheetName val="B3D"/>
      <sheetName val="B3E"/>
      <sheetName val="B3F"/>
      <sheetName val="B3G"/>
      <sheetName val="B2B"/>
      <sheetName val="B2C (2)"/>
      <sheetName val="B2C"/>
      <sheetName val="B2D"/>
      <sheetName val="B2E"/>
      <sheetName val="B2F"/>
      <sheetName val="B2G"/>
      <sheetName val="Prelims."/>
      <sheetName val="Existing Conditions"/>
      <sheetName val="Scaffoldings (Attendance)"/>
      <sheetName val="RMC Budget"/>
      <sheetName val="FW Budget"/>
      <sheetName val="#REF!"/>
      <sheetName val="data"/>
      <sheetName val="TABULATION"/>
      <sheetName val="det"/>
      <sheetName val="deriv"/>
      <sheetName val="bill 2"/>
      <sheetName val="QUOTATION"/>
      <sheetName val="CONTRACT-SUM"/>
      <sheetName val="worksheet"/>
      <sheetName val="Bill3-Basement"/>
      <sheetName val="2.223M_due to adj prof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8">
          <cell r="H8" t="str">
            <v>PARTICULARS</v>
          </cell>
          <cell r="I8" t="str">
            <v>TIN#</v>
          </cell>
        </row>
      </sheetData>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C Info Sheet"/>
      <sheetName val="CAPEX Summary"/>
      <sheetName val="capex database"/>
      <sheetName val="CRC database"/>
      <sheetName val="manpower"/>
      <sheetName val="definition"/>
      <sheetName val="land"/>
      <sheetName val="land improvement"/>
      <sheetName val="building"/>
      <sheetName val="building improvements"/>
      <sheetName val="FF database"/>
      <sheetName val="F&amp;F"/>
      <sheetName val="OE database"/>
      <sheetName val="office equipment"/>
      <sheetName val="transportation"/>
      <sheetName val="SALES PER MONTH (2008)"/>
      <sheetName val="SALES BY STATUS"/>
      <sheetName val="loans"/>
      <sheetName val="CRC_Info_Sheet"/>
      <sheetName val="CAPEX_Summary"/>
      <sheetName val="capex_database"/>
      <sheetName val="CRC_database"/>
      <sheetName val="land_improvement"/>
      <sheetName val="building_improvements"/>
      <sheetName val="FF_database"/>
      <sheetName val="OE_database"/>
      <sheetName val="office_equipment"/>
      <sheetName val="SALES_PER_MONTH_(2008)"/>
      <sheetName val="SALES_BY_STATUS"/>
      <sheetName val="703-4100-117446"/>
      <sheetName val="222-115176"/>
      <sheetName val="703-114847"/>
    </sheetNames>
    <sheetDataSet>
      <sheetData sheetId="0" refreshError="1"/>
      <sheetData sheetId="1" refreshError="1"/>
      <sheetData sheetId="2" refreshError="1"/>
      <sheetData sheetId="3" refreshError="1">
        <row r="7">
          <cell r="B7">
            <v>0</v>
          </cell>
        </row>
        <row r="8">
          <cell r="B8" t="str">
            <v>Board of Directors</v>
          </cell>
        </row>
        <row r="9">
          <cell r="B9" t="str">
            <v>OCEO</v>
          </cell>
        </row>
        <row r="10">
          <cell r="B10" t="str">
            <v>HROD</v>
          </cell>
        </row>
        <row r="11">
          <cell r="B11" t="str">
            <v>OCOO</v>
          </cell>
        </row>
        <row r="12">
          <cell r="B12" t="str">
            <v>Corporate Business Devt</v>
          </cell>
        </row>
        <row r="13">
          <cell r="B13" t="str">
            <v>Landco Homes</v>
          </cell>
        </row>
        <row r="14">
          <cell r="B14" t="str">
            <v>Property Management/Operations</v>
          </cell>
        </row>
        <row r="15">
          <cell r="B15" t="str">
            <v>Corporate Technical</v>
          </cell>
        </row>
        <row r="16">
          <cell r="B16" t="str">
            <v>OCFO</v>
          </cell>
        </row>
        <row r="17">
          <cell r="B17" t="str">
            <v>Treasury</v>
          </cell>
        </row>
        <row r="18">
          <cell r="B18" t="str">
            <v>Corporate Finance</v>
          </cell>
        </row>
        <row r="19">
          <cell r="B19" t="str">
            <v>General Accounting</v>
          </cell>
        </row>
        <row r="20">
          <cell r="B20" t="str">
            <v>Systems &amp; Process</v>
          </cell>
        </row>
        <row r="21">
          <cell r="B21" t="str">
            <v>Corporate IT</v>
          </cell>
        </row>
        <row r="22">
          <cell r="B22" t="str">
            <v>Tax Planning &amp; Compliance</v>
          </cell>
        </row>
        <row r="23">
          <cell r="B23" t="str">
            <v>Purchasing &amp; Admin</v>
          </cell>
        </row>
        <row r="24">
          <cell r="B24" t="str">
            <v>Sales Administration</v>
          </cell>
        </row>
        <row r="25">
          <cell r="B25" t="str">
            <v>OCMO</v>
          </cell>
        </row>
        <row r="26">
          <cell r="B26" t="str">
            <v>Corporate Communications</v>
          </cell>
        </row>
        <row r="27">
          <cell r="B27" t="str">
            <v>Marketing Services</v>
          </cell>
        </row>
        <row r="28">
          <cell r="B28" t="str">
            <v>Sales In-house</v>
          </cell>
        </row>
        <row r="29">
          <cell r="B29" t="str">
            <v>Sales Elite</v>
          </cell>
        </row>
        <row r="30">
          <cell r="B30" t="str">
            <v>Sales Allied</v>
          </cell>
        </row>
        <row r="31">
          <cell r="B31" t="str">
            <v>Sales International</v>
          </cell>
        </row>
        <row r="32">
          <cell r="B32" t="str">
            <v>OSBU-RR- Office of the SBU Head</v>
          </cell>
        </row>
        <row r="33">
          <cell r="B33" t="str">
            <v>OSBU-RR -  Business Development (Default)</v>
          </cell>
        </row>
        <row r="34">
          <cell r="B34" t="str">
            <v>OSBU-RR -  Finance (Default)</v>
          </cell>
        </row>
        <row r="35">
          <cell r="B35" t="str">
            <v>OSBU-RR -  Sales Administration (Default)</v>
          </cell>
        </row>
        <row r="36">
          <cell r="B36" t="str">
            <v>OSBU-RR -  Property Management (Default)</v>
          </cell>
        </row>
        <row r="37">
          <cell r="B37" t="str">
            <v>OSBU-RR -  Technical/ Construction (Default)</v>
          </cell>
        </row>
        <row r="38">
          <cell r="B38" t="str">
            <v>OSBU-RR-PF -  Business Development</v>
          </cell>
        </row>
        <row r="39">
          <cell r="B39" t="str">
            <v>OSBU-RR-PF -  Finance</v>
          </cell>
        </row>
        <row r="40">
          <cell r="B40" t="str">
            <v>OSBU-RR-PF -  Sales Administration</v>
          </cell>
        </row>
        <row r="41">
          <cell r="B41" t="str">
            <v>OSBU-RR-PF -  Property Management</v>
          </cell>
        </row>
        <row r="42">
          <cell r="B42" t="str">
            <v>OSBU-RR-PF -  Technical/ Construction</v>
          </cell>
        </row>
        <row r="43">
          <cell r="B43" t="str">
            <v>OSBU-RR-Amara -  Business Development</v>
          </cell>
        </row>
        <row r="44">
          <cell r="B44" t="str">
            <v>OSBU-RR-Amara -  Finance</v>
          </cell>
        </row>
        <row r="45">
          <cell r="B45" t="str">
            <v>OSBU-RR-Amara -  Sales Administration</v>
          </cell>
        </row>
        <row r="46">
          <cell r="B46" t="str">
            <v>OSBU-RR-Amara -  Property Management</v>
          </cell>
        </row>
        <row r="47">
          <cell r="B47" t="str">
            <v>OSBU-RR-Amara -  Technical/ Construction</v>
          </cell>
        </row>
        <row r="48">
          <cell r="B48" t="str">
            <v>OSBU-RR-Terrazas -  Business Development (Default)</v>
          </cell>
        </row>
        <row r="49">
          <cell r="B49" t="str">
            <v>OSBU-RR-Terrazas -  Finance (Default)</v>
          </cell>
        </row>
        <row r="50">
          <cell r="B50" t="str">
            <v>OSBU-RR-Terrazas -  Sales Administration (Default)</v>
          </cell>
        </row>
        <row r="51">
          <cell r="B51" t="str">
            <v>OSBU-RR-Terrazas -  Property Management (Default)</v>
          </cell>
        </row>
        <row r="52">
          <cell r="B52" t="str">
            <v>OSBU-RR-Terrazas -  Technical/ Construction (Default)</v>
          </cell>
        </row>
        <row r="53">
          <cell r="B53" t="str">
            <v>OSBU-RR-Terrazas 1a-  Business Development</v>
          </cell>
        </row>
        <row r="54">
          <cell r="B54" t="str">
            <v>OSBU-RR-Terrazas 1a -  Finance</v>
          </cell>
        </row>
        <row r="55">
          <cell r="B55" t="str">
            <v>OSBU-RR-Terrazas 1a-  Sales Administration</v>
          </cell>
        </row>
        <row r="56">
          <cell r="B56" t="str">
            <v>OSBU-RR-Terrazas 1a -  Property Management</v>
          </cell>
        </row>
        <row r="57">
          <cell r="B57" t="str">
            <v>OSBU-RR-Terrazas 1a -  Technical/ Construction</v>
          </cell>
        </row>
        <row r="58">
          <cell r="B58" t="str">
            <v>OSBU-RR-Terrazas 2 -  Business Development</v>
          </cell>
        </row>
        <row r="59">
          <cell r="B59" t="str">
            <v>OSBU-RR-Terrazas 2 -  Finance</v>
          </cell>
        </row>
        <row r="60">
          <cell r="B60" t="str">
            <v>OSBU-RR-Terrazas 2 -  Sales Administration</v>
          </cell>
        </row>
        <row r="61">
          <cell r="B61" t="str">
            <v>OSBU-RR-Terrazas 2 -  Property Management</v>
          </cell>
        </row>
        <row r="62">
          <cell r="B62" t="str">
            <v>OSBU-RR-Terrazas 2 -  Technical/ Construction</v>
          </cell>
        </row>
        <row r="63">
          <cell r="B63" t="str">
            <v>OSBU-RR-Terrazas 1b -  Business Development</v>
          </cell>
        </row>
        <row r="64">
          <cell r="B64" t="str">
            <v>OSBU-RR-Terrazas 1b -  Finance</v>
          </cell>
        </row>
        <row r="65">
          <cell r="B65" t="str">
            <v>OSBU-RR-Terrazas 1b -  Sales Administration</v>
          </cell>
        </row>
        <row r="66">
          <cell r="B66" t="str">
            <v>OSBU-RR-Terrazas 1b -  Property Management</v>
          </cell>
        </row>
        <row r="67">
          <cell r="B67" t="str">
            <v>OSBU-RR-Terrazas 1b -  Technical/ Construction</v>
          </cell>
        </row>
        <row r="68">
          <cell r="B68" t="str">
            <v>OSBU-RR-Terrazas 3 -  Business Development</v>
          </cell>
        </row>
        <row r="69">
          <cell r="B69" t="str">
            <v>OSBU-RR-Terrazas 3 -  Finance</v>
          </cell>
        </row>
        <row r="70">
          <cell r="B70" t="str">
            <v>OSBU-RR-Terrazas 3 -  Sales Administration</v>
          </cell>
        </row>
        <row r="71">
          <cell r="B71" t="str">
            <v>OSBU-RR-Terrazas 3 -  Property Management</v>
          </cell>
        </row>
        <row r="72">
          <cell r="B72" t="str">
            <v>OSBU-RR-Terrazas 3 -  Technical/ Construction</v>
          </cell>
        </row>
        <row r="73">
          <cell r="B73" t="str">
            <v>OSBU-RR-Terrazas 1c -  Business Development</v>
          </cell>
        </row>
        <row r="74">
          <cell r="B74" t="str">
            <v>OSBU-RR-Terrazas 1c -  Finance</v>
          </cell>
        </row>
        <row r="75">
          <cell r="B75" t="str">
            <v>OSBU-RR-Terrazas 1c -  Sales Administration</v>
          </cell>
        </row>
        <row r="76">
          <cell r="B76" t="str">
            <v>OSBU-RR-Terrazas 1c -  Property Management</v>
          </cell>
        </row>
        <row r="77">
          <cell r="B77" t="str">
            <v>OSBU-RR-Terrazas 1c -  Technical/ Construction</v>
          </cell>
        </row>
        <row r="78">
          <cell r="B78" t="str">
            <v>OSBU-RR-Playa Residential -  Business Development</v>
          </cell>
        </row>
        <row r="79">
          <cell r="B79" t="str">
            <v>OSBU-RR-Playa Residential -  Finance</v>
          </cell>
        </row>
        <row r="80">
          <cell r="B80" t="str">
            <v>OSBU-RR-Playa Residential -  Sales Administration</v>
          </cell>
        </row>
        <row r="81">
          <cell r="B81" t="str">
            <v>OSBU-RR-Playa Residential -  Property Management</v>
          </cell>
        </row>
        <row r="82">
          <cell r="B82" t="str">
            <v>OSBU-RR-Playa Residential -  Technical/ Construction</v>
          </cell>
        </row>
        <row r="83">
          <cell r="B83" t="str">
            <v>OSBU-RR-Playa Commercial -  Business Development</v>
          </cell>
        </row>
        <row r="84">
          <cell r="B84" t="str">
            <v>OSBU-RR-Playa Commercial -  Finance</v>
          </cell>
        </row>
        <row r="85">
          <cell r="B85" t="str">
            <v>OSBU-RR-Playa Commercial -  Sales Administration</v>
          </cell>
        </row>
        <row r="86">
          <cell r="B86" t="str">
            <v>OSBU-RR-Playa Commercial -  Property Management</v>
          </cell>
        </row>
        <row r="87">
          <cell r="B87" t="str">
            <v>OSBU-RR-Playa Commercial -  Technical/ Construction</v>
          </cell>
        </row>
        <row r="88">
          <cell r="B88" t="str">
            <v>OSBU-RR-PF Shares -  Business Development</v>
          </cell>
        </row>
        <row r="89">
          <cell r="B89" t="str">
            <v>OSBU-RR-PF Shares -  Finance</v>
          </cell>
        </row>
        <row r="90">
          <cell r="B90" t="str">
            <v>OSBU-RR-PF Shares -  Sales Administration</v>
          </cell>
        </row>
        <row r="91">
          <cell r="B91" t="str">
            <v>OSBU-RR-PF Shares -  Property Management</v>
          </cell>
        </row>
        <row r="92">
          <cell r="B92" t="str">
            <v>OSBU-RR-PF Shares -  Technical/ Construction</v>
          </cell>
        </row>
        <row r="93">
          <cell r="B93" t="str">
            <v>OSBU-RR-LF -  Business Development</v>
          </cell>
        </row>
        <row r="94">
          <cell r="B94" t="str">
            <v>OSBU-RR-LF -  Finance</v>
          </cell>
        </row>
        <row r="95">
          <cell r="B95" t="str">
            <v>OSBU-RR-LF -  Sales Administration</v>
          </cell>
        </row>
        <row r="96">
          <cell r="B96" t="str">
            <v>OSBU-RR-LF -  Property Management</v>
          </cell>
        </row>
        <row r="97">
          <cell r="B97" t="str">
            <v>OSBU-RR-LF -  Technical/ Construction</v>
          </cell>
        </row>
        <row r="98">
          <cell r="B98" t="str">
            <v>OSBU-RR-Ponderosa -  Business Development (Default)</v>
          </cell>
        </row>
        <row r="99">
          <cell r="B99" t="str">
            <v>OSBU-RR-Ponderosa -  Finance (Default)</v>
          </cell>
        </row>
        <row r="100">
          <cell r="B100" t="str">
            <v>OSBU-RR-Ponderosa -  Sales Administration (Default)</v>
          </cell>
        </row>
        <row r="101">
          <cell r="B101" t="str">
            <v>OSBU-RR-Ponderosa -  Property Management (Default)</v>
          </cell>
        </row>
        <row r="102">
          <cell r="B102" t="str">
            <v>OSBU-RR-Ponderosa -  Technical/ Construction (Default)</v>
          </cell>
        </row>
        <row r="103">
          <cell r="B103" t="str">
            <v>OSBU-RR-Ponderosa 1 -  Business Development</v>
          </cell>
        </row>
        <row r="104">
          <cell r="B104" t="str">
            <v>OSBU-RR-Ponderosa 1 -  Finance</v>
          </cell>
        </row>
        <row r="105">
          <cell r="B105" t="str">
            <v>OSBU-RR-Ponderosa 1 -  Sales Administration</v>
          </cell>
        </row>
        <row r="106">
          <cell r="B106" t="str">
            <v>OSBU-RR-Ponderosa 1 -  Property Management</v>
          </cell>
        </row>
        <row r="107">
          <cell r="B107" t="str">
            <v>OSBU-RR-Ponderosa 1 -  Technical/ Construction</v>
          </cell>
        </row>
        <row r="108">
          <cell r="B108" t="str">
            <v>OSBU-RR-Ponderosa 2 -  Business Development</v>
          </cell>
        </row>
        <row r="109">
          <cell r="B109" t="str">
            <v>OSBU-RR-Ponderosa 2 -  Finance</v>
          </cell>
        </row>
        <row r="110">
          <cell r="B110" t="str">
            <v>OSBU-RR-Ponderosa 2 -  Sales Administration</v>
          </cell>
        </row>
        <row r="111">
          <cell r="B111" t="str">
            <v>OSBU-RR-Ponderosa 2 -  Property Management</v>
          </cell>
        </row>
        <row r="112">
          <cell r="B112" t="str">
            <v>OSBU-RR-Ponderosa 2 -  Technical/ Construction</v>
          </cell>
        </row>
        <row r="113">
          <cell r="B113" t="str">
            <v>OSBU-RR-Ponderosa Heights -  Business Development</v>
          </cell>
        </row>
        <row r="114">
          <cell r="B114" t="str">
            <v>OSBU-RR-Ponderosa Heights -  Finance</v>
          </cell>
        </row>
        <row r="115">
          <cell r="B115" t="str">
            <v>OSBU-RR-Ponderosa Heights -  Sales Administration</v>
          </cell>
        </row>
        <row r="116">
          <cell r="B116" t="str">
            <v>OSBU-RR-Ponderosa Heights -  Property Management</v>
          </cell>
        </row>
        <row r="117">
          <cell r="B117" t="str">
            <v>OSBU-RR-Ponderosa Heights -  Technical/ Construction</v>
          </cell>
        </row>
        <row r="118">
          <cell r="B118" t="str">
            <v>OSBU-RR-Fuego Hotels</v>
          </cell>
        </row>
        <row r="119">
          <cell r="B119" t="str">
            <v>OSBU-FHP -  Office of the SBU Head</v>
          </cell>
        </row>
        <row r="120">
          <cell r="B120" t="str">
            <v>OSBU-FHP -  Business Development (Default)</v>
          </cell>
        </row>
        <row r="121">
          <cell r="B121" t="str">
            <v>OSBU-FHP -  Finance (Default)</v>
          </cell>
        </row>
        <row r="122">
          <cell r="B122" t="str">
            <v>OSBU-FHP -  Sales Administration (Default)</v>
          </cell>
        </row>
        <row r="123">
          <cell r="B123" t="str">
            <v>OSBU-FHP -  Property Management (Default)</v>
          </cell>
        </row>
        <row r="124">
          <cell r="B124" t="str">
            <v>OSBU-FHP -  Technical/ Construction (Default)</v>
          </cell>
        </row>
        <row r="125">
          <cell r="B125" t="str">
            <v>OSBU-FHP -  Sales &amp; Marketing (Default)</v>
          </cell>
        </row>
        <row r="126">
          <cell r="B126" t="str">
            <v>OSBU-FHP-Waterwood -  Business Development (Default)</v>
          </cell>
        </row>
        <row r="127">
          <cell r="B127" t="str">
            <v>OSBU-FHP-Waterwood -  Finance (Default)</v>
          </cell>
        </row>
        <row r="128">
          <cell r="B128" t="str">
            <v>OSBU-FHP-Waterwood -  Sales Administration (Default)</v>
          </cell>
        </row>
        <row r="129">
          <cell r="B129" t="str">
            <v>OSBU-FHP-Waterwood -  Property Management (Default)</v>
          </cell>
        </row>
        <row r="130">
          <cell r="B130" t="str">
            <v>OSBU-FHP-Waterwood -  Technical/ Construction (Default)</v>
          </cell>
        </row>
        <row r="131">
          <cell r="B131" t="str">
            <v>OSBU-FHP-Waterwood - Sales &amp; Marketing  (Default)</v>
          </cell>
        </row>
        <row r="132">
          <cell r="B132" t="str">
            <v>OSBU-FHP-Waterwood 1 -  Business Development</v>
          </cell>
        </row>
        <row r="133">
          <cell r="B133" t="str">
            <v>OSBU-FHP-Waterwood 1-  Finance</v>
          </cell>
        </row>
        <row r="134">
          <cell r="B134" t="str">
            <v>OSBU-FHP-Waterwood 1 -  Sales Administration</v>
          </cell>
        </row>
        <row r="135">
          <cell r="B135" t="str">
            <v>OSBU-FHP-Waterwood 1 -  Property Management</v>
          </cell>
        </row>
        <row r="136">
          <cell r="B136" t="str">
            <v>OSBU-FHP-Waterwood 1 -  Technical/ Construction</v>
          </cell>
        </row>
        <row r="137">
          <cell r="B137" t="str">
            <v>OSBU-FHP-Waterwood 1 -  Sales &amp; Marketing</v>
          </cell>
        </row>
        <row r="138">
          <cell r="B138" t="str">
            <v>OSBU-FHP-Waterwood 2a -  Business Development</v>
          </cell>
        </row>
        <row r="139">
          <cell r="B139" t="str">
            <v>OSBU-FHP-Waterwood 2a-  Finance</v>
          </cell>
        </row>
        <row r="140">
          <cell r="B140" t="str">
            <v>OSBU-FHP-Waterwood 2a -  Sales Administration</v>
          </cell>
        </row>
        <row r="141">
          <cell r="B141" t="str">
            <v>OSBU-FHP-Waterwood 2a -  Property Management</v>
          </cell>
        </row>
        <row r="142">
          <cell r="B142" t="str">
            <v>OSBU-FHP-Waterwood 2a -  Technical/ Construction</v>
          </cell>
        </row>
        <row r="143">
          <cell r="B143" t="str">
            <v>OSBU-FHP-Waterwood 2a -  Sales &amp; Marketing</v>
          </cell>
        </row>
        <row r="144">
          <cell r="B144" t="str">
            <v>OSBU-FHP-Waterwood 2b -  Business Development</v>
          </cell>
        </row>
        <row r="145">
          <cell r="B145" t="str">
            <v>OSBU-FHP-Waterwood 2b-  Finance</v>
          </cell>
        </row>
        <row r="146">
          <cell r="B146" t="str">
            <v>OSBU-FHP-Waterwood 2b -  Sales Administration</v>
          </cell>
        </row>
        <row r="147">
          <cell r="B147" t="str">
            <v>OSBU-FHP-Waterwood 2b -  Property Management</v>
          </cell>
        </row>
        <row r="148">
          <cell r="B148" t="str">
            <v>OSBU-FHP-Waterwood 2b -  Technical/ Construction</v>
          </cell>
        </row>
        <row r="149">
          <cell r="B149" t="str">
            <v>OSBU-FHP-Waterwood 2b -  Sales &amp; Marketing</v>
          </cell>
        </row>
        <row r="150">
          <cell r="B150" t="str">
            <v>OSBU-FHP-Waterwood 2c -  Business Development</v>
          </cell>
        </row>
        <row r="151">
          <cell r="B151" t="str">
            <v>OSBU-FHP-Waterwood 2c-  Finance</v>
          </cell>
        </row>
        <row r="152">
          <cell r="B152" t="str">
            <v>OSBU-FHP-Waterwood 2c -  Sales Administration</v>
          </cell>
        </row>
        <row r="153">
          <cell r="B153" t="str">
            <v>OSBU-FHP-Waterwood 2c -  Property Management</v>
          </cell>
        </row>
        <row r="154">
          <cell r="B154" t="str">
            <v>OSBU-FHP-Waterwood 2c -  Technical/ Construction</v>
          </cell>
        </row>
        <row r="155">
          <cell r="B155" t="str">
            <v>OSBU-FHP-Waterwood 2c -  Sales &amp; Marketing</v>
          </cell>
        </row>
        <row r="156">
          <cell r="B156" t="str">
            <v>OSBU-FHP-WLI Waterwood1-  Finance</v>
          </cell>
        </row>
        <row r="157">
          <cell r="B157" t="str">
            <v>OSBU-FHP-LBPI Waterwood2a -  Finance</v>
          </cell>
        </row>
        <row r="158">
          <cell r="B158" t="str">
            <v>OSBU-FHP-LBPI Waterwood2b -  Finance</v>
          </cell>
        </row>
        <row r="159">
          <cell r="B159" t="str">
            <v>OSBU-FHP-Woodside Gdn -  Business Development</v>
          </cell>
        </row>
        <row r="160">
          <cell r="B160" t="str">
            <v>OSBU-FHP-Woodside Gdn -  Finance</v>
          </cell>
        </row>
        <row r="161">
          <cell r="B161" t="str">
            <v>OSBU-FHP-Woodside Gdn -  Sales Administration</v>
          </cell>
        </row>
        <row r="162">
          <cell r="B162" t="str">
            <v>OSBU-FHP-Woodside Gdn -  Property Management</v>
          </cell>
        </row>
        <row r="163">
          <cell r="B163" t="str">
            <v>OSBU-FHP-Woodside Gdn -  Technical/ Construction</v>
          </cell>
        </row>
        <row r="164">
          <cell r="B164" t="str">
            <v>OSBU-FHP-Woodside Gdn -  Sales &amp; Marketing</v>
          </cell>
        </row>
        <row r="165">
          <cell r="B165" t="str">
            <v>OSBU-FHP-Woodside Park -  Business Development</v>
          </cell>
        </row>
        <row r="166">
          <cell r="B166" t="str">
            <v>OSBU-FHP-Woodside Park -  Finance</v>
          </cell>
        </row>
        <row r="167">
          <cell r="B167" t="str">
            <v>OSBU-FHP-Woodside Park -  Sales Administration</v>
          </cell>
        </row>
        <row r="168">
          <cell r="B168" t="str">
            <v>OSBU-FHP-Woodside Park -  Property Management</v>
          </cell>
        </row>
        <row r="169">
          <cell r="B169" t="str">
            <v>OSBU-FHP-Woodside Park -  Technical/ Construction</v>
          </cell>
        </row>
        <row r="170">
          <cell r="B170" t="str">
            <v>OSBU-FHP-Woodside Park -  Sales &amp; Marketing</v>
          </cell>
        </row>
        <row r="171">
          <cell r="B171" t="str">
            <v>OSBU-FHP-Lakewood -  Business Development (Default)</v>
          </cell>
        </row>
        <row r="172">
          <cell r="B172" t="str">
            <v>OSBU-FHP-Lakewood -  Finance (Default)</v>
          </cell>
        </row>
        <row r="173">
          <cell r="B173" t="str">
            <v>OSBU-FHP-Lakewood -  Sales Administration (Default)</v>
          </cell>
        </row>
        <row r="174">
          <cell r="B174" t="str">
            <v>OSBU-FHP-Lakewood -  Property Management (Default)</v>
          </cell>
        </row>
        <row r="175">
          <cell r="B175" t="str">
            <v>OSBU-FHP-Lakewood -  Technical/ Construction (Default)</v>
          </cell>
        </row>
        <row r="176">
          <cell r="B176" t="str">
            <v>OSBU-FHP-Lakewood -  Sales &amp; Marketing (Default)</v>
          </cell>
        </row>
        <row r="177">
          <cell r="B177" t="str">
            <v>OSBU-FHP-Lakewood 1 -  Business Development</v>
          </cell>
        </row>
        <row r="178">
          <cell r="B178" t="str">
            <v>OSBU-FHP-Lakewood 1 -  Finance</v>
          </cell>
        </row>
        <row r="179">
          <cell r="B179" t="str">
            <v>OSBU-FHP-Lakewood 1 -  Sales Administration</v>
          </cell>
        </row>
        <row r="180">
          <cell r="B180" t="str">
            <v>OSBU-FHP-Lakewood 1 -  Property Management</v>
          </cell>
        </row>
        <row r="181">
          <cell r="B181" t="str">
            <v>OSBU-FHP-Lakewood 1 -  Technical/ Construction</v>
          </cell>
        </row>
        <row r="182">
          <cell r="B182" t="str">
            <v>OSBU-FHP-Lakewood 1 -  Sales &amp; Marketing</v>
          </cell>
        </row>
        <row r="183">
          <cell r="B183" t="str">
            <v>OSBU-FHP-Lakewood Exp -  Business Development</v>
          </cell>
        </row>
        <row r="184">
          <cell r="B184" t="str">
            <v>OSBU-FHP-Lakewood Exp -  Finance</v>
          </cell>
        </row>
        <row r="185">
          <cell r="B185" t="str">
            <v>OSBU-FHP-Lakewood Exp -  Sales Administration</v>
          </cell>
        </row>
        <row r="186">
          <cell r="B186" t="str">
            <v>OSBU-FHP-Lakewood Exp  -  Property Management</v>
          </cell>
        </row>
        <row r="187">
          <cell r="B187" t="str">
            <v>OSBU-FHP-Lakewood Exp -  Technical/ Construction</v>
          </cell>
        </row>
        <row r="188">
          <cell r="B188" t="str">
            <v>OSBU-FHP-Lakewood Exp -  Sales &amp; Marketing</v>
          </cell>
        </row>
        <row r="189">
          <cell r="B189" t="str">
            <v>OSBU-FHP-Pacific Heights -  Business Development</v>
          </cell>
        </row>
        <row r="190">
          <cell r="B190" t="str">
            <v>OSBU-FHP-Pacific Heights -  Finance</v>
          </cell>
        </row>
        <row r="191">
          <cell r="B191" t="str">
            <v>OSBU-FHP-Pacific Heights -  Sales Administration</v>
          </cell>
        </row>
        <row r="192">
          <cell r="B192" t="str">
            <v>OSBU-FHP-Pacific Heights -  Property Management</v>
          </cell>
        </row>
        <row r="193">
          <cell r="B193" t="str">
            <v>OSBU-FHP-Pacific Heights -  Technical/ Construction</v>
          </cell>
        </row>
        <row r="194">
          <cell r="B194" t="str">
            <v>OSBU-FHP-Pacific Heights -  Sales &amp; Marketing</v>
          </cell>
        </row>
        <row r="195">
          <cell r="B195" t="str">
            <v>OSBU-FHP-Ridgewood -  Business Development</v>
          </cell>
        </row>
        <row r="196">
          <cell r="B196" t="str">
            <v>OSBU-FHP-Ridgewood -  Finance</v>
          </cell>
        </row>
        <row r="197">
          <cell r="B197" t="str">
            <v>OSBU-FHP-Ridgewood -  Sales Administration</v>
          </cell>
        </row>
        <row r="198">
          <cell r="B198" t="str">
            <v>OSBU-FHP-Ridgewood -  Property Management</v>
          </cell>
        </row>
        <row r="199">
          <cell r="B199" t="str">
            <v>OSBU-FHP-Ridgewood -  Technical/ Construction</v>
          </cell>
        </row>
        <row r="200">
          <cell r="B200" t="str">
            <v>OSBU-FHP-Ridgewood -  Sales &amp; Marketing</v>
          </cell>
        </row>
        <row r="201">
          <cell r="B201" t="str">
            <v xml:space="preserve">OSBU-FHP-LLC-Ridgewood -  Finance </v>
          </cell>
        </row>
        <row r="202">
          <cell r="B202" t="str">
            <v>OSBU-FHSMM -  Office of the SBU Head</v>
          </cell>
        </row>
        <row r="203">
          <cell r="B203" t="str">
            <v>OSBU-FHSMM -  Business Development (Default)</v>
          </cell>
        </row>
        <row r="204">
          <cell r="B204" t="str">
            <v>OSBU-FHSMM -  Finance (Default)</v>
          </cell>
        </row>
        <row r="205">
          <cell r="B205" t="str">
            <v>OSBU-FHSMM -  Sales Administration (Default)</v>
          </cell>
        </row>
        <row r="206">
          <cell r="B206" t="str">
            <v>OSBU-FHSMM -  Property Management (Default)</v>
          </cell>
        </row>
        <row r="207">
          <cell r="B207" t="str">
            <v>OSBU-FHSMM -  Technical/ Construction/Legal (Default)</v>
          </cell>
        </row>
        <row r="208">
          <cell r="B208" t="str">
            <v>OSBU-FHSMM-Stonecrest -  Business Development</v>
          </cell>
        </row>
        <row r="209">
          <cell r="B209" t="str">
            <v>OSBU-FHSMM-Stonecrest -  Finance</v>
          </cell>
        </row>
        <row r="210">
          <cell r="B210" t="str">
            <v>OSBU-FHSMM-Stonecrest -  Sales Administration</v>
          </cell>
        </row>
        <row r="211">
          <cell r="B211" t="str">
            <v>OSBU-FHSMM-Stonecrest -  Property Management</v>
          </cell>
        </row>
        <row r="212">
          <cell r="B212" t="str">
            <v>OSBU-FHSMM-Stonecrest -  Technical/ Construction/Legal</v>
          </cell>
        </row>
        <row r="213">
          <cell r="B213" t="str">
            <v>OSBU-FHSMM-MonteLago -  Business Development</v>
          </cell>
        </row>
        <row r="214">
          <cell r="B214" t="str">
            <v>OSBU-FHSMM-MonteLago -  Finance</v>
          </cell>
        </row>
        <row r="215">
          <cell r="B215" t="str">
            <v>OSBU-FHSMM-MonteLago -  Sales Administration</v>
          </cell>
        </row>
        <row r="216">
          <cell r="B216" t="str">
            <v>OSBU-FHSMM-MonteLago -  Property Management</v>
          </cell>
        </row>
        <row r="217">
          <cell r="B217" t="str">
            <v>OSBU-FHSMM-MonteLago -  Technical/ Construction/Legal</v>
          </cell>
        </row>
        <row r="218">
          <cell r="B218" t="str">
            <v>OSBU-FHSMM-MonteLago -  Sales</v>
          </cell>
        </row>
        <row r="219">
          <cell r="B219" t="str">
            <v>OSBU-FHSMM-MonteLago -  Marketing</v>
          </cell>
        </row>
        <row r="220">
          <cell r="B220" t="str">
            <v>OSBU-FHSMM-Escudero -  Business Development</v>
          </cell>
        </row>
        <row r="221">
          <cell r="B221" t="str">
            <v>OSBU-FHSMM-Escudero -  Finance</v>
          </cell>
        </row>
        <row r="222">
          <cell r="B222" t="str">
            <v>OSBU-FHSMM-Escudero -  Sales Administration</v>
          </cell>
        </row>
        <row r="223">
          <cell r="B223" t="str">
            <v>OSBU-FHSMM-Escudero -  Property Management</v>
          </cell>
        </row>
        <row r="224">
          <cell r="B224" t="str">
            <v>OSBU-FHSMM-Escudero -  Technical/ Construction/Legal</v>
          </cell>
        </row>
        <row r="225">
          <cell r="B225" t="str">
            <v>OSBU-FHNMM -  Office of the SBU Head</v>
          </cell>
        </row>
        <row r="226">
          <cell r="B226" t="str">
            <v>OSBU-FHNMM -  Business Development</v>
          </cell>
        </row>
        <row r="227">
          <cell r="B227" t="str">
            <v>OSBU-FHNMM -  Finance</v>
          </cell>
        </row>
        <row r="228">
          <cell r="B228" t="str">
            <v>OSBU-FHNMM -  Sales Administration</v>
          </cell>
        </row>
        <row r="229">
          <cell r="B229" t="str">
            <v>OSBU-FHNMM -  Property Management</v>
          </cell>
        </row>
        <row r="230">
          <cell r="B230" t="str">
            <v>OSBU-FHNMM -  Technical/ Construction</v>
          </cell>
        </row>
        <row r="231">
          <cell r="B231" t="str">
            <v>OSBU-SCCBD -  Office of the SBU Head</v>
          </cell>
        </row>
        <row r="232">
          <cell r="B232" t="str">
            <v>OSBU-SCCBD -  Business Development (Default)</v>
          </cell>
        </row>
        <row r="233">
          <cell r="B233" t="str">
            <v>OSBU-SCCBD -  Finance (Default)</v>
          </cell>
        </row>
        <row r="234">
          <cell r="B234" t="str">
            <v>OSBU-SCCBD -  Property Management (Default)</v>
          </cell>
        </row>
        <row r="235">
          <cell r="B235" t="str">
            <v>OSBU-SCCBD -  Technical/ Construction (Default)</v>
          </cell>
        </row>
        <row r="236">
          <cell r="B236" t="str">
            <v>OSBU-SCCBD -  Leasing (Default)</v>
          </cell>
        </row>
        <row r="237">
          <cell r="B237" t="str">
            <v>OSBU-SCCBD -  Marketing (Default)</v>
          </cell>
        </row>
        <row r="238">
          <cell r="B238" t="str">
            <v>OSBU-SCCBD -  HROD (Default)</v>
          </cell>
        </row>
        <row r="239">
          <cell r="B239" t="str">
            <v>OSBU-SCCBD-NE Pacific -  Business Development</v>
          </cell>
        </row>
        <row r="240">
          <cell r="B240" t="str">
            <v>OSBU-SCCBD-NE Pacific -  Finance</v>
          </cell>
        </row>
        <row r="241">
          <cell r="B241" t="str">
            <v>OSBU-SCCBD-NE Pacific -  Property Management</v>
          </cell>
        </row>
        <row r="242">
          <cell r="B242" t="str">
            <v>OSBU-SCCBD-NE Pacific -  Technical/ Construction</v>
          </cell>
        </row>
        <row r="243">
          <cell r="B243" t="str">
            <v>OSBU-SCCBD-NE Pacific -  Leasing</v>
          </cell>
        </row>
        <row r="244">
          <cell r="B244" t="str">
            <v>OSBU-SCCBD-NE Pacific -  Marketing</v>
          </cell>
        </row>
        <row r="245">
          <cell r="B245" t="str">
            <v>OSBU-SCCBD-NE Pacific -  HROD</v>
          </cell>
        </row>
        <row r="246">
          <cell r="B246" t="str">
            <v>OSBU-SCCBD-PMC Lucena -  Business Development</v>
          </cell>
        </row>
        <row r="247">
          <cell r="B247" t="str">
            <v>OSBU-SCCBD-PMC Lucena -  Finance</v>
          </cell>
        </row>
        <row r="248">
          <cell r="B248" t="str">
            <v>OSBU-SCCBD-PMC Lucena -  Property Management</v>
          </cell>
        </row>
        <row r="249">
          <cell r="B249" t="str">
            <v>OSBU-SCCBD-PMC Lucena -  Technical/ Construction</v>
          </cell>
        </row>
        <row r="250">
          <cell r="B250" t="str">
            <v>OSBU-SCCBD-PMC Lucena -  Leasing</v>
          </cell>
        </row>
        <row r="251">
          <cell r="B251" t="str">
            <v>OSBU-SCCBD-PMC Lucena -  Marketing</v>
          </cell>
        </row>
        <row r="252">
          <cell r="B252" t="str">
            <v>OSBU-SCCBD-PMC Lucena -  HROD</v>
          </cell>
        </row>
        <row r="253">
          <cell r="B253" t="str">
            <v>OSBU-SCCBD-PMC Legazpi -  Business Development</v>
          </cell>
        </row>
        <row r="254">
          <cell r="B254" t="str">
            <v>OSBU-SCCBD-PMC Legazpi -  Finance</v>
          </cell>
        </row>
        <row r="255">
          <cell r="B255" t="str">
            <v>OSBU-SCCBD-PMC Legazpi -  Property Management</v>
          </cell>
        </row>
        <row r="256">
          <cell r="B256" t="str">
            <v>OSBU-SCCBD-PMC Legazpi -  Technical/ Construction</v>
          </cell>
        </row>
        <row r="257">
          <cell r="B257" t="str">
            <v>OSBU-SCCBD-PMC Legazpi -  Leasing</v>
          </cell>
        </row>
        <row r="258">
          <cell r="B258" t="str">
            <v>OSBU-SCCBD-PMC Legazpi -  Marketing</v>
          </cell>
        </row>
        <row r="259">
          <cell r="B259" t="str">
            <v>OSBU-SCCBD-PMC Legazpi -  HROD</v>
          </cell>
        </row>
        <row r="260">
          <cell r="B260" t="str">
            <v>OSBU-SCCBD-CBD Legazpi -  Business Development</v>
          </cell>
        </row>
        <row r="261">
          <cell r="B261" t="str">
            <v>OSBU-SCCBD-CBD Legazpi -  Finance</v>
          </cell>
        </row>
        <row r="262">
          <cell r="B262" t="str">
            <v>OSBU-SCCBD-CBD Legazpi -  Property Management</v>
          </cell>
        </row>
        <row r="263">
          <cell r="B263" t="str">
            <v>OSBU-SCCBD-CBD Legazpi -  Technical/ Construction</v>
          </cell>
        </row>
        <row r="264">
          <cell r="B264" t="str">
            <v>OSBU-SCCBD-CBD Legazpi -  Marketing</v>
          </cell>
        </row>
        <row r="265">
          <cell r="B265" t="str">
            <v>OSBU-SCCBD-LCC Davao -  Finance</v>
          </cell>
        </row>
        <row r="266">
          <cell r="B266" t="str">
            <v>OSBU-SCCBD-LCC Davao -  Property Management</v>
          </cell>
        </row>
        <row r="267">
          <cell r="B267" t="str">
            <v>OSBU-SCCBD-LCC Davao -  Leasing</v>
          </cell>
        </row>
        <row r="268">
          <cell r="B268" t="str">
            <v>OSBU-MP -  Office of the SBU Head</v>
          </cell>
        </row>
        <row r="269">
          <cell r="B269" t="str">
            <v>OSBU-MP -  Business Development</v>
          </cell>
        </row>
        <row r="270">
          <cell r="B270" t="str">
            <v>OSBU-MP -  Finance (Default)</v>
          </cell>
        </row>
        <row r="271">
          <cell r="B271" t="str">
            <v>OSBU-MP -  Sales Administration (Default)</v>
          </cell>
        </row>
        <row r="272">
          <cell r="B272" t="str">
            <v>OSBU-MP -  Park Maintenance (Default)</v>
          </cell>
        </row>
        <row r="273">
          <cell r="B273" t="str">
            <v>OSBU-MP -  Park Operations (Default)</v>
          </cell>
        </row>
        <row r="274">
          <cell r="B274" t="str">
            <v>OSBU-MP -  Technical/ Construction (Default)</v>
          </cell>
        </row>
        <row r="275">
          <cell r="B275" t="str">
            <v>OSBU-MP -  Sales &amp; Marketing (Default)</v>
          </cell>
        </row>
        <row r="276">
          <cell r="B276" t="str">
            <v>OSBU-MP -  HROD (Default)</v>
          </cell>
        </row>
        <row r="277">
          <cell r="B277" t="str">
            <v>OSBU-MP-FL Iloilo -  Finance</v>
          </cell>
        </row>
        <row r="278">
          <cell r="B278" t="str">
            <v>OSBU-MP-FL Iloilo -  Sales Administration</v>
          </cell>
        </row>
        <row r="279">
          <cell r="B279" t="str">
            <v>OSBU-MP-FL Iloilo -  Park Maintenance</v>
          </cell>
        </row>
        <row r="280">
          <cell r="B280" t="str">
            <v>OSBU-MP-FL Iloilo - Park Operations</v>
          </cell>
        </row>
        <row r="281">
          <cell r="B281" t="str">
            <v>OSBU-MP-FL Iloilo -  Technical/ Construction</v>
          </cell>
        </row>
        <row r="282">
          <cell r="B282" t="str">
            <v>OSBU-MP-FL Iloilo -  Sales &amp; Marketing</v>
          </cell>
        </row>
        <row r="283">
          <cell r="B283" t="str">
            <v>OSBU-MP-FL Iloilo -  HROD</v>
          </cell>
        </row>
        <row r="284">
          <cell r="B284" t="str">
            <v>OSBU-MP-FL Zambo -  Finance</v>
          </cell>
        </row>
        <row r="285">
          <cell r="B285" t="str">
            <v>OSBU-MP-FL Zambo -  Sales Administration</v>
          </cell>
        </row>
        <row r="286">
          <cell r="B286" t="str">
            <v>OSBU-MP-FL Zambo -  Park Maintenance</v>
          </cell>
        </row>
        <row r="287">
          <cell r="B287" t="str">
            <v>OSBU-MP-FL Zambo -  Operations</v>
          </cell>
        </row>
        <row r="288">
          <cell r="B288" t="str">
            <v>OSBU-MP-FL Zambo -  Technical/ Construction</v>
          </cell>
        </row>
        <row r="289">
          <cell r="B289" t="str">
            <v>OSBU-MP-FL Zambo -  Sales &amp; Marketing</v>
          </cell>
        </row>
        <row r="290">
          <cell r="B290" t="str">
            <v>OSBU-MP-FL Zambo -  HROD</v>
          </cell>
        </row>
        <row r="291">
          <cell r="B291" t="str">
            <v>OSBU-MP-FL Davao -  Finance</v>
          </cell>
        </row>
        <row r="292">
          <cell r="B292" t="str">
            <v>OSBU-MP-FL Davao -  Sales Administration</v>
          </cell>
        </row>
        <row r="293">
          <cell r="B293" t="str">
            <v>OSBU-MP-FL Davao -  Park Maintenance</v>
          </cell>
        </row>
        <row r="294">
          <cell r="B294" t="str">
            <v>OSBU-MP-FL Davao -  Park Operations</v>
          </cell>
        </row>
        <row r="295">
          <cell r="B295" t="str">
            <v>OSBU-MP-FL Davao -  Technical/ Construction</v>
          </cell>
        </row>
        <row r="296">
          <cell r="B296" t="str">
            <v>OSBU-MP-FL Davao -  Sales &amp; Marketing</v>
          </cell>
        </row>
        <row r="297">
          <cell r="B297" t="str">
            <v>OSBU-MP-FL Davao -  HROD</v>
          </cell>
        </row>
        <row r="298">
          <cell r="B298" t="str">
            <v>OSBU-MP-FL Davao -  Finance (FLSPI)</v>
          </cell>
        </row>
        <row r="299">
          <cell r="B299" t="str">
            <v>OSBU-MP-FL Davao -  Park Maintenance (FLSPI)</v>
          </cell>
        </row>
        <row r="300">
          <cell r="B300" t="str">
            <v>OSBU-MP-FL Davao -  Park Operations</v>
          </cell>
        </row>
        <row r="301">
          <cell r="B301" t="str">
            <v>OSBU-MP-FL La Union -  Finance</v>
          </cell>
        </row>
        <row r="302">
          <cell r="B302" t="str">
            <v>OSBU-MP-FL La Union -  Sales Administration</v>
          </cell>
        </row>
        <row r="303">
          <cell r="B303" t="str">
            <v>OSBU-MP-FL La Union -  Park Maintenance</v>
          </cell>
        </row>
        <row r="304">
          <cell r="B304" t="str">
            <v>OSBU-MP-FL La Union -  Park Operations</v>
          </cell>
        </row>
        <row r="305">
          <cell r="B305" t="str">
            <v>OSBU-MP-FL La Union -  Technical/ Construction</v>
          </cell>
        </row>
        <row r="306">
          <cell r="B306" t="str">
            <v>OSBU-MP-FL La Union -  Sales &amp; Marketing</v>
          </cell>
        </row>
        <row r="307">
          <cell r="B307" t="str">
            <v>OSBU-MP-FL La Union -  HROD</v>
          </cell>
        </row>
        <row r="308">
          <cell r="B308" t="str">
            <v>OSBU-MP-FLCDO -  Finance</v>
          </cell>
        </row>
        <row r="309">
          <cell r="B309" t="str">
            <v>OSBU-MP-FLCDO -  Sales Administration</v>
          </cell>
        </row>
        <row r="310">
          <cell r="B310" t="str">
            <v>OSBU-MP-FLCDO -  Park Maintenance</v>
          </cell>
        </row>
        <row r="311">
          <cell r="B311" t="str">
            <v>OSBU-MP-FLCDO -  Park Operations</v>
          </cell>
        </row>
        <row r="312">
          <cell r="B312" t="str">
            <v>OSBU-MP-FLCDO -  Technical/ Construction</v>
          </cell>
        </row>
        <row r="313">
          <cell r="B313" t="str">
            <v>OSBU-MP-FLCDO -  Sales &amp; Marketing</v>
          </cell>
        </row>
        <row r="314">
          <cell r="B314" t="str">
            <v>OSBU-MP-FLCDO -  HROD</v>
          </cell>
        </row>
        <row r="315">
          <cell r="B315" t="str">
            <v>OSBU-MP-FL Binan -  Finance</v>
          </cell>
        </row>
        <row r="316">
          <cell r="B316" t="str">
            <v>OSBU-MP-FL Binan -  Sales Administration</v>
          </cell>
        </row>
        <row r="317">
          <cell r="B317" t="str">
            <v>OSBU-MP-FL Binan -  Park Maintenance</v>
          </cell>
        </row>
        <row r="318">
          <cell r="B318" t="str">
            <v>OSBU-MP-FL Binan -  Park Operations</v>
          </cell>
        </row>
        <row r="319">
          <cell r="B319" t="str">
            <v>OSBU-MP-FL Binan -  Technical/ Construction</v>
          </cell>
        </row>
        <row r="320">
          <cell r="B320" t="str">
            <v>OSBU-MP-FL Binan -  Sales &amp; Marketing</v>
          </cell>
        </row>
        <row r="321">
          <cell r="B321" t="str">
            <v>OSBU-MP-FL Binan -  HROD</v>
          </cell>
        </row>
        <row r="322">
          <cell r="B322" t="str">
            <v>OSBU-MP-FL GenSan -  Finance</v>
          </cell>
        </row>
        <row r="323">
          <cell r="B323" t="str">
            <v>OSBU-MP-FL GenSan -  Sales Administration</v>
          </cell>
        </row>
        <row r="324">
          <cell r="B324" t="str">
            <v>OSBU-MP-FL GenSan -  Park Maintenance</v>
          </cell>
        </row>
        <row r="325">
          <cell r="B325" t="str">
            <v>OSBU-MP-FL GenSan -  Park Operations</v>
          </cell>
        </row>
        <row r="326">
          <cell r="B326" t="str">
            <v>OSBU-MP-FL GenSan -  Technical/ Construction</v>
          </cell>
        </row>
        <row r="327">
          <cell r="B327" t="str">
            <v>OSBU-MP-FL GenSan -  Sales &amp; Marketing</v>
          </cell>
        </row>
        <row r="328">
          <cell r="B328" t="str">
            <v>OSBU-MP-FL GenSan -  HROD</v>
          </cell>
        </row>
        <row r="329">
          <cell r="B329" t="str">
            <v>OSBU-MP-FL East Zambo -  Finance</v>
          </cell>
        </row>
        <row r="330">
          <cell r="B330" t="str">
            <v>OSBU-MP-FL East Zambo -  Sales Administration</v>
          </cell>
        </row>
        <row r="331">
          <cell r="B331" t="str">
            <v>OSBU-MP-FL East Zambo -  Park Maintenance</v>
          </cell>
        </row>
        <row r="332">
          <cell r="B332" t="str">
            <v>OSBU-MP-FL East Zambo -  Park Operations</v>
          </cell>
        </row>
        <row r="333">
          <cell r="B333" t="str">
            <v>OSBU-MP-FL East Zambo -  Technical/ Construction</v>
          </cell>
        </row>
        <row r="334">
          <cell r="B334" t="str">
            <v>OSBU-MP-FL East Zambo -  Sales &amp; Marketing</v>
          </cell>
        </row>
        <row r="335">
          <cell r="B335" t="str">
            <v>OSBU-MP-FL East Zambo -  HROD</v>
          </cell>
        </row>
        <row r="336">
          <cell r="B336" t="str">
            <v>OSBU-VM -  Office of the SBU Head</v>
          </cell>
        </row>
        <row r="337">
          <cell r="B337" t="str">
            <v>OSBU-VM -  Business Development</v>
          </cell>
        </row>
        <row r="338">
          <cell r="B338" t="str">
            <v>OSBU-VM -  Finance</v>
          </cell>
        </row>
        <row r="339">
          <cell r="B339" t="str">
            <v>OSBU-VM -  Sales Administration</v>
          </cell>
        </row>
        <row r="340">
          <cell r="B340" t="str">
            <v>OSBU-VM -  Property Management</v>
          </cell>
        </row>
        <row r="341">
          <cell r="B341" t="str">
            <v>OSBU-VM -  Technical/ Construction</v>
          </cell>
        </row>
        <row r="342">
          <cell r="B342" t="str">
            <v>OSBU-FHC -  Office of the SBU Head</v>
          </cell>
        </row>
        <row r="343">
          <cell r="B343" t="str">
            <v>OSBU-FHC -  Business Development</v>
          </cell>
        </row>
        <row r="344">
          <cell r="B344" t="str">
            <v>OSBU-FHC -  Finance</v>
          </cell>
        </row>
        <row r="345">
          <cell r="B345" t="str">
            <v>OSBU-FHC -  Sales Administration</v>
          </cell>
        </row>
        <row r="346">
          <cell r="B346" t="str">
            <v>OSBU-FHC -  Property Management</v>
          </cell>
        </row>
        <row r="347">
          <cell r="B347" t="str">
            <v>OSBU-FHC -  Technical/ Construction</v>
          </cell>
        </row>
        <row r="348">
          <cell r="B348" t="str">
            <v>OSBU-LT -  Office of the SBU Head</v>
          </cell>
        </row>
        <row r="349">
          <cell r="B349" t="str">
            <v>OSBU-LT -  Business Development</v>
          </cell>
        </row>
      </sheetData>
      <sheetData sheetId="4" refreshError="1">
        <row r="9">
          <cell r="B9" t="str">
            <v>ABRIAM, Mellany</v>
          </cell>
        </row>
        <row r="10">
          <cell r="B10" t="str">
            <v>ACENAS, Sharis</v>
          </cell>
        </row>
        <row r="11">
          <cell r="B11" t="str">
            <v>AGBISIT, Aristotle</v>
          </cell>
        </row>
        <row r="12">
          <cell r="B12" t="str">
            <v>AGNA, Ma. Francia</v>
          </cell>
        </row>
        <row r="13">
          <cell r="B13" t="str">
            <v>AGUILA, Ariel</v>
          </cell>
        </row>
        <row r="14">
          <cell r="B14" t="str">
            <v>AGUILAR, Josephine</v>
          </cell>
        </row>
        <row r="15">
          <cell r="B15" t="str">
            <v>ALANO, Aileen</v>
          </cell>
        </row>
        <row r="16">
          <cell r="B16" t="str">
            <v>ALBANIA, Mario</v>
          </cell>
        </row>
        <row r="17">
          <cell r="B17" t="str">
            <v>ALCANTARA, Ana Katrina</v>
          </cell>
        </row>
        <row r="18">
          <cell r="B18" t="str">
            <v>ALCANTARA, Reneelyn</v>
          </cell>
        </row>
        <row r="19">
          <cell r="B19" t="str">
            <v>ALTAMIRANO, Ma. Cristina</v>
          </cell>
        </row>
        <row r="20">
          <cell r="B20" t="str">
            <v>ALVARAN, Albert Jr.</v>
          </cell>
        </row>
        <row r="21">
          <cell r="B21" t="str">
            <v>ALVARAN, Leah Jane</v>
          </cell>
        </row>
        <row r="22">
          <cell r="B22" t="str">
            <v>AMADOR, Geraldine</v>
          </cell>
        </row>
        <row r="23">
          <cell r="B23" t="str">
            <v>AMAZONA, Nina Ria</v>
          </cell>
        </row>
        <row r="24">
          <cell r="B24" t="str">
            <v>AMBION, Reah</v>
          </cell>
        </row>
        <row r="25">
          <cell r="B25" t="str">
            <v>AMORA, Crisppie</v>
          </cell>
        </row>
        <row r="26">
          <cell r="B26" t="str">
            <v>ANCHETA, Michelle</v>
          </cell>
        </row>
        <row r="27">
          <cell r="B27" t="str">
            <v>ANG, Ma. Cecilia</v>
          </cell>
        </row>
        <row r="28">
          <cell r="B28" t="str">
            <v>ANGELES, Carmela Archiela</v>
          </cell>
        </row>
        <row r="29">
          <cell r="B29" t="str">
            <v>AREOLA, Ma. Allena</v>
          </cell>
        </row>
        <row r="30">
          <cell r="B30" t="str">
            <v>ATIENZA, Farah</v>
          </cell>
        </row>
        <row r="31">
          <cell r="B31" t="str">
            <v>AUSTRIA, Jennifer</v>
          </cell>
        </row>
        <row r="32">
          <cell r="B32" t="str">
            <v>AVERION, Sahlee</v>
          </cell>
        </row>
        <row r="33">
          <cell r="B33" t="str">
            <v>BAGUISA, Ma. Cristina</v>
          </cell>
        </row>
        <row r="34">
          <cell r="B34" t="str">
            <v>BANZUELA, Michael Angelo</v>
          </cell>
        </row>
        <row r="35">
          <cell r="B35" t="str">
            <v>BARCELONA, Melvin</v>
          </cell>
        </row>
        <row r="36">
          <cell r="B36" t="str">
            <v xml:space="preserve">BASIS, Nancy </v>
          </cell>
        </row>
        <row r="37">
          <cell r="B37" t="str">
            <v>BAUTISTA, Allan Michael</v>
          </cell>
        </row>
        <row r="38">
          <cell r="B38" t="str">
            <v>BAYANI, Ernesto</v>
          </cell>
        </row>
        <row r="39">
          <cell r="B39" t="str">
            <v>BAYLON, Anne</v>
          </cell>
        </row>
        <row r="40">
          <cell r="B40" t="str">
            <v>BAYONO, Mary Peejay</v>
          </cell>
        </row>
        <row r="41">
          <cell r="B41" t="str">
            <v>BERDAN III, Fausto</v>
          </cell>
        </row>
        <row r="42">
          <cell r="B42" t="str">
            <v>BICO, Ma. Francia</v>
          </cell>
        </row>
        <row r="43">
          <cell r="B43" t="str">
            <v>BITONG, Edelyn</v>
          </cell>
        </row>
        <row r="44">
          <cell r="B44" t="str">
            <v>BONUAN, Exequiel</v>
          </cell>
        </row>
        <row r="45">
          <cell r="B45" t="str">
            <v>BORILLO, Carlito</v>
          </cell>
        </row>
        <row r="46">
          <cell r="B46" t="str">
            <v>BORROMEO, Ramon</v>
          </cell>
        </row>
        <row r="47">
          <cell r="B47" t="str">
            <v>BRONDIA, Angelita</v>
          </cell>
        </row>
        <row r="48">
          <cell r="B48" t="str">
            <v>BRUCE, Honorata</v>
          </cell>
        </row>
        <row r="49">
          <cell r="B49" t="str">
            <v>BUSTOS, Reynante</v>
          </cell>
        </row>
        <row r="50">
          <cell r="B50" t="str">
            <v>CABIGON, Maria Theresa</v>
          </cell>
        </row>
        <row r="51">
          <cell r="B51" t="str">
            <v>CABRAL, Ed Jerone</v>
          </cell>
        </row>
        <row r="52">
          <cell r="B52" t="str">
            <v>CABRERA, Mercedes</v>
          </cell>
        </row>
        <row r="53">
          <cell r="B53" t="str">
            <v>CALEON, Criselle</v>
          </cell>
        </row>
        <row r="54">
          <cell r="B54" t="str">
            <v>CAPILI, Florentina</v>
          </cell>
        </row>
        <row r="55">
          <cell r="B55" t="str">
            <v>CAPINPIN, Mary Ann</v>
          </cell>
        </row>
        <row r="56">
          <cell r="B56" t="str">
            <v>CAPISTRANO, Benjamin</v>
          </cell>
        </row>
        <row r="57">
          <cell r="B57" t="str">
            <v>CAPISTRANO, Sheryl</v>
          </cell>
        </row>
        <row r="58">
          <cell r="B58" t="str">
            <v>CAPULI, Karen Hilda</v>
          </cell>
        </row>
        <row r="59">
          <cell r="B59" t="str">
            <v>CASIDSID, Alma</v>
          </cell>
        </row>
        <row r="60">
          <cell r="B60" t="str">
            <v xml:space="preserve">CASTILLO, Ricky </v>
          </cell>
        </row>
        <row r="61">
          <cell r="B61" t="str">
            <v>CASTRO, Elmer</v>
          </cell>
        </row>
        <row r="62">
          <cell r="B62" t="str">
            <v>CAUDAL, Martin Gerard</v>
          </cell>
        </row>
        <row r="63">
          <cell r="B63" t="str">
            <v xml:space="preserve">CEBALLOS, Francis </v>
          </cell>
        </row>
        <row r="64">
          <cell r="B64" t="str">
            <v>CEDILLA , Josie</v>
          </cell>
        </row>
        <row r="65">
          <cell r="B65" t="str">
            <v>CHUA, Dante</v>
          </cell>
        </row>
        <row r="66">
          <cell r="B66" t="str">
            <v>CLARIN, Virgilio</v>
          </cell>
        </row>
        <row r="67">
          <cell r="B67" t="str">
            <v>CO, Kathreen Claire</v>
          </cell>
        </row>
        <row r="68">
          <cell r="B68" t="str">
            <v>COCHANGCO, Marilen</v>
          </cell>
        </row>
        <row r="69">
          <cell r="B69" t="str">
            <v>COLLADO, Danelyn</v>
          </cell>
        </row>
        <row r="70">
          <cell r="B70" t="str">
            <v>CONTI, Vincent Paolo</v>
          </cell>
        </row>
        <row r="71">
          <cell r="B71" t="str">
            <v>CORPUZ, Melissa</v>
          </cell>
        </row>
        <row r="72">
          <cell r="B72" t="str">
            <v xml:space="preserve">CORTEZ, Normandy </v>
          </cell>
        </row>
        <row r="73">
          <cell r="B73" t="str">
            <v>DAVID, Winnie</v>
          </cell>
        </row>
        <row r="74">
          <cell r="B74" t="str">
            <v>DE GUZMAN, Gerald</v>
          </cell>
        </row>
        <row r="75">
          <cell r="B75" t="str">
            <v>DE JOSE, Angelita</v>
          </cell>
        </row>
        <row r="76">
          <cell r="B76" t="str">
            <v>DE VERA, Lowella</v>
          </cell>
        </row>
        <row r="77">
          <cell r="B77" t="str">
            <v xml:space="preserve">DEL CARMEN, Ronaldo </v>
          </cell>
        </row>
        <row r="78">
          <cell r="B78" t="str">
            <v>DELA CRUZ, Lalaine</v>
          </cell>
        </row>
        <row r="79">
          <cell r="B79" t="str">
            <v>DELA CRUZ, Michael</v>
          </cell>
        </row>
        <row r="80">
          <cell r="B80" t="str">
            <v>DELA MERCED, Aireen</v>
          </cell>
        </row>
        <row r="81">
          <cell r="B81" t="str">
            <v>DELA ROSA, Juanito</v>
          </cell>
        </row>
        <row r="82">
          <cell r="B82" t="str">
            <v>DELOS REYES, Rey</v>
          </cell>
        </row>
        <row r="83">
          <cell r="B83" t="str">
            <v>DELOS REYES, Rodolfo, Jr.</v>
          </cell>
        </row>
        <row r="84">
          <cell r="B84" t="str">
            <v>DELOS SANTOS, Merlyn</v>
          </cell>
        </row>
        <row r="85">
          <cell r="B85" t="str">
            <v>DIAZ, Estela</v>
          </cell>
        </row>
        <row r="86">
          <cell r="B86" t="str">
            <v>DIAZ, Salome</v>
          </cell>
        </row>
        <row r="87">
          <cell r="B87" t="str">
            <v>DIDULO, Rodolfo</v>
          </cell>
        </row>
        <row r="88">
          <cell r="B88" t="str">
            <v>DIMAUNAHAN, Alvin</v>
          </cell>
        </row>
        <row r="89">
          <cell r="B89" t="str">
            <v xml:space="preserve">DIOLINA, Gina </v>
          </cell>
        </row>
        <row r="90">
          <cell r="B90" t="str">
            <v xml:space="preserve">DIZON, Ruben </v>
          </cell>
        </row>
        <row r="91">
          <cell r="B91" t="str">
            <v>DOMINGO, Melody</v>
          </cell>
        </row>
        <row r="92">
          <cell r="B92" t="str">
            <v>DONATO, Ana Rica Lourdes</v>
          </cell>
        </row>
        <row r="93">
          <cell r="B93" t="str">
            <v>DULAY, Patricia Eleanor</v>
          </cell>
        </row>
        <row r="94">
          <cell r="B94" t="str">
            <v xml:space="preserve">DUMANDAN, Sherry Ann </v>
          </cell>
        </row>
        <row r="95">
          <cell r="B95" t="str">
            <v>DYNING, Jonathan Ryan</v>
          </cell>
        </row>
        <row r="96">
          <cell r="B96" t="str">
            <v>ENCISO, Rosalie</v>
          </cell>
        </row>
        <row r="97">
          <cell r="B97" t="str">
            <v>ESCANO, Anjonette</v>
          </cell>
        </row>
        <row r="98">
          <cell r="B98" t="str">
            <v>ESPORLAS, Jennifer</v>
          </cell>
        </row>
        <row r="99">
          <cell r="B99" t="str">
            <v>ESTABILLO,  Jr., Rodrigo</v>
          </cell>
        </row>
        <row r="100">
          <cell r="B100" t="str">
            <v xml:space="preserve">FABRO, Jennifer </v>
          </cell>
        </row>
        <row r="101">
          <cell r="B101" t="str">
            <v xml:space="preserve">FAJARDO, Cheryl </v>
          </cell>
        </row>
        <row r="102">
          <cell r="B102" t="str">
            <v xml:space="preserve">FERMA, Alma </v>
          </cell>
        </row>
        <row r="103">
          <cell r="B103" t="str">
            <v>FILIO, Jinky</v>
          </cell>
        </row>
        <row r="104">
          <cell r="B104" t="str">
            <v>FONACIER, Dominque</v>
          </cell>
        </row>
        <row r="105">
          <cell r="B105" t="str">
            <v>FRIO, Jose Antonio</v>
          </cell>
        </row>
        <row r="106">
          <cell r="B106" t="str">
            <v>FULLANTE, Allan</v>
          </cell>
        </row>
        <row r="107">
          <cell r="B107" t="str">
            <v xml:space="preserve">GABALES, Joey </v>
          </cell>
        </row>
        <row r="108">
          <cell r="B108" t="str">
            <v>GAMBOA, Cecile</v>
          </cell>
        </row>
        <row r="109">
          <cell r="B109" t="str">
            <v>GARCIA, Aileen</v>
          </cell>
        </row>
        <row r="110">
          <cell r="B110" t="str">
            <v xml:space="preserve">GARCIA, Elena </v>
          </cell>
        </row>
        <row r="111">
          <cell r="B111" t="str">
            <v>GARCIA, Jan Michael</v>
          </cell>
        </row>
        <row r="112">
          <cell r="B112" t="str">
            <v>GARCIA, Joseph</v>
          </cell>
        </row>
        <row r="113">
          <cell r="B113" t="str">
            <v>GARCIA, Liberato</v>
          </cell>
        </row>
        <row r="114">
          <cell r="B114" t="str">
            <v>GARCIA, Maylahni</v>
          </cell>
        </row>
        <row r="115">
          <cell r="B115" t="str">
            <v>GASACAO, Angelito</v>
          </cell>
        </row>
        <row r="116">
          <cell r="B116" t="str">
            <v>GAVINO, Thereze</v>
          </cell>
        </row>
        <row r="117">
          <cell r="B117" t="str">
            <v>GOICO, Alma Maria Christina</v>
          </cell>
        </row>
        <row r="118">
          <cell r="B118" t="str">
            <v>GOLENG, Allan</v>
          </cell>
        </row>
        <row r="119">
          <cell r="B119" t="str">
            <v>GONZALES, Alfie</v>
          </cell>
        </row>
        <row r="120">
          <cell r="B120" t="str">
            <v>GUDAY, Darius</v>
          </cell>
        </row>
        <row r="121">
          <cell r="B121" t="str">
            <v>GUTIERREZ, Thea Marie</v>
          </cell>
        </row>
        <row r="122">
          <cell r="B122" t="str">
            <v xml:space="preserve">HERNAN, Henry </v>
          </cell>
        </row>
        <row r="123">
          <cell r="B123" t="str">
            <v>HERNANDEZ, Annalyn</v>
          </cell>
        </row>
        <row r="124">
          <cell r="B124" t="str">
            <v>HERNANDEZ, Lourdes Sherine</v>
          </cell>
        </row>
        <row r="125">
          <cell r="B125" t="str">
            <v>HERNANDEZ, Vicente</v>
          </cell>
        </row>
        <row r="126">
          <cell r="B126" t="str">
            <v>HUDSON, Elizabeth Ann</v>
          </cell>
        </row>
        <row r="127">
          <cell r="B127" t="str">
            <v>HULAR, Maridette</v>
          </cell>
        </row>
        <row r="128">
          <cell r="B128" t="str">
            <v>IGNACIO, Vivian</v>
          </cell>
        </row>
        <row r="129">
          <cell r="B129" t="str">
            <v>INOFRE, Marietta</v>
          </cell>
        </row>
        <row r="130">
          <cell r="B130" t="str">
            <v xml:space="preserve">JABRICA, Catalina </v>
          </cell>
        </row>
        <row r="131">
          <cell r="B131" t="str">
            <v>JACINTO, Vincent Kitto</v>
          </cell>
        </row>
        <row r="132">
          <cell r="B132" t="str">
            <v xml:space="preserve">JAVIER, Mary Jane </v>
          </cell>
        </row>
        <row r="133">
          <cell r="B133" t="str">
            <v>JAVIER, Nestor</v>
          </cell>
        </row>
        <row r="134">
          <cell r="B134" t="str">
            <v>JONSON, Benigno, Jr.</v>
          </cell>
        </row>
        <row r="135">
          <cell r="B135" t="str">
            <v xml:space="preserve">JOSE, Marjorie </v>
          </cell>
        </row>
        <row r="136">
          <cell r="B136" t="str">
            <v>KITANE, Margarita</v>
          </cell>
        </row>
        <row r="137">
          <cell r="B137" t="str">
            <v>LAGO, JR., Rodolfo</v>
          </cell>
        </row>
        <row r="138">
          <cell r="B138" t="str">
            <v>LAIZ, Ma. Joanna</v>
          </cell>
        </row>
        <row r="139">
          <cell r="B139" t="str">
            <v>LATA, Khristine</v>
          </cell>
        </row>
        <row r="140">
          <cell r="B140" t="str">
            <v xml:space="preserve">LAZO, Fredelito </v>
          </cell>
        </row>
        <row r="141">
          <cell r="B141" t="str">
            <v>LECAROZ, Lenlie</v>
          </cell>
        </row>
        <row r="142">
          <cell r="B142" t="str">
            <v>LERON, Jose</v>
          </cell>
        </row>
        <row r="143">
          <cell r="B143" t="str">
            <v>LINA, William</v>
          </cell>
        </row>
        <row r="144">
          <cell r="B144" t="str">
            <v>MABUTAS, Lemmuel</v>
          </cell>
        </row>
        <row r="145">
          <cell r="B145" t="str">
            <v xml:space="preserve">MACAM, Dolores </v>
          </cell>
        </row>
        <row r="146">
          <cell r="B146" t="str">
            <v>MADRIGAL, George Michael</v>
          </cell>
        </row>
        <row r="147">
          <cell r="B147" t="str">
            <v>MAGO, Mary Jane</v>
          </cell>
        </row>
        <row r="148">
          <cell r="B148" t="str">
            <v xml:space="preserve">MAGTIBAY, Arlene </v>
          </cell>
        </row>
        <row r="149">
          <cell r="B149" t="str">
            <v>MAGTIBAY, Karla Therese</v>
          </cell>
        </row>
        <row r="150">
          <cell r="B150" t="str">
            <v>MALONZO, Diane</v>
          </cell>
        </row>
        <row r="151">
          <cell r="B151" t="str">
            <v>MANABAT, Sheryll</v>
          </cell>
        </row>
        <row r="152">
          <cell r="B152" t="str">
            <v>MANALO, Ivy</v>
          </cell>
        </row>
        <row r="153">
          <cell r="B153" t="str">
            <v>MANAOIS, Kristine Joy</v>
          </cell>
        </row>
        <row r="154">
          <cell r="B154" t="str">
            <v>MANDADERO, Aureen Adelaide</v>
          </cell>
        </row>
        <row r="155">
          <cell r="B155" t="str">
            <v>MANLANGIT, Danilo</v>
          </cell>
        </row>
        <row r="156">
          <cell r="B156" t="str">
            <v>MANLULU, Elpidio</v>
          </cell>
        </row>
        <row r="157">
          <cell r="B157" t="str">
            <v>MANUEL, Rhodora</v>
          </cell>
        </row>
        <row r="158">
          <cell r="B158" t="str">
            <v xml:space="preserve">MARCELO, Gerard </v>
          </cell>
        </row>
        <row r="159">
          <cell r="B159" t="str">
            <v xml:space="preserve">MARISTELA, Elena </v>
          </cell>
        </row>
        <row r="160">
          <cell r="B160" t="str">
            <v>MARTINEZ, Maria  Roan</v>
          </cell>
        </row>
        <row r="161">
          <cell r="B161" t="str">
            <v>MATOCINOS, Olivia</v>
          </cell>
        </row>
        <row r="162">
          <cell r="B162" t="str">
            <v>MAURERA, Angelique</v>
          </cell>
        </row>
        <row r="163">
          <cell r="B163" t="str">
            <v>MEDINA, Florencia</v>
          </cell>
        </row>
        <row r="164">
          <cell r="B164" t="str">
            <v>MEDINA, Rommel</v>
          </cell>
        </row>
        <row r="165">
          <cell r="B165" t="str">
            <v>MELECIO, Richelle</v>
          </cell>
        </row>
        <row r="166">
          <cell r="B166" t="str">
            <v>MENDOZA, Melissa Abigail</v>
          </cell>
        </row>
        <row r="167">
          <cell r="B167" t="str">
            <v>MENDOZA, Miguel</v>
          </cell>
        </row>
        <row r="168">
          <cell r="B168" t="str">
            <v>MESINA, Pamela</v>
          </cell>
        </row>
        <row r="169">
          <cell r="B169" t="str">
            <v>MIRANDA, Fernand Joseph</v>
          </cell>
        </row>
        <row r="170">
          <cell r="B170" t="str">
            <v>MONTES, Amylyn</v>
          </cell>
        </row>
        <row r="171">
          <cell r="B171" t="str">
            <v>MOSELINA, Romar</v>
          </cell>
        </row>
        <row r="172">
          <cell r="B172" t="str">
            <v>NADEW, Janice</v>
          </cell>
        </row>
        <row r="173">
          <cell r="B173" t="str">
            <v>NANAGAD, Cristine</v>
          </cell>
        </row>
        <row r="174">
          <cell r="B174" t="str">
            <v>NARCISO, Filipina</v>
          </cell>
        </row>
        <row r="175">
          <cell r="B175" t="str">
            <v>NAVARRO, Cynthia Rose</v>
          </cell>
        </row>
        <row r="176">
          <cell r="B176" t="str">
            <v>NILO, G. Montini</v>
          </cell>
        </row>
        <row r="177">
          <cell r="B177" t="str">
            <v>NOCHE, Dorothea</v>
          </cell>
        </row>
        <row r="178">
          <cell r="B178" t="str">
            <v>OCLARIT, Avelino</v>
          </cell>
        </row>
        <row r="179">
          <cell r="B179" t="str">
            <v>OLIVAR, Pepito</v>
          </cell>
        </row>
        <row r="180">
          <cell r="B180" t="str">
            <v>ORENDAIN, Monique Therese</v>
          </cell>
        </row>
        <row r="181">
          <cell r="B181" t="str">
            <v>ORTIZ, Ranulfo III</v>
          </cell>
        </row>
        <row r="182">
          <cell r="B182" t="str">
            <v>PADILLA, Ramir</v>
          </cell>
        </row>
        <row r="183">
          <cell r="B183" t="str">
            <v>PANGANIBAN, Amybel</v>
          </cell>
        </row>
        <row r="184">
          <cell r="B184" t="str">
            <v>PANTA, Richelle</v>
          </cell>
        </row>
        <row r="185">
          <cell r="B185" t="str">
            <v>PARAISO, Daisy Anne</v>
          </cell>
        </row>
        <row r="186">
          <cell r="B186" t="str">
            <v>PEDERNAL, Norlita</v>
          </cell>
        </row>
        <row r="187">
          <cell r="B187" t="str">
            <v>PEDRAJA, Paulyn</v>
          </cell>
        </row>
        <row r="188">
          <cell r="B188" t="str">
            <v>PEÑARANDA, Renante</v>
          </cell>
        </row>
        <row r="189">
          <cell r="B189" t="str">
            <v>PEREZ, Aileen</v>
          </cell>
        </row>
        <row r="190">
          <cell r="B190" t="str">
            <v>PEREZ, JR. , Jose</v>
          </cell>
        </row>
        <row r="191">
          <cell r="B191" t="str">
            <v>PEREZ, Lorna</v>
          </cell>
        </row>
        <row r="192">
          <cell r="B192" t="str">
            <v>PESIGAN, Ryan</v>
          </cell>
        </row>
        <row r="193">
          <cell r="B193" t="str">
            <v>PETERO, Nelson</v>
          </cell>
        </row>
        <row r="194">
          <cell r="B194" t="str">
            <v>PIDO, Bernadette</v>
          </cell>
        </row>
        <row r="195">
          <cell r="B195" t="str">
            <v>POLICARPIO, Charry</v>
          </cell>
        </row>
        <row r="196">
          <cell r="B196" t="str">
            <v>POSADA, Jessie</v>
          </cell>
        </row>
        <row r="197">
          <cell r="B197" t="str">
            <v>PROSPEROSO, Purisimo Jr.</v>
          </cell>
        </row>
        <row r="198">
          <cell r="B198" t="str">
            <v>PURIFICACION, Allan</v>
          </cell>
        </row>
        <row r="199">
          <cell r="B199" t="str">
            <v>QUIAT, Rosa</v>
          </cell>
        </row>
        <row r="200">
          <cell r="B200" t="str">
            <v xml:space="preserve">QUIBRANZA, Zenaida </v>
          </cell>
        </row>
        <row r="201">
          <cell r="B201" t="str">
            <v>QUILLAO, Erlyn</v>
          </cell>
        </row>
        <row r="202">
          <cell r="B202" t="str">
            <v>QUINTO, Rachel Anne</v>
          </cell>
        </row>
        <row r="203">
          <cell r="B203" t="str">
            <v>RAMILO, Roselle Grace</v>
          </cell>
        </row>
        <row r="204">
          <cell r="B204" t="str">
            <v>REGINIO, Lolito</v>
          </cell>
        </row>
        <row r="205">
          <cell r="B205" t="str">
            <v>RELATIVO, Mary Geraldine</v>
          </cell>
        </row>
        <row r="206">
          <cell r="B206" t="str">
            <v>REPUYAN, Joseph Rosel</v>
          </cell>
        </row>
        <row r="207">
          <cell r="B207" t="str">
            <v>REYES, Aleta</v>
          </cell>
        </row>
        <row r="208">
          <cell r="B208" t="str">
            <v xml:space="preserve">REYES, Michael </v>
          </cell>
        </row>
        <row r="209">
          <cell r="B209" t="str">
            <v>REYPERILLO, Brian</v>
          </cell>
        </row>
        <row r="210">
          <cell r="B210" t="str">
            <v xml:space="preserve">RITO, Ma. Roceo </v>
          </cell>
        </row>
        <row r="211">
          <cell r="B211" t="str">
            <v>RIVAS, Loida</v>
          </cell>
        </row>
        <row r="212">
          <cell r="B212" t="str">
            <v>ROGELIO, Marissa</v>
          </cell>
        </row>
        <row r="213">
          <cell r="B213" t="str">
            <v>ROMBAOA, Evelyn</v>
          </cell>
        </row>
        <row r="214">
          <cell r="B214" t="str">
            <v xml:space="preserve">RONDAEL, Edwin </v>
          </cell>
        </row>
        <row r="215">
          <cell r="B215" t="str">
            <v>RUMAWAK, Elnora</v>
          </cell>
        </row>
        <row r="216">
          <cell r="B216" t="str">
            <v>SAGUIPED, Rex</v>
          </cell>
        </row>
        <row r="217">
          <cell r="B217" t="str">
            <v>SALAYSAY, Gina</v>
          </cell>
        </row>
        <row r="218">
          <cell r="B218" t="str">
            <v>SANDEJAS, Juan Carlo</v>
          </cell>
        </row>
        <row r="219">
          <cell r="B219" t="str">
            <v>SANDOVAL, Emelyn</v>
          </cell>
        </row>
        <row r="220">
          <cell r="B220" t="str">
            <v xml:space="preserve">SANGALANG, Analyn </v>
          </cell>
        </row>
        <row r="221">
          <cell r="B221" t="str">
            <v>SANTONIA, Olivia</v>
          </cell>
        </row>
        <row r="222">
          <cell r="B222" t="str">
            <v xml:space="preserve">SANTOS, JR., Jose </v>
          </cell>
        </row>
        <row r="223">
          <cell r="B223" t="str">
            <v>SERMANIA, Myrna</v>
          </cell>
        </row>
        <row r="224">
          <cell r="B224" t="str">
            <v xml:space="preserve">SEVILLA, Lorelie </v>
          </cell>
        </row>
        <row r="225">
          <cell r="B225" t="str">
            <v xml:space="preserve">SIAO, Marjorie </v>
          </cell>
        </row>
        <row r="226">
          <cell r="B226" t="str">
            <v xml:space="preserve">SICAT, Edwin </v>
          </cell>
        </row>
        <row r="227">
          <cell r="B227" t="str">
            <v>SISON, Myda</v>
          </cell>
        </row>
        <row r="228">
          <cell r="B228" t="str">
            <v>SOBERANO, Judith Jingle</v>
          </cell>
        </row>
        <row r="229">
          <cell r="B229" t="str">
            <v>SORIANO, Angelo</v>
          </cell>
        </row>
        <row r="230">
          <cell r="B230" t="str">
            <v>SUMAGANG, Sindulfo</v>
          </cell>
        </row>
        <row r="231">
          <cell r="B231" t="str">
            <v>SUMBALA, Arlene</v>
          </cell>
        </row>
        <row r="232">
          <cell r="B232" t="str">
            <v>TABING, Gil</v>
          </cell>
        </row>
        <row r="233">
          <cell r="B233" t="str">
            <v xml:space="preserve">TADENA, Inocencio </v>
          </cell>
        </row>
        <row r="234">
          <cell r="B234" t="str">
            <v>TAGUNICAR, Elvira</v>
          </cell>
        </row>
        <row r="235">
          <cell r="B235" t="str">
            <v>TALASTAS, Raquelito</v>
          </cell>
        </row>
        <row r="236">
          <cell r="B236" t="str">
            <v>TAM, Joeanaliz</v>
          </cell>
        </row>
        <row r="237">
          <cell r="B237" t="str">
            <v>TAN, Eric Gregor</v>
          </cell>
        </row>
        <row r="238">
          <cell r="B238" t="str">
            <v>TEOFILO, Norlito</v>
          </cell>
        </row>
        <row r="239">
          <cell r="B239" t="str">
            <v>TEVES, Lerma</v>
          </cell>
        </row>
        <row r="240">
          <cell r="B240" t="str">
            <v>TICZON, Dante</v>
          </cell>
        </row>
        <row r="241">
          <cell r="B241" t="str">
            <v>TIOTUYCO, Carlito</v>
          </cell>
        </row>
        <row r="242">
          <cell r="B242" t="str">
            <v>TIU, Kian Hun</v>
          </cell>
        </row>
        <row r="243">
          <cell r="B243" t="str">
            <v>TONGSON, Tristan Jayson</v>
          </cell>
        </row>
        <row r="244">
          <cell r="B244" t="str">
            <v>TOVILLO, April</v>
          </cell>
        </row>
        <row r="245">
          <cell r="B245" t="str">
            <v>VALERIO, Anna Kathrina</v>
          </cell>
        </row>
        <row r="246">
          <cell r="B246" t="str">
            <v>VELEZ, Kate Jam</v>
          </cell>
        </row>
        <row r="247">
          <cell r="B247" t="str">
            <v xml:space="preserve">VIERNES, Elena </v>
          </cell>
        </row>
        <row r="248">
          <cell r="B248" t="str">
            <v xml:space="preserve">VILLAMIEL, Jennifer </v>
          </cell>
        </row>
        <row r="249">
          <cell r="B249" t="str">
            <v xml:space="preserve">VILLANO, Patrick Joseph </v>
          </cell>
        </row>
        <row r="250">
          <cell r="B250" t="str">
            <v>VILLANUEVA, Maria Fe</v>
          </cell>
        </row>
        <row r="251">
          <cell r="B251" t="str">
            <v>VIROLA, Randy</v>
          </cell>
        </row>
        <row r="252">
          <cell r="B252" t="str">
            <v>XEREZ-BURGOS III, Alfred</v>
          </cell>
        </row>
        <row r="253">
          <cell r="B253" t="str">
            <v xml:space="preserve">XEREZ-BURGOS, Jose Antonio </v>
          </cell>
        </row>
        <row r="254">
          <cell r="B254" t="str">
            <v>XEREZ-BURGOS, JR., Alfred</v>
          </cell>
        </row>
        <row r="255">
          <cell r="B255" t="str">
            <v>YAGO, Dennis Michael</v>
          </cell>
        </row>
        <row r="256">
          <cell r="B256" t="str">
            <v xml:space="preserve">YUSUICO, Catherine </v>
          </cell>
        </row>
        <row r="257">
          <cell r="B257" t="str">
            <v xml:space="preserve">ZULUAGA, Ma. Cristina </v>
          </cell>
        </row>
        <row r="258">
          <cell r="B258" t="str">
            <v>Abanto, Christian Bagalon</v>
          </cell>
        </row>
        <row r="259">
          <cell r="B259" t="str">
            <v>Adiong, Abdulrazaq Jr. Mipanga</v>
          </cell>
        </row>
        <row r="260">
          <cell r="B260" t="str">
            <v>Aguilos, Karol Ann Mabasa</v>
          </cell>
        </row>
        <row r="261">
          <cell r="B261" t="str">
            <v>Angeles, Jose Marie Tolentino</v>
          </cell>
        </row>
        <row r="262">
          <cell r="B262" t="str">
            <v>Ariola, Amando Morales</v>
          </cell>
        </row>
        <row r="263">
          <cell r="B263" t="str">
            <v>Arota, Carmela Soriano</v>
          </cell>
        </row>
        <row r="264">
          <cell r="B264" t="str">
            <v>Arota, Fritz Remollino</v>
          </cell>
        </row>
        <row r="265">
          <cell r="B265" t="str">
            <v>Asis, Edrian Mallari</v>
          </cell>
        </row>
        <row r="266">
          <cell r="B266" t="str">
            <v>Asistores, Albert A</v>
          </cell>
        </row>
        <row r="267">
          <cell r="B267" t="str">
            <v>Asistores, Maricar Victoria Florendo</v>
          </cell>
        </row>
        <row r="268">
          <cell r="B268" t="str">
            <v>Au, Jasmin Aglubat</v>
          </cell>
        </row>
        <row r="269">
          <cell r="B269" t="str">
            <v>Azarcon, Maureen Sia</v>
          </cell>
        </row>
        <row r="270">
          <cell r="B270" t="str">
            <v>Azcona, Ma. Cristina Magalona.</v>
          </cell>
        </row>
        <row r="271">
          <cell r="B271" t="str">
            <v>Bagui, Carlo Marc Encarnacion</v>
          </cell>
        </row>
        <row r="272">
          <cell r="B272" t="str">
            <v>Baligod, Eric Castro</v>
          </cell>
        </row>
        <row r="273">
          <cell r="B273" t="str">
            <v>Batang, Epifano Jr. Cabading</v>
          </cell>
        </row>
        <row r="274">
          <cell r="B274" t="str">
            <v>Bellosillo, Farah Marie</v>
          </cell>
        </row>
        <row r="275">
          <cell r="B275" t="str">
            <v>Berces, Paul Anthony Balburias</v>
          </cell>
        </row>
        <row r="276">
          <cell r="B276" t="str">
            <v>Briones, Joseph Limbo</v>
          </cell>
        </row>
        <row r="277">
          <cell r="B277" t="str">
            <v>Briosos, Maria Angelica Miranda</v>
          </cell>
        </row>
        <row r="278">
          <cell r="B278" t="str">
            <v>Bris, Ma. Ada S</v>
          </cell>
        </row>
        <row r="279">
          <cell r="B279" t="str">
            <v>Buerano, Claudette Martinez</v>
          </cell>
        </row>
        <row r="280">
          <cell r="B280" t="str">
            <v>Butranon, Regina Cruz</v>
          </cell>
        </row>
        <row r="281">
          <cell r="B281" t="str">
            <v>Ca Ño. Ma. Celia Budy</v>
          </cell>
        </row>
        <row r="282">
          <cell r="B282" t="str">
            <v>Cabañes, Jaime Santos Barbosa</v>
          </cell>
        </row>
        <row r="283">
          <cell r="B283" t="str">
            <v>Cabrera, Manuelito Granados</v>
          </cell>
        </row>
        <row r="284">
          <cell r="B284" t="str">
            <v>Camot, Mary Jane</v>
          </cell>
        </row>
        <row r="285">
          <cell r="B285" t="str">
            <v>Canlas, Carla Jan Cruz</v>
          </cell>
        </row>
        <row r="286">
          <cell r="B286" t="str">
            <v>Cannu, Daniel Siazon</v>
          </cell>
        </row>
        <row r="287">
          <cell r="B287" t="str">
            <v>Capati, Jayme</v>
          </cell>
        </row>
        <row r="288">
          <cell r="B288" t="str">
            <v>Caragdag, Ruel Iloreta</v>
          </cell>
        </row>
        <row r="289">
          <cell r="B289" t="str">
            <v>Castillo, Redentor Alvarez</v>
          </cell>
        </row>
        <row r="290">
          <cell r="B290" t="str">
            <v>Catapang, Melanie</v>
          </cell>
        </row>
        <row r="291">
          <cell r="B291" t="str">
            <v>Cayton, Maria Erika Chavero</v>
          </cell>
        </row>
        <row r="292">
          <cell r="B292" t="str">
            <v>Collantes, Ma. Lourdes Legaspi</v>
          </cell>
        </row>
        <row r="293">
          <cell r="B293" t="str">
            <v>Concepcion, Gabriel Pavilla</v>
          </cell>
        </row>
        <row r="294">
          <cell r="B294" t="str">
            <v>Coronado, Ma. Eleanor Encarnacion</v>
          </cell>
        </row>
        <row r="295">
          <cell r="B295" t="str">
            <v>Cruz, Ma. Grace Gamat</v>
          </cell>
        </row>
        <row r="296">
          <cell r="B296" t="str">
            <v>Cruz, Wally Fernando</v>
          </cell>
        </row>
        <row r="297">
          <cell r="B297" t="str">
            <v>Cunanan, Armando Gabriel Casatañeda</v>
          </cell>
        </row>
        <row r="298">
          <cell r="B298" t="str">
            <v>Dalope, Alvin Lacanienta</v>
          </cell>
        </row>
        <row r="299">
          <cell r="B299" t="str">
            <v>David, Charmaine  San Pedro</v>
          </cell>
        </row>
        <row r="300">
          <cell r="B300" t="str">
            <v>Dayao, Rosauro Iii Alba</v>
          </cell>
        </row>
        <row r="301">
          <cell r="B301" t="str">
            <v>De Guzman, Miguel Tan</v>
          </cell>
        </row>
        <row r="302">
          <cell r="B302" t="str">
            <v>De Leon, Mcgucken  Mag-Iba</v>
          </cell>
        </row>
        <row r="303">
          <cell r="B303" t="str">
            <v>Del Fiero, Lani</v>
          </cell>
        </row>
        <row r="304">
          <cell r="B304" t="str">
            <v>Dela Cruz, Michael</v>
          </cell>
        </row>
        <row r="305">
          <cell r="B305" t="str">
            <v>Dela Peña, Neil Alfred Meneses</v>
          </cell>
        </row>
        <row r="306">
          <cell r="B306" t="str">
            <v>Delos Reyes, Rosalina</v>
          </cell>
        </row>
        <row r="307">
          <cell r="B307" t="str">
            <v>Diligencia, Mark Villanueva</v>
          </cell>
        </row>
        <row r="308">
          <cell r="B308" t="str">
            <v>Dimatulac, Elizabeth Zamora</v>
          </cell>
        </row>
        <row r="309">
          <cell r="B309" t="str">
            <v>Dizon, Erwin Bayonito</v>
          </cell>
        </row>
        <row r="310">
          <cell r="B310" t="str">
            <v>Dogma, Adolfo Jr.</v>
          </cell>
        </row>
        <row r="311">
          <cell r="B311" t="str">
            <v>Dogma, John Nathaniel Sunga</v>
          </cell>
        </row>
        <row r="312">
          <cell r="B312" t="str">
            <v>Domingo, Roland Paul Alarcon Jr.</v>
          </cell>
        </row>
        <row r="313">
          <cell r="B313" t="str">
            <v>Duron, Cedric Santos</v>
          </cell>
        </row>
        <row r="314">
          <cell r="B314" t="str">
            <v>Eleazar, Eric Akhnaton Bunyi</v>
          </cell>
        </row>
        <row r="315">
          <cell r="B315" t="str">
            <v>Entereso, Nowell</v>
          </cell>
        </row>
        <row r="316">
          <cell r="B316" t="str">
            <v>Escober, Arjun Adelino</v>
          </cell>
        </row>
        <row r="317">
          <cell r="B317" t="str">
            <v>Espino, Dan Lee Bunag</v>
          </cell>
        </row>
        <row r="318">
          <cell r="B318" t="str">
            <v>Estacio, Rhodora Tabingan</v>
          </cell>
        </row>
        <row r="319">
          <cell r="B319" t="str">
            <v>Evangelista, Baltazar Certifico</v>
          </cell>
        </row>
        <row r="320">
          <cell r="B320" t="str">
            <v>Fajardo, Oliver Somera</v>
          </cell>
        </row>
        <row r="321">
          <cell r="B321" t="str">
            <v>Florendo, Windalyn Rosario Reyes</v>
          </cell>
        </row>
        <row r="322">
          <cell r="B322" t="str">
            <v>Franco, John Carlo Javier</v>
          </cell>
        </row>
        <row r="323">
          <cell r="B323" t="str">
            <v>Gamilla, May Joanne Fauni</v>
          </cell>
        </row>
        <row r="324">
          <cell r="B324" t="str">
            <v>Gamogamo, Peter Ray Carmelo Pangan</v>
          </cell>
        </row>
        <row r="325">
          <cell r="B325" t="str">
            <v>Garcia, Jaime  Antonio Bermont</v>
          </cell>
        </row>
        <row r="326">
          <cell r="B326" t="str">
            <v>Gonora, Mona Lissa Mandi</v>
          </cell>
        </row>
        <row r="327">
          <cell r="B327" t="str">
            <v>Gubuan, May Gel Tam</v>
          </cell>
        </row>
        <row r="328">
          <cell r="B328" t="str">
            <v>Gutierrez, Raymund Atienza</v>
          </cell>
        </row>
        <row r="329">
          <cell r="B329" t="str">
            <v>Hipolito, Bryan</v>
          </cell>
        </row>
        <row r="330">
          <cell r="B330" t="str">
            <v>Hofileña, Shereleen</v>
          </cell>
        </row>
        <row r="331">
          <cell r="B331" t="str">
            <v>Jalbona, Rolyn Mahinay</v>
          </cell>
        </row>
        <row r="332">
          <cell r="B332" t="str">
            <v>Jamisal, Yolanda Arbaniel</v>
          </cell>
        </row>
        <row r="333">
          <cell r="B333" t="str">
            <v>Javier, Harry Vincent Juridico</v>
          </cell>
        </row>
        <row r="334">
          <cell r="B334" t="str">
            <v>Jocson, Benedict R.</v>
          </cell>
        </row>
        <row r="335">
          <cell r="B335" t="str">
            <v>Labao, Jed</v>
          </cell>
        </row>
        <row r="336">
          <cell r="B336" t="str">
            <v>Lado, Sheila</v>
          </cell>
        </row>
        <row r="337">
          <cell r="B337" t="str">
            <v>Lanuza, Ma. Elizabeth  M</v>
          </cell>
        </row>
        <row r="338">
          <cell r="B338" t="str">
            <v>Lapinid, Maie G.</v>
          </cell>
        </row>
        <row r="339">
          <cell r="B339" t="str">
            <v>Laurel,  Jose Mariano Cabreza</v>
          </cell>
        </row>
        <row r="340">
          <cell r="B340" t="str">
            <v>Laus, Leandro  Miguel</v>
          </cell>
        </row>
        <row r="341">
          <cell r="B341" t="str">
            <v>Liwanag, Jhansen Chua</v>
          </cell>
        </row>
        <row r="342">
          <cell r="B342" t="str">
            <v>Lopez, Francis Tiba</v>
          </cell>
        </row>
        <row r="343">
          <cell r="B343" t="str">
            <v>Lopez, Juan Paolo Rufino Trajano</v>
          </cell>
        </row>
        <row r="344">
          <cell r="B344" t="str">
            <v xml:space="preserve">Lucas, Ronald Limjoco </v>
          </cell>
        </row>
        <row r="345">
          <cell r="B345" t="str">
            <v>Madrelejos, Princess Maria Santos</v>
          </cell>
        </row>
        <row r="346">
          <cell r="B346" t="str">
            <v>Magpantay, Romalyn</v>
          </cell>
        </row>
        <row r="347">
          <cell r="B347" t="str">
            <v>Malang, Leah Balingit</v>
          </cell>
        </row>
        <row r="348">
          <cell r="B348" t="str">
            <v>Manaloto, Jay Fernando</v>
          </cell>
        </row>
        <row r="349">
          <cell r="B349" t="str">
            <v>Manito, Blessil Mayor</v>
          </cell>
        </row>
        <row r="350">
          <cell r="B350" t="str">
            <v>Marasigan, Angel Jr. Palo</v>
          </cell>
        </row>
        <row r="351">
          <cell r="B351" t="str">
            <v>Marasigan, Ellen</v>
          </cell>
        </row>
        <row r="352">
          <cell r="B352" t="str">
            <v>Marasigan, Ray Vincent Bay</v>
          </cell>
        </row>
        <row r="353">
          <cell r="B353" t="str">
            <v xml:space="preserve">Marcelo, Jayvee Michael Castillo </v>
          </cell>
        </row>
        <row r="354">
          <cell r="B354" t="str">
            <v>Marcos, Mary Grace O</v>
          </cell>
        </row>
        <row r="355">
          <cell r="B355" t="str">
            <v>Mariano, Teddy Jr. Nati</v>
          </cell>
        </row>
        <row r="356">
          <cell r="B356" t="str">
            <v>Marquez, Maurice  Cuneta</v>
          </cell>
        </row>
        <row r="357">
          <cell r="B357" t="str">
            <v>Mendoza, Adelle Trillanes</v>
          </cell>
        </row>
        <row r="358">
          <cell r="B358" t="str">
            <v>Mendoza, Ricardo Sison</v>
          </cell>
        </row>
        <row r="359">
          <cell r="B359" t="str">
            <v>Mercado, Dorothy Dugenia</v>
          </cell>
        </row>
        <row r="360">
          <cell r="B360" t="str">
            <v>Mojica, Abrian O</v>
          </cell>
        </row>
        <row r="361">
          <cell r="B361" t="str">
            <v>Moldez, Brian Panjelos</v>
          </cell>
        </row>
        <row r="362">
          <cell r="B362" t="str">
            <v>Montenegro, Farrah Grace Yap</v>
          </cell>
        </row>
        <row r="363">
          <cell r="B363" t="str">
            <v>Montiflor, Adrian Ii San Pedro</v>
          </cell>
        </row>
        <row r="364">
          <cell r="B364" t="str">
            <v>Nabong, Adrian Raymond Enriquez</v>
          </cell>
        </row>
        <row r="365">
          <cell r="B365" t="str">
            <v>Nepomuceno, Alfred Allan Cuenca</v>
          </cell>
        </row>
        <row r="366">
          <cell r="B366" t="str">
            <v>Niosco, Karl Angelo Casal</v>
          </cell>
        </row>
        <row r="367">
          <cell r="B367" t="str">
            <v>Nogoy, Mharla Dondi Mepres</v>
          </cell>
        </row>
        <row r="368">
          <cell r="B368" t="str">
            <v>Ocampo, Jesica Jane J.</v>
          </cell>
        </row>
        <row r="369">
          <cell r="B369" t="str">
            <v>Ocampo, Sheryl Evangelista</v>
          </cell>
        </row>
        <row r="370">
          <cell r="B370" t="str">
            <v>Padilla, Luis Antonio Mendoza</v>
          </cell>
        </row>
        <row r="371">
          <cell r="B371" t="str">
            <v>Pagalunan. Khrisanta Perpetua Galdo</v>
          </cell>
        </row>
        <row r="372">
          <cell r="B372" t="str">
            <v>Pajares, Jiro Del Rosario</v>
          </cell>
        </row>
        <row r="373">
          <cell r="B373" t="str">
            <v>Pangan, Pauline</v>
          </cell>
        </row>
        <row r="374">
          <cell r="B374" t="str">
            <v>Pellosis, Leslie Liwanag</v>
          </cell>
        </row>
        <row r="375">
          <cell r="B375" t="str">
            <v>Pestaño, Kenneth Dandan</v>
          </cell>
        </row>
        <row r="376">
          <cell r="B376" t="str">
            <v>Portentado, Celso Pamilacan, Jr</v>
          </cell>
        </row>
        <row r="377">
          <cell r="B377" t="str">
            <v>Pratomo, Mary Ann Villares</v>
          </cell>
        </row>
        <row r="378">
          <cell r="B378" t="str">
            <v>Pulumbarit, Mark Dennis Motiwala</v>
          </cell>
        </row>
        <row r="379">
          <cell r="B379" t="str">
            <v>Purisima, Marie Claire</v>
          </cell>
        </row>
        <row r="380">
          <cell r="B380" t="str">
            <v>Querido, Melvin Villafuerte</v>
          </cell>
        </row>
        <row r="381">
          <cell r="B381" t="str">
            <v>Quetua, Edward</v>
          </cell>
        </row>
        <row r="382">
          <cell r="B382" t="str">
            <v>Quisumbing, Ma. Rhea Villaroel</v>
          </cell>
        </row>
        <row r="383">
          <cell r="B383" t="str">
            <v>Ramirez, Michelle Chavez</v>
          </cell>
        </row>
        <row r="384">
          <cell r="B384" t="str">
            <v>Rances, Ria Rose Diolata</v>
          </cell>
        </row>
        <row r="385">
          <cell r="B385" t="str">
            <v>Raymundo, Erly Joy Vilda</v>
          </cell>
        </row>
        <row r="386">
          <cell r="B386" t="str">
            <v>Rellis, Brisbane Domingo</v>
          </cell>
        </row>
        <row r="387">
          <cell r="B387" t="str">
            <v>Rillorta, Jeremy Justin</v>
          </cell>
        </row>
        <row r="388">
          <cell r="B388" t="str">
            <v>Rivera, Allan  Bautista</v>
          </cell>
        </row>
        <row r="389">
          <cell r="B389" t="str">
            <v>Rivera, Daniel Gabriel Itchon</v>
          </cell>
        </row>
        <row r="390">
          <cell r="B390" t="str">
            <v>Roxas, Maricel</v>
          </cell>
        </row>
        <row r="391">
          <cell r="B391" t="str">
            <v>Salandanan, Ivan Propero</v>
          </cell>
        </row>
        <row r="392">
          <cell r="B392" t="str">
            <v>Salazar, Lelaine Roselle Maninang</v>
          </cell>
        </row>
        <row r="393">
          <cell r="B393" t="str">
            <v>Salazar, Rusky Maninang</v>
          </cell>
        </row>
        <row r="394">
          <cell r="B394" t="str">
            <v>Sales, Peter John Apacible</v>
          </cell>
        </row>
        <row r="395">
          <cell r="B395" t="str">
            <v>Samson, Maria Lourdes O.</v>
          </cell>
        </row>
        <row r="396">
          <cell r="B396" t="str">
            <v>Sanchez, Marie Sharon Bernabe</v>
          </cell>
        </row>
        <row r="397">
          <cell r="B397" t="str">
            <v>Sanchez, Michelle Bernabe</v>
          </cell>
        </row>
        <row r="398">
          <cell r="B398" t="str">
            <v>Santos, Camil Michaella Ambatang</v>
          </cell>
        </row>
        <row r="399">
          <cell r="B399" t="str">
            <v>Santos, Florence Sharon Garchiterona</v>
          </cell>
        </row>
        <row r="400">
          <cell r="B400" t="str">
            <v>Santos, Ian Jasfer Quiamas</v>
          </cell>
        </row>
        <row r="401">
          <cell r="B401" t="str">
            <v>Santos, Lea T.</v>
          </cell>
        </row>
        <row r="402">
          <cell r="B402" t="str">
            <v>Sanz, Dorothy Limjoco</v>
          </cell>
        </row>
        <row r="403">
          <cell r="B403" t="str">
            <v>Secreto, Sharon</v>
          </cell>
        </row>
        <row r="404">
          <cell r="B404" t="str">
            <v>Silva, Joseph Louie Artchil Magsino</v>
          </cell>
        </row>
        <row r="405">
          <cell r="B405" t="str">
            <v>Sobong, Rodney Pasuelo</v>
          </cell>
        </row>
        <row r="406">
          <cell r="B406" t="str">
            <v>Soreda, Aireen C.</v>
          </cell>
        </row>
        <row r="407">
          <cell r="B407" t="str">
            <v>Tamayo, Maria Aniceta Calapabia</v>
          </cell>
        </row>
        <row r="408">
          <cell r="B408" t="str">
            <v>Tan, Ma. Felisa Protomartir</v>
          </cell>
        </row>
        <row r="409">
          <cell r="B409" t="str">
            <v>Tandog, Jeffrey Jason Bunalos</v>
          </cell>
        </row>
        <row r="410">
          <cell r="B410" t="str">
            <v>Tiongco, Leonard Verzosa</v>
          </cell>
        </row>
        <row r="411">
          <cell r="B411" t="str">
            <v>Tongson, Vincent Posadas</v>
          </cell>
        </row>
        <row r="412">
          <cell r="B412" t="str">
            <v>Torres, Antonio Salvador Valladares</v>
          </cell>
        </row>
        <row r="413">
          <cell r="B413" t="str">
            <v>Torres, Jo-Anne Osero</v>
          </cell>
        </row>
        <row r="414">
          <cell r="B414" t="str">
            <v>Trinidad, Emil</v>
          </cell>
        </row>
        <row r="415">
          <cell r="B415" t="str">
            <v>Tuason, Dominic Banzon</v>
          </cell>
        </row>
        <row r="416">
          <cell r="B416" t="str">
            <v>Uichanco, Jose Narciso</v>
          </cell>
        </row>
        <row r="417">
          <cell r="B417" t="str">
            <v>Valbuena, Myla Santos</v>
          </cell>
        </row>
        <row r="418">
          <cell r="B418" t="str">
            <v>Valencia, Juan Victor Reyes</v>
          </cell>
        </row>
        <row r="419">
          <cell r="B419" t="str">
            <v>Vargas, Carlos Segundo Sy</v>
          </cell>
        </row>
        <row r="420">
          <cell r="B420" t="str">
            <v>Vergeire, Aristotle Raiye</v>
          </cell>
        </row>
        <row r="421">
          <cell r="B421" t="str">
            <v>Vergel De Dios, Jennirose Casacop</v>
          </cell>
        </row>
        <row r="422">
          <cell r="B422" t="str">
            <v>Villamor, Marichris Hernandez</v>
          </cell>
        </row>
        <row r="423">
          <cell r="B423" t="str">
            <v>Villar, Diamond Dominguez</v>
          </cell>
        </row>
        <row r="424">
          <cell r="B424" t="str">
            <v>Zapanta, Shiela Marie Guzman</v>
          </cell>
        </row>
        <row r="425">
          <cell r="B425" t="str">
            <v>Zara, Enrico Perez</v>
          </cell>
        </row>
        <row r="426">
          <cell r="B426" t="str">
            <v>Zavalla, Joriza Baybay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E8'97"/>
      <sheetName val="SCV P1A - Shared Cost"/>
      <sheetName val="1120"/>
      <sheetName val="4 Analysis"/>
      <sheetName val="Factor"/>
      <sheetName val="UTILITIES"/>
      <sheetName val="S-CURVE 2"/>
      <sheetName val="S-Curve"/>
      <sheetName val="Sheet1"/>
      <sheetName val="MU"/>
      <sheetName val="GAE8_97"/>
      <sheetName val="conditions"/>
      <sheetName val="openings"/>
      <sheetName val="forex_mu"/>
      <sheetName val="Summary"/>
      <sheetName val="P&amp;L"/>
      <sheetName val="Projected Revenue"/>
      <sheetName val="DOE 2013"/>
      <sheetName val="DOE 2012"/>
      <sheetName val="DOE Details 2013"/>
      <sheetName val="DOE Details 2012"/>
      <sheetName val="Tools 2012"/>
      <sheetName val="Shared Equipment 2013"/>
      <sheetName val="GAE 2012"/>
      <sheetName val="GAE Details 2013"/>
      <sheetName val="GAE Details 2012"/>
      <sheetName val="Capex_GAE 2012"/>
      <sheetName val="Capex_depre GAE 2013"/>
      <sheetName val="Golf Equipment 2012"/>
      <sheetName val="Golf Equipment 2013"/>
      <sheetName val="2013 CAPEX"/>
      <sheetName val="2013 GAE Nonpayroll"/>
      <sheetName val="SCV_P1A_-_Shared_Cost"/>
      <sheetName val="Projected_Revenue"/>
      <sheetName val="DOE_2013"/>
      <sheetName val="DOE_2012"/>
      <sheetName val="DOE_Details_2013"/>
      <sheetName val="DOE_Details_2012"/>
      <sheetName val="Tools_2012"/>
      <sheetName val="Shared_Equipment_2013"/>
      <sheetName val="GAE_2012"/>
      <sheetName val="GAE_Details_2013"/>
      <sheetName val="GAE_Details_2012"/>
      <sheetName val="Capex_GAE_2012"/>
      <sheetName val="Capex_depre_GAE_2013"/>
      <sheetName val="Golf_Equipment_2012"/>
      <sheetName val="Golf_Equipment_2013"/>
      <sheetName val="2013_CAPEX"/>
      <sheetName val="2013_GAE_Nonpayroll"/>
      <sheetName val="cf-var"/>
      <sheetName val="GAE-Jan"/>
      <sheetName val="Schedule S-Curve (new scheme)"/>
      <sheetName val="input"/>
      <sheetName val="Schedule_S-Curve_(new_scheme)"/>
      <sheetName val="Land Dev't. Ph-1"/>
      <sheetName val="4-Lane bridge"/>
      <sheetName val="Hac.Lots"/>
      <sheetName val="Res.Lots"/>
      <sheetName val="Spine Road"/>
      <sheetName val="ph2B cnstrction sched."/>
      <sheetName val="SCV_P1A_-_Shared_Cost1"/>
      <sheetName val="S-CURVE_2"/>
      <sheetName val="Projected_Revenue1"/>
      <sheetName val="DOE_20131"/>
      <sheetName val="DOE_20121"/>
      <sheetName val="DOE_Details_20131"/>
      <sheetName val="DOE_Details_20121"/>
      <sheetName val="Tools_20121"/>
      <sheetName val="Shared_Equipment_20131"/>
      <sheetName val="GAE_20121"/>
      <sheetName val="GAE_Details_20131"/>
      <sheetName val="GAE_Details_20121"/>
      <sheetName val="Capex_GAE_20121"/>
      <sheetName val="Capex_depre_GAE_20131"/>
      <sheetName val="Golf_Equipment_20121"/>
      <sheetName val="Golf_Equipment_20131"/>
      <sheetName val="2013_CAPEX1"/>
      <sheetName val="2013_GAE_Nonpayroll1"/>
      <sheetName val="Launches"/>
      <sheetName val="Projected_Revenue2"/>
      <sheetName val="DOE_20132"/>
      <sheetName val="DOE_20122"/>
      <sheetName val="DOE_Details_20132"/>
      <sheetName val="DOE_Details_20122"/>
      <sheetName val="Tools_20122"/>
      <sheetName val="Shared_Equipment_20132"/>
      <sheetName val="GAE_20122"/>
      <sheetName val="GAE_Details_20132"/>
      <sheetName val="GAE_Details_20122"/>
      <sheetName val="Capex_GAE_20122"/>
      <sheetName val="Capex_depre_GAE_20132"/>
      <sheetName val="Golf_Equipment_20122"/>
      <sheetName val="Golf_Equipment_20132"/>
      <sheetName val="2013_CAPEX2"/>
      <sheetName val="2013_GAE_Nonpayroll2"/>
      <sheetName val="SCV_P1A_-_Shared_Cost2"/>
      <sheetName val="S-CURVE_21"/>
      <sheetName val="ph2B_cnstrction_sched_1"/>
      <sheetName val="ph2B_cnstrction_sched_"/>
      <sheetName val="8-31-98"/>
      <sheetName val="worksheet_inchican4"/>
      <sheetName val="Rel__Wt_"/>
      <sheetName val="Sta__Alex-Direct_Cost"/>
      <sheetName val="Sta__Alex-GROSS_AMT"/>
      <sheetName val="combined_9-304"/>
      <sheetName val="barchart"/>
      <sheetName val="Schedule_S-Curve_(new_scheme)1"/>
      <sheetName val="Schedule_S-Curve_(new_scheme)2"/>
      <sheetName val="Projected_Revenue3"/>
      <sheetName val="DOE_20133"/>
      <sheetName val="DOE_20123"/>
      <sheetName val="DOE_Details_20133"/>
      <sheetName val="DOE_Details_20123"/>
      <sheetName val="Tools_20123"/>
      <sheetName val="Shared_Equipment_20133"/>
      <sheetName val="GAE_20123"/>
      <sheetName val="GAE_Details_20133"/>
      <sheetName val="GAE_Details_20123"/>
      <sheetName val="Capex_GAE_20123"/>
      <sheetName val="Capex_depre_GAE_20133"/>
      <sheetName val="Golf_Equipment_20123"/>
      <sheetName val="Golf_Equipment_20133"/>
      <sheetName val="2013_CAPEX3"/>
      <sheetName val="2013_GAE_Nonpayroll3"/>
      <sheetName val="SCV_P1A_-_Shared_Cost3"/>
      <sheetName val="S-CURVE_22"/>
      <sheetName val="ph2B_cnstrction_sched_2"/>
      <sheetName val="Schedule_S-Curve_(new_scheme)3"/>
      <sheetName val="derive"/>
      <sheetName val="subcon sched"/>
      <sheetName val="remaining billing"/>
      <sheetName val="Projected_Revenue4"/>
      <sheetName val="DOE_20134"/>
      <sheetName val="DOE_20124"/>
      <sheetName val="DOE_Details_20134"/>
      <sheetName val="DOE_Details_20124"/>
      <sheetName val="Tools_20124"/>
      <sheetName val="Shared_Equipment_20134"/>
      <sheetName val="GAE_20124"/>
      <sheetName val="GAE_Details_20134"/>
      <sheetName val="GAE_Details_20124"/>
      <sheetName val="Capex_GAE_20124"/>
      <sheetName val="Capex_depre_GAE_20134"/>
      <sheetName val="Golf_Equipment_20124"/>
      <sheetName val="Golf_Equipment_20134"/>
      <sheetName val="2013_CAPEX4"/>
      <sheetName val="2013_GAE_Nonpayroll4"/>
      <sheetName val="SCV_P1A_-_Shared_Cost4"/>
      <sheetName val="S-CURVE_23"/>
      <sheetName val="ph2B_cnstrction_sched_3"/>
      <sheetName val="Schedule_S-Curve_(new_scheme)4"/>
      <sheetName val="Projected_Revenue5"/>
      <sheetName val="DOE_20135"/>
      <sheetName val="DOE_20125"/>
      <sheetName val="DOE_Details_20135"/>
      <sheetName val="DOE_Details_20125"/>
      <sheetName val="Tools_20125"/>
      <sheetName val="Shared_Equipment_20135"/>
      <sheetName val="GAE_20125"/>
      <sheetName val="GAE_Details_20135"/>
      <sheetName val="GAE_Details_20125"/>
      <sheetName val="Capex_GAE_20125"/>
      <sheetName val="Capex_depre_GAE_20135"/>
      <sheetName val="Golf_Equipment_20125"/>
      <sheetName val="Golf_Equipment_20135"/>
      <sheetName val="2013_CAPEX5"/>
      <sheetName val="2013_GAE_Nonpayroll5"/>
      <sheetName val="SCV_P1A_-_Shared_Cost5"/>
      <sheetName val="S-CURVE_24"/>
      <sheetName val="ph2B_cnstrction_sched_4"/>
      <sheetName val="Schedule_S-Curve_(new_scheme)5"/>
      <sheetName val="Projected_Revenue6"/>
      <sheetName val="DOE_20136"/>
      <sheetName val="DOE_20126"/>
      <sheetName val="DOE_Details_20136"/>
      <sheetName val="DOE_Details_20126"/>
      <sheetName val="Tools_20126"/>
      <sheetName val="Shared_Equipment_20136"/>
      <sheetName val="GAE_20126"/>
      <sheetName val="GAE_Details_20136"/>
      <sheetName val="GAE_Details_20126"/>
      <sheetName val="Capex_GAE_20126"/>
      <sheetName val="Capex_depre_GAE_20136"/>
      <sheetName val="Golf_Equipment_20126"/>
      <sheetName val="Golf_Equipment_20136"/>
      <sheetName val="2013_CAPEX6"/>
      <sheetName val="2013_GAE_Nonpayroll6"/>
      <sheetName val="SCV_P1A_-_Shared_Cost6"/>
      <sheetName val="S-CURVE_25"/>
      <sheetName val="ph2B_cnstrction_sched_5"/>
      <sheetName val="Schedule_S-Curve_(new_scheme)6"/>
      <sheetName val="Projected_Revenue7"/>
      <sheetName val="DOE_20137"/>
      <sheetName val="DOE_20127"/>
      <sheetName val="DOE_Details_20137"/>
      <sheetName val="DOE_Details_20127"/>
      <sheetName val="Tools_20127"/>
      <sheetName val="Shared_Equipment_20137"/>
      <sheetName val="GAE_20127"/>
      <sheetName val="GAE_Details_20137"/>
      <sheetName val="GAE_Details_20127"/>
      <sheetName val="Capex_GAE_20127"/>
      <sheetName val="Capex_depre_GAE_20137"/>
      <sheetName val="Golf_Equipment_20127"/>
      <sheetName val="Golf_Equipment_20137"/>
      <sheetName val="2013_CAPEX7"/>
      <sheetName val="2013_GAE_Nonpayroll7"/>
      <sheetName val="SCV_P1A_-_Shared_Cost7"/>
      <sheetName val="S-CURVE_26"/>
      <sheetName val="ph2B_cnstrction_sched_6"/>
      <sheetName val="Schedule_S-Curve_(new_scheme)7"/>
      <sheetName val="rates"/>
      <sheetName val="Vari by Trade"/>
      <sheetName val="bar chart-rev"/>
      <sheetName val="str. deriv"/>
      <sheetName val="worksheet inchican"/>
      <sheetName val="combined 9-30"/>
      <sheetName val="Projected_Revenue8"/>
      <sheetName val="DOE_20138"/>
      <sheetName val="DOE_20128"/>
      <sheetName val="DOE_Details_20138"/>
      <sheetName val="DOE_Details_20128"/>
      <sheetName val="Tools_20128"/>
      <sheetName val="Shared_Equipment_20138"/>
      <sheetName val="GAE_20128"/>
      <sheetName val="GAE_Details_20138"/>
      <sheetName val="GAE_Details_20128"/>
      <sheetName val="Capex_GAE_20128"/>
      <sheetName val="Capex_depre_GAE_20138"/>
      <sheetName val="Golf_Equipment_20128"/>
      <sheetName val="Golf_Equipment_20138"/>
      <sheetName val="2013_CAPEX8"/>
      <sheetName val="2013_GAE_Nonpayroll8"/>
      <sheetName val="SCV_P1A_-_Shared_Cost8"/>
      <sheetName val="S-CURVE_27"/>
      <sheetName val="ph2B_cnstrction_sched_7"/>
      <sheetName val="Schedule_S-Curve_(new_scheme)8"/>
      <sheetName val="Land_Dev't__Ph-1"/>
      <sheetName val="4-Lane_bridge"/>
      <sheetName val="Hac_Lots"/>
      <sheetName val="Res_Lots"/>
      <sheetName val="Spine_Road"/>
      <sheetName val="bi-mnthly rep Villa"/>
      <sheetName val="original"/>
      <sheetName val="remaining_billing"/>
      <sheetName val="sorter"/>
      <sheetName val="BM"/>
      <sheetName val="DETAILED-SP"/>
      <sheetName val="EQPT - SP"/>
      <sheetName val="eval-PVC"/>
      <sheetName val="RATES G-5"/>
      <sheetName val="subcon_sched"/>
      <sheetName val="bar_chart-rev"/>
      <sheetName val="Vari_by_Trade"/>
      <sheetName val="mydata"/>
      <sheetName val="Conso"/>
      <sheetName val="Conso (2)"/>
      <sheetName val="Cashflow Presentation"/>
      <sheetName val="2015 CF Budget"/>
      <sheetName val="CASHFLOW"/>
      <sheetName val="Receivable"/>
      <sheetName val="Downpayment"/>
      <sheetName val="ProjectCost"/>
      <sheetName val="CAPEX"/>
      <sheetName val="GAE"/>
      <sheetName val="Dividends"/>
      <sheetName val="Misc Income"/>
      <sheetName val="equity infusion"/>
      <sheetName val="IncomeTax"/>
      <sheetName val="Loan Receivable"/>
      <sheetName val="Source"/>
      <sheetName val="PIPING"/>
      <sheetName val="_x0000__x0000__x0000__x0001__x0000_ﺸ"/>
      <sheetName val="MATERIAL'S PRICE"/>
      <sheetName val="UC"/>
      <sheetName val="Projected_Revenue9"/>
      <sheetName val="DOE_20139"/>
      <sheetName val="DOE_20129"/>
      <sheetName val="DOE_Details_20139"/>
      <sheetName val="DOE_Details_20129"/>
      <sheetName val="Tools_20129"/>
      <sheetName val="Shared_Equipment_20139"/>
      <sheetName val="GAE_20129"/>
      <sheetName val="GAE_Details_20139"/>
      <sheetName val="GAE_Details_20129"/>
      <sheetName val="Capex_GAE_20129"/>
      <sheetName val="Capex_depre_GAE_20139"/>
      <sheetName val="Golf_Equipment_20129"/>
      <sheetName val="Golf_Equipment_20139"/>
      <sheetName val="2013_CAPEX9"/>
      <sheetName val="2013_GAE_Nonpayroll9"/>
      <sheetName val="SCV_P1A_-_Shared_Cost9"/>
      <sheetName val="S-CURVE_28"/>
      <sheetName val="ph2B_cnstrction_sched_8"/>
      <sheetName val="Schedule_S-Curve_(new_scheme)9"/>
      <sheetName val="Land_Dev't__Ph-11"/>
      <sheetName val="4-Lane_bridge1"/>
      <sheetName val="Hac_Lots1"/>
      <sheetName val="Res_Lots1"/>
      <sheetName val="Spine_Road1"/>
      <sheetName val="str__deriv"/>
      <sheetName val="BS"/>
      <sheetName val="bill 2"/>
      <sheetName val="Summary (overall)"/>
      <sheetName val="Arch"/>
      <sheetName val="EAST TOWER"/>
      <sheetName val="REBAR"/>
      <sheetName val="Computed Floor Area"/>
      <sheetName val="area comp 2011 01 18"/>
      <sheetName val="Schedule S-Curve Revision#3"/>
      <sheetName val="worksheet"/>
      <sheetName val="UPA-struc"/>
      <sheetName val="P1260Projected.5700 Detail"/>
      <sheetName val="P852.5000 Detail"/>
      <sheetName val="P854.5000 Detail"/>
      <sheetName val="P856.5000 Detail"/>
      <sheetName val="P858.5000 Detail"/>
      <sheetName val="P860Baseline.5000 Detail"/>
      <sheetName val="Valid List"/>
      <sheetName val="_x0000__x0000__x0000__x0001__x0"/>
      <sheetName val="HSBC"/>
      <sheetName val="S-CU ö_x0017__x0005_%_x0000_"/>
      <sheetName val=""/>
      <sheetName val="???_x0001_?ﺸ"/>
      <sheetName val="data"/>
      <sheetName val="CONTRACT-SUM"/>
      <sheetName val="1 park lane"/>
      <sheetName val="CostSked"/>
      <sheetName val="Financing Schemes"/>
      <sheetName val="_Model A costs"/>
      <sheetName val="Model B costs"/>
      <sheetName val="Model C costs"/>
      <sheetName val="worksheet_inchican"/>
      <sheetName val="combined_9-30"/>
      <sheetName val="Data Validation"/>
      <sheetName val="GRAND SUM"/>
      <sheetName val="Summary WG"/>
      <sheetName val="manpower"/>
      <sheetName val="ICA2007-BOQ-Revised (5-7-2007)"/>
      <sheetName val="IN WORDS"/>
      <sheetName val="2.151M_due to dist cooling"/>
      <sheetName val="주식"/>
      <sheetName val="Sheet1 (2)"/>
      <sheetName val="DOE-DEPRECIATION"/>
      <sheetName val="COLUMN"/>
      <sheetName val="Bill#05 Amenities (5F)"/>
      <sheetName val="Bill#02 Basement"/>
      <sheetName val="Bill#07 Common Area"/>
      <sheetName val="Bill#03 GF"/>
      <sheetName val="Bill#04 Podium"/>
      <sheetName val="Bill#06 Residential Tower"/>
      <sheetName val="derivationB2&amp;B3"/>
      <sheetName val="DD EST."/>
      <sheetName val="3.boq danube(o)"/>
      <sheetName val="Branch Power"/>
      <sheetName val="Distrib"/>
      <sheetName val="Emergency"/>
      <sheetName val="Equipment"/>
      <sheetName val="Lighting"/>
      <sheetName val="UC LIB"/>
      <sheetName val="Sheet3"/>
      <sheetName val="Sheet1 (3)"/>
      <sheetName val="Summary (2)"/>
      <sheetName val="Breakdown (2)"/>
      <sheetName val="STRUC&amp;ARCHI"/>
      <sheetName val="Database"/>
      <sheetName val="table"/>
    </sheetNames>
    <sheetDataSet>
      <sheetData sheetId="0">
        <row r="8">
          <cell r="A8" t="str">
            <v>JV#</v>
          </cell>
          <cell r="B8" t="str">
            <v>PARTICULARS</v>
          </cell>
          <cell r="C8" t="str">
            <v>CODE</v>
          </cell>
          <cell r="D8" t="str">
            <v>DIVISION</v>
          </cell>
          <cell r="E8" t="str">
            <v xml:space="preserve">       AMOUNT</v>
          </cell>
          <cell r="H8" t="str">
            <v>PARTICULARS</v>
          </cell>
        </row>
        <row r="9">
          <cell r="H9">
            <v>32814610.619999982</v>
          </cell>
        </row>
        <row r="10">
          <cell r="B10" t="str">
            <v>CONFIDENTIAL PAYROLL</v>
          </cell>
          <cell r="C10">
            <v>1210</v>
          </cell>
          <cell r="D10">
            <v>1</v>
          </cell>
          <cell r="E10">
            <v>5662506.2699999996</v>
          </cell>
        </row>
        <row r="11">
          <cell r="B11" t="str">
            <v>CONFIDENTIAL PAYROLL</v>
          </cell>
          <cell r="C11">
            <v>1210</v>
          </cell>
          <cell r="D11">
            <v>2</v>
          </cell>
          <cell r="E11">
            <v>621179.5</v>
          </cell>
        </row>
        <row r="12">
          <cell r="B12" t="str">
            <v>CONFIDENTIAL PAYROLL</v>
          </cell>
          <cell r="C12">
            <v>1210</v>
          </cell>
          <cell r="D12">
            <v>3</v>
          </cell>
          <cell r="E12">
            <v>603579.51</v>
          </cell>
        </row>
        <row r="13">
          <cell r="B13" t="str">
            <v>CONFIDENTIAL PAYROLL</v>
          </cell>
          <cell r="C13">
            <v>1210</v>
          </cell>
          <cell r="D13">
            <v>4</v>
          </cell>
          <cell r="E13">
            <v>3201254.83</v>
          </cell>
        </row>
        <row r="14">
          <cell r="B14" t="str">
            <v>CONFIDENTIAL PAYROLL</v>
          </cell>
          <cell r="C14">
            <v>1210</v>
          </cell>
          <cell r="D14">
            <v>5</v>
          </cell>
          <cell r="E14">
            <v>1705143.87</v>
          </cell>
        </row>
        <row r="15">
          <cell r="B15" t="str">
            <v>CONFIDENTIAL PAYROLL</v>
          </cell>
          <cell r="C15">
            <v>1210</v>
          </cell>
          <cell r="D15">
            <v>6</v>
          </cell>
          <cell r="E15">
            <v>833506.91</v>
          </cell>
        </row>
        <row r="16">
          <cell r="B16" t="str">
            <v>CONFIDENTIAL PAYROLL</v>
          </cell>
          <cell r="C16">
            <v>1210</v>
          </cell>
          <cell r="D16">
            <v>7</v>
          </cell>
          <cell r="E16">
            <v>484888.21</v>
          </cell>
        </row>
        <row r="17">
          <cell r="B17" t="str">
            <v>CONFIDENTIAL PAYROLL</v>
          </cell>
          <cell r="C17">
            <v>1210</v>
          </cell>
          <cell r="D17">
            <v>8</v>
          </cell>
          <cell r="E17">
            <v>2683890.42</v>
          </cell>
        </row>
        <row r="18">
          <cell r="B18" t="str">
            <v>CONFIDENTIAL PAYROLL</v>
          </cell>
          <cell r="C18">
            <v>1210</v>
          </cell>
          <cell r="D18">
            <v>9</v>
          </cell>
          <cell r="E18">
            <v>719836.47</v>
          </cell>
        </row>
        <row r="19">
          <cell r="B19" t="str">
            <v>CONFIDENTIAL PAYROLL</v>
          </cell>
          <cell r="C19">
            <v>1210</v>
          </cell>
          <cell r="D19">
            <v>10</v>
          </cell>
          <cell r="E19">
            <v>370018.23</v>
          </cell>
        </row>
        <row r="20">
          <cell r="B20" t="str">
            <v>CONFIDENTIAL PAYROLL</v>
          </cell>
          <cell r="C20">
            <v>1210</v>
          </cell>
          <cell r="D20">
            <v>11</v>
          </cell>
          <cell r="E20">
            <v>2489797.2400000002</v>
          </cell>
        </row>
        <row r="21">
          <cell r="B21" t="str">
            <v>CHARGED TO THE PROJECTS</v>
          </cell>
          <cell r="C21">
            <v>1210</v>
          </cell>
          <cell r="D21">
            <v>1</v>
          </cell>
          <cell r="E21">
            <v>-217281.64</v>
          </cell>
        </row>
        <row r="22">
          <cell r="B22" t="str">
            <v>CHARGED TO THE PROJECTS</v>
          </cell>
          <cell r="C22">
            <v>1210</v>
          </cell>
          <cell r="D22">
            <v>2</v>
          </cell>
          <cell r="E22">
            <v>-1595.66</v>
          </cell>
        </row>
        <row r="23">
          <cell r="B23" t="str">
            <v>CHARGED TO THE PROJECTS</v>
          </cell>
          <cell r="C23">
            <v>1210</v>
          </cell>
          <cell r="D23">
            <v>4</v>
          </cell>
          <cell r="E23">
            <v>-1595.64</v>
          </cell>
        </row>
        <row r="24">
          <cell r="B24" t="str">
            <v>CHARGED TO THE PROJECTS</v>
          </cell>
          <cell r="C24">
            <v>1210</v>
          </cell>
          <cell r="D24">
            <v>5</v>
          </cell>
          <cell r="E24">
            <v>-1472504.27</v>
          </cell>
        </row>
        <row r="25">
          <cell r="B25" t="str">
            <v>CHARGED TO THE PROJECTS</v>
          </cell>
          <cell r="C25">
            <v>1210</v>
          </cell>
          <cell r="D25">
            <v>6</v>
          </cell>
          <cell r="E25">
            <v>-2610993.7400000002</v>
          </cell>
        </row>
        <row r="26">
          <cell r="B26" t="str">
            <v>CHARGED TO THE PROJECTS</v>
          </cell>
          <cell r="C26">
            <v>1210</v>
          </cell>
          <cell r="D26">
            <v>7</v>
          </cell>
          <cell r="E26">
            <v>-346212.16</v>
          </cell>
        </row>
        <row r="27">
          <cell r="B27" t="str">
            <v>CHARGED TO THE PROJECTS</v>
          </cell>
          <cell r="C27">
            <v>1210</v>
          </cell>
          <cell r="D27">
            <v>8</v>
          </cell>
          <cell r="E27">
            <v>-3148434.55</v>
          </cell>
        </row>
        <row r="28">
          <cell r="B28" t="str">
            <v>CHARGED TO THE PROJECTS</v>
          </cell>
          <cell r="C28">
            <v>1210</v>
          </cell>
          <cell r="D28">
            <v>10</v>
          </cell>
          <cell r="E28">
            <v>-294.39</v>
          </cell>
        </row>
        <row r="29">
          <cell r="B29" t="str">
            <v>CHARGED TO THE PROJECTS</v>
          </cell>
          <cell r="C29">
            <v>1210</v>
          </cell>
          <cell r="D29">
            <v>11</v>
          </cell>
          <cell r="E29">
            <v>-2787212.23</v>
          </cell>
        </row>
        <row r="30">
          <cell r="B30" t="str">
            <v>REGULAR EMPLOYEES</v>
          </cell>
          <cell r="C30">
            <v>1211</v>
          </cell>
          <cell r="D30">
            <v>1</v>
          </cell>
          <cell r="E30">
            <v>178879.28</v>
          </cell>
        </row>
        <row r="31">
          <cell r="B31" t="str">
            <v>REGULAR EMPLOYEES</v>
          </cell>
          <cell r="C31">
            <v>1211</v>
          </cell>
          <cell r="D31">
            <v>2</v>
          </cell>
          <cell r="E31">
            <v>911599.93</v>
          </cell>
        </row>
        <row r="32">
          <cell r="B32" t="str">
            <v>REGULAR EMPLOYEES</v>
          </cell>
          <cell r="C32">
            <v>1211</v>
          </cell>
          <cell r="D32">
            <v>3</v>
          </cell>
          <cell r="E32">
            <v>315194.86</v>
          </cell>
        </row>
        <row r="33">
          <cell r="B33" t="str">
            <v>REGULAR EMPLOYEES</v>
          </cell>
          <cell r="C33">
            <v>1211</v>
          </cell>
          <cell r="D33">
            <v>4</v>
          </cell>
          <cell r="E33">
            <v>1011886.67</v>
          </cell>
        </row>
        <row r="34">
          <cell r="B34" t="str">
            <v>REGULAR EMPLOYEES</v>
          </cell>
          <cell r="C34">
            <v>1211</v>
          </cell>
          <cell r="D34">
            <v>5</v>
          </cell>
          <cell r="E34">
            <v>837111</v>
          </cell>
        </row>
        <row r="35">
          <cell r="B35" t="str">
            <v>REGULAR EMPLOYEES</v>
          </cell>
          <cell r="C35">
            <v>1211</v>
          </cell>
          <cell r="D35">
            <v>6</v>
          </cell>
          <cell r="E35">
            <v>2026717.08</v>
          </cell>
        </row>
        <row r="36">
          <cell r="B36" t="str">
            <v>REGULAR EMPLOYEES</v>
          </cell>
          <cell r="C36">
            <v>1211</v>
          </cell>
          <cell r="D36">
            <v>7</v>
          </cell>
          <cell r="E36">
            <v>200448.5</v>
          </cell>
        </row>
        <row r="37">
          <cell r="B37" t="str">
            <v>REGULAR EMPLOYEES</v>
          </cell>
          <cell r="C37">
            <v>1211</v>
          </cell>
          <cell r="D37">
            <v>8</v>
          </cell>
          <cell r="E37">
            <v>4581055.76</v>
          </cell>
        </row>
        <row r="38">
          <cell r="B38" t="str">
            <v>REGULAR EMPLOYEES</v>
          </cell>
          <cell r="C38">
            <v>1211</v>
          </cell>
          <cell r="D38">
            <v>9</v>
          </cell>
          <cell r="E38">
            <v>223446.66</v>
          </cell>
        </row>
        <row r="39">
          <cell r="B39" t="str">
            <v>REGULAR EMPLOYEES</v>
          </cell>
          <cell r="C39">
            <v>1211</v>
          </cell>
          <cell r="D39">
            <v>10</v>
          </cell>
          <cell r="E39">
            <v>0</v>
          </cell>
        </row>
        <row r="40">
          <cell r="B40" t="str">
            <v>REGULAR EMPLOYEES</v>
          </cell>
          <cell r="C40">
            <v>1211</v>
          </cell>
          <cell r="D40">
            <v>11</v>
          </cell>
          <cell r="E40">
            <v>1104123.42</v>
          </cell>
        </row>
        <row r="41">
          <cell r="B41" t="str">
            <v>REGULAR EMPLOYEES</v>
          </cell>
          <cell r="C41">
            <v>1212</v>
          </cell>
          <cell r="D41">
            <v>2</v>
          </cell>
          <cell r="E41">
            <v>122314.05</v>
          </cell>
        </row>
        <row r="42">
          <cell r="B42" t="str">
            <v>REGULAR EMPLOYEES</v>
          </cell>
          <cell r="C42">
            <v>1212</v>
          </cell>
          <cell r="D42">
            <v>3</v>
          </cell>
          <cell r="E42">
            <v>6253.65</v>
          </cell>
        </row>
        <row r="43">
          <cell r="B43" t="str">
            <v>REGULAR EMPLOYEES</v>
          </cell>
          <cell r="C43">
            <v>1212</v>
          </cell>
          <cell r="D43">
            <v>4</v>
          </cell>
          <cell r="E43">
            <v>107148.02</v>
          </cell>
        </row>
        <row r="44">
          <cell r="B44" t="str">
            <v>REGULAR EMPLOYEES</v>
          </cell>
          <cell r="C44">
            <v>1212</v>
          </cell>
          <cell r="D44">
            <v>5</v>
          </cell>
          <cell r="E44">
            <v>5224.2299999999996</v>
          </cell>
        </row>
        <row r="45">
          <cell r="B45" t="str">
            <v>REGULAR EMPLOYEES</v>
          </cell>
          <cell r="C45">
            <v>1212</v>
          </cell>
          <cell r="D45">
            <v>8</v>
          </cell>
          <cell r="E45">
            <v>365643.91</v>
          </cell>
        </row>
        <row r="46">
          <cell r="B46" t="str">
            <v>REGULAR EMPLOYEES</v>
          </cell>
          <cell r="C46">
            <v>1212</v>
          </cell>
          <cell r="D46">
            <v>9</v>
          </cell>
          <cell r="E46">
            <v>265.29000000000002</v>
          </cell>
        </row>
        <row r="47">
          <cell r="B47" t="str">
            <v>REGULAR EMPLOYEES</v>
          </cell>
          <cell r="C47">
            <v>1213</v>
          </cell>
          <cell r="D47">
            <v>1</v>
          </cell>
          <cell r="E47">
            <v>65958.75</v>
          </cell>
        </row>
        <row r="48">
          <cell r="B48" t="str">
            <v>REGULAR EMPLOYEES</v>
          </cell>
          <cell r="C48">
            <v>1213</v>
          </cell>
          <cell r="D48">
            <v>2</v>
          </cell>
          <cell r="E48">
            <v>121410</v>
          </cell>
        </row>
        <row r="49">
          <cell r="B49" t="str">
            <v>REGULAR EMPLOYEES</v>
          </cell>
          <cell r="C49">
            <v>1213</v>
          </cell>
          <cell r="D49">
            <v>3</v>
          </cell>
          <cell r="E49">
            <v>38960</v>
          </cell>
        </row>
        <row r="50">
          <cell r="B50" t="str">
            <v>REGULAR EMPLOYEES</v>
          </cell>
          <cell r="C50">
            <v>1213</v>
          </cell>
          <cell r="D50">
            <v>4</v>
          </cell>
          <cell r="E50">
            <v>104263.33</v>
          </cell>
        </row>
        <row r="51">
          <cell r="B51" t="str">
            <v>REGULAR EMPLOYEES</v>
          </cell>
          <cell r="C51">
            <v>1213</v>
          </cell>
          <cell r="D51">
            <v>8</v>
          </cell>
          <cell r="E51">
            <v>268548.33</v>
          </cell>
        </row>
        <row r="52">
          <cell r="B52" t="str">
            <v>REGULAR EMPLOYEES</v>
          </cell>
          <cell r="C52">
            <v>1213</v>
          </cell>
          <cell r="D52">
            <v>9</v>
          </cell>
          <cell r="E52">
            <v>37510</v>
          </cell>
        </row>
        <row r="53">
          <cell r="B53" t="str">
            <v>PROJECT EMPLOYEES</v>
          </cell>
          <cell r="C53">
            <v>1215</v>
          </cell>
          <cell r="D53">
            <v>2</v>
          </cell>
          <cell r="E53">
            <v>-3979.28</v>
          </cell>
        </row>
        <row r="54">
          <cell r="B54" t="str">
            <v>PROJECT EMPLOYEES</v>
          </cell>
          <cell r="C54">
            <v>1215</v>
          </cell>
          <cell r="D54">
            <v>3</v>
          </cell>
          <cell r="E54">
            <v>0</v>
          </cell>
        </row>
        <row r="55">
          <cell r="B55" t="str">
            <v>PROJECT EMPLOYEES</v>
          </cell>
          <cell r="C55">
            <v>1215</v>
          </cell>
          <cell r="D55">
            <v>4</v>
          </cell>
          <cell r="E55">
            <v>16610.580000000002</v>
          </cell>
        </row>
        <row r="56">
          <cell r="B56" t="str">
            <v>PROJECT EMPLOYEES</v>
          </cell>
          <cell r="C56">
            <v>1215</v>
          </cell>
          <cell r="D56">
            <v>8</v>
          </cell>
          <cell r="E56">
            <v>0</v>
          </cell>
        </row>
        <row r="57">
          <cell r="B57" t="str">
            <v>PROJECT EMPLOYEES</v>
          </cell>
          <cell r="C57">
            <v>1215</v>
          </cell>
          <cell r="D57">
            <v>9</v>
          </cell>
          <cell r="E57">
            <v>28366.48</v>
          </cell>
        </row>
        <row r="58">
          <cell r="B58" t="str">
            <v>PROJECT EMPLOYEES</v>
          </cell>
          <cell r="C58">
            <v>1215</v>
          </cell>
          <cell r="D58">
            <v>10</v>
          </cell>
          <cell r="E58">
            <v>0</v>
          </cell>
        </row>
        <row r="59">
          <cell r="B59" t="str">
            <v>EMPLY.' BENEFITS-OTHS.</v>
          </cell>
          <cell r="C59">
            <v>1220</v>
          </cell>
          <cell r="D59">
            <v>1</v>
          </cell>
          <cell r="E59">
            <v>12742.37</v>
          </cell>
        </row>
        <row r="60">
          <cell r="B60" t="str">
            <v>EMPLY.' BENEFITS-OTHS.</v>
          </cell>
          <cell r="C60">
            <v>1220</v>
          </cell>
          <cell r="D60">
            <v>2</v>
          </cell>
          <cell r="E60">
            <v>27254.639999999999</v>
          </cell>
        </row>
        <row r="61">
          <cell r="B61" t="str">
            <v>EMPLY.' BENEFITS-OTHS.</v>
          </cell>
          <cell r="C61">
            <v>1220</v>
          </cell>
          <cell r="D61">
            <v>3</v>
          </cell>
          <cell r="E61">
            <v>11000.28</v>
          </cell>
        </row>
        <row r="62">
          <cell r="B62" t="str">
            <v>EMPLY.' BENEFITS-OTHS.</v>
          </cell>
          <cell r="C62">
            <v>1220</v>
          </cell>
          <cell r="D62">
            <v>4</v>
          </cell>
          <cell r="E62">
            <v>15745.85</v>
          </cell>
        </row>
        <row r="63">
          <cell r="B63" t="str">
            <v>EMPLY.' BENEFITS-OTHS.</v>
          </cell>
          <cell r="C63">
            <v>1220</v>
          </cell>
          <cell r="D63">
            <v>5</v>
          </cell>
          <cell r="E63">
            <v>10583.14</v>
          </cell>
        </row>
        <row r="64">
          <cell r="B64" t="str">
            <v>EMPLY.' BENEFITS-OTHS.</v>
          </cell>
          <cell r="C64">
            <v>1220</v>
          </cell>
          <cell r="D64">
            <v>6</v>
          </cell>
          <cell r="E64">
            <v>2636.95</v>
          </cell>
        </row>
        <row r="65">
          <cell r="B65" t="str">
            <v>EMPLY.' BENEFITS-OTHS.</v>
          </cell>
          <cell r="C65">
            <v>1220</v>
          </cell>
          <cell r="D65">
            <v>7</v>
          </cell>
          <cell r="E65">
            <v>2171.7800000000002</v>
          </cell>
        </row>
        <row r="66">
          <cell r="B66" t="str">
            <v>EMPLY.' BENEFITS-OTHS.</v>
          </cell>
          <cell r="C66">
            <v>1220</v>
          </cell>
          <cell r="D66">
            <v>8</v>
          </cell>
          <cell r="E66">
            <v>36666.18</v>
          </cell>
        </row>
        <row r="67">
          <cell r="B67" t="str">
            <v>EMPLY.' BENEFITS-OTHS.</v>
          </cell>
          <cell r="C67">
            <v>1220</v>
          </cell>
          <cell r="D67">
            <v>9</v>
          </cell>
          <cell r="E67">
            <v>8367.98</v>
          </cell>
        </row>
        <row r="68">
          <cell r="B68" t="str">
            <v>EMPLY.' BENEFITS-OTHS.</v>
          </cell>
          <cell r="C68">
            <v>1220</v>
          </cell>
          <cell r="D68">
            <v>10</v>
          </cell>
          <cell r="E68">
            <v>4529.26</v>
          </cell>
        </row>
        <row r="69">
          <cell r="B69" t="str">
            <v>EMPLY.' BENEFITS-OTHS.</v>
          </cell>
          <cell r="C69">
            <v>1220</v>
          </cell>
          <cell r="D69">
            <v>11</v>
          </cell>
          <cell r="E69">
            <v>28532.69</v>
          </cell>
        </row>
        <row r="70">
          <cell r="B70" t="str">
            <v>EMPLY.' BENEFITS-OTHS.</v>
          </cell>
          <cell r="C70">
            <v>1221</v>
          </cell>
          <cell r="D70">
            <v>1</v>
          </cell>
          <cell r="E70">
            <v>250.74</v>
          </cell>
        </row>
        <row r="71">
          <cell r="B71" t="str">
            <v>EMPLY.' BENEFITS-OTHS.</v>
          </cell>
          <cell r="C71">
            <v>1221</v>
          </cell>
          <cell r="D71">
            <v>2</v>
          </cell>
          <cell r="E71">
            <v>2958.3</v>
          </cell>
        </row>
        <row r="72">
          <cell r="B72" t="str">
            <v>EMPLY.' BENEFITS-OTHS.</v>
          </cell>
          <cell r="C72">
            <v>1221</v>
          </cell>
          <cell r="D72">
            <v>3</v>
          </cell>
          <cell r="E72">
            <v>1362.42</v>
          </cell>
        </row>
        <row r="73">
          <cell r="B73" t="str">
            <v>EMPLY.' BENEFITS-OTHS.</v>
          </cell>
          <cell r="C73">
            <v>1221</v>
          </cell>
          <cell r="D73">
            <v>4</v>
          </cell>
          <cell r="E73">
            <v>4507.96</v>
          </cell>
        </row>
        <row r="74">
          <cell r="B74" t="str">
            <v>EMPLY.' BENEFITS-OTHS.</v>
          </cell>
          <cell r="C74">
            <v>1221</v>
          </cell>
          <cell r="D74">
            <v>5</v>
          </cell>
          <cell r="E74">
            <v>2536.83</v>
          </cell>
        </row>
        <row r="75">
          <cell r="B75" t="str">
            <v>EMPLY.' BENEFITS-OTHS.</v>
          </cell>
          <cell r="C75">
            <v>1221</v>
          </cell>
          <cell r="D75">
            <v>7</v>
          </cell>
          <cell r="E75">
            <v>0</v>
          </cell>
        </row>
        <row r="76">
          <cell r="B76" t="str">
            <v>EMPLY.' BENEFITS-OTHS.</v>
          </cell>
          <cell r="C76">
            <v>1221</v>
          </cell>
          <cell r="D76">
            <v>8</v>
          </cell>
          <cell r="E76">
            <v>14353.58</v>
          </cell>
        </row>
        <row r="77">
          <cell r="B77" t="str">
            <v>EMPLY.' BENEFITS-OTHS.</v>
          </cell>
          <cell r="C77">
            <v>1221</v>
          </cell>
          <cell r="D77">
            <v>9</v>
          </cell>
          <cell r="E77">
            <v>3155.19</v>
          </cell>
        </row>
        <row r="78">
          <cell r="B78" t="str">
            <v>EMPLY.' BENEFITS-OTHS.</v>
          </cell>
          <cell r="C78">
            <v>1221</v>
          </cell>
          <cell r="D78">
            <v>10</v>
          </cell>
          <cell r="E78">
            <v>0</v>
          </cell>
        </row>
        <row r="79">
          <cell r="B79" t="str">
            <v>EMPLY.' BENEFITS-OTHS.</v>
          </cell>
          <cell r="C79">
            <v>1221</v>
          </cell>
          <cell r="D79">
            <v>11</v>
          </cell>
          <cell r="E79">
            <v>250.74</v>
          </cell>
        </row>
        <row r="80">
          <cell r="B80" t="str">
            <v>EMPLY.' BENEFITS-OTHS.</v>
          </cell>
          <cell r="C80">
            <v>1222</v>
          </cell>
          <cell r="D80">
            <v>1</v>
          </cell>
          <cell r="E80">
            <v>2509.21</v>
          </cell>
        </row>
        <row r="81">
          <cell r="B81" t="str">
            <v>EMPLY.' BENEFITS-OTHS.</v>
          </cell>
          <cell r="C81">
            <v>1222</v>
          </cell>
          <cell r="D81">
            <v>2</v>
          </cell>
          <cell r="E81">
            <v>12387.92</v>
          </cell>
        </row>
        <row r="82">
          <cell r="B82" t="str">
            <v>EMPLY.' BENEFITS-OTHS.</v>
          </cell>
          <cell r="C82">
            <v>1222</v>
          </cell>
          <cell r="D82">
            <v>3</v>
          </cell>
          <cell r="E82">
            <v>6115.45</v>
          </cell>
        </row>
        <row r="83">
          <cell r="B83" t="str">
            <v>EMPLY.' BENEFITS-OTHS.</v>
          </cell>
          <cell r="C83">
            <v>1222</v>
          </cell>
          <cell r="D83">
            <v>4</v>
          </cell>
          <cell r="E83">
            <v>58297.7</v>
          </cell>
        </row>
        <row r="84">
          <cell r="B84" t="str">
            <v>EMPLY.' BENEFITS-OTHS.</v>
          </cell>
          <cell r="C84">
            <v>1222</v>
          </cell>
          <cell r="D84">
            <v>5</v>
          </cell>
          <cell r="E84">
            <v>11624.44</v>
          </cell>
        </row>
        <row r="85">
          <cell r="B85" t="str">
            <v>EMPLY.' BENEFITS-OTHS.</v>
          </cell>
          <cell r="C85">
            <v>1222</v>
          </cell>
          <cell r="D85">
            <v>6</v>
          </cell>
          <cell r="E85">
            <v>17472.490000000002</v>
          </cell>
        </row>
        <row r="86">
          <cell r="B86" t="str">
            <v>EMPLY.' BENEFITS-OTHS.</v>
          </cell>
          <cell r="C86">
            <v>1222</v>
          </cell>
          <cell r="D86">
            <v>7</v>
          </cell>
          <cell r="E86">
            <v>2947.31</v>
          </cell>
        </row>
        <row r="87">
          <cell r="B87" t="str">
            <v>EMPLY.' BENEFITS-OTHS.</v>
          </cell>
          <cell r="C87">
            <v>1222</v>
          </cell>
          <cell r="D87">
            <v>8</v>
          </cell>
          <cell r="E87">
            <v>56152.06</v>
          </cell>
        </row>
        <row r="88">
          <cell r="B88" t="str">
            <v>EMPLY.' BENEFITS-OTHS.</v>
          </cell>
          <cell r="C88">
            <v>1222</v>
          </cell>
          <cell r="D88">
            <v>9</v>
          </cell>
          <cell r="E88">
            <v>10349.92</v>
          </cell>
        </row>
        <row r="89">
          <cell r="B89" t="str">
            <v>EMPLY.' BENEFITS-OTHS.</v>
          </cell>
          <cell r="C89">
            <v>1222</v>
          </cell>
          <cell r="D89">
            <v>11</v>
          </cell>
          <cell r="E89">
            <v>13929.63</v>
          </cell>
        </row>
        <row r="90">
          <cell r="B90" t="str">
            <v>EMPLY.' BENEFITS-OTHS.</v>
          </cell>
          <cell r="C90">
            <v>1223</v>
          </cell>
          <cell r="D90">
            <v>1</v>
          </cell>
          <cell r="E90">
            <v>41841.49</v>
          </cell>
        </row>
        <row r="91">
          <cell r="B91" t="str">
            <v>EMPLY.' BENEFITS-OTHS.</v>
          </cell>
          <cell r="C91">
            <v>1223</v>
          </cell>
          <cell r="D91">
            <v>2</v>
          </cell>
          <cell r="E91">
            <v>50964.88</v>
          </cell>
        </row>
        <row r="92">
          <cell r="B92" t="str">
            <v>EMPLY.' BENEFITS-OTHS.</v>
          </cell>
          <cell r="C92">
            <v>1223</v>
          </cell>
          <cell r="D92">
            <v>3</v>
          </cell>
          <cell r="E92">
            <v>19213.68</v>
          </cell>
        </row>
        <row r="93">
          <cell r="B93" t="str">
            <v>EMPLY.' BENEFITS-OTHS.</v>
          </cell>
          <cell r="C93">
            <v>1223</v>
          </cell>
          <cell r="D93">
            <v>4</v>
          </cell>
          <cell r="E93">
            <v>54068.03</v>
          </cell>
        </row>
        <row r="94">
          <cell r="B94" t="str">
            <v>EMPLY.' BENEFITS-OTHS.</v>
          </cell>
          <cell r="C94">
            <v>1223</v>
          </cell>
          <cell r="D94">
            <v>5</v>
          </cell>
          <cell r="E94">
            <v>10738.6</v>
          </cell>
        </row>
        <row r="95">
          <cell r="B95" t="str">
            <v>EMPLY.' BENEFITS-OTHS.</v>
          </cell>
          <cell r="C95">
            <v>1223</v>
          </cell>
          <cell r="D95">
            <v>7</v>
          </cell>
          <cell r="E95">
            <v>10323.799999999999</v>
          </cell>
        </row>
        <row r="96">
          <cell r="B96" t="str">
            <v>EMPLY.' BENEFITS-OTHS.</v>
          </cell>
          <cell r="C96">
            <v>1223</v>
          </cell>
          <cell r="D96">
            <v>8</v>
          </cell>
          <cell r="E96">
            <v>114171.18</v>
          </cell>
        </row>
        <row r="97">
          <cell r="B97" t="str">
            <v>EMPLY.' BENEFITS-OTHS.</v>
          </cell>
          <cell r="C97">
            <v>1223</v>
          </cell>
          <cell r="D97">
            <v>9</v>
          </cell>
          <cell r="E97">
            <v>7040.68</v>
          </cell>
        </row>
        <row r="98">
          <cell r="B98" t="str">
            <v>EMPLY.' BENEFITS-OTHS.</v>
          </cell>
          <cell r="C98">
            <v>1224</v>
          </cell>
          <cell r="D98">
            <v>1</v>
          </cell>
          <cell r="E98">
            <v>-209.94</v>
          </cell>
        </row>
        <row r="99">
          <cell r="B99" t="str">
            <v>EMPLY.' BENEFITS-OTHS.</v>
          </cell>
          <cell r="C99">
            <v>1224</v>
          </cell>
          <cell r="D99">
            <v>2</v>
          </cell>
          <cell r="E99">
            <v>-629.79999999999995</v>
          </cell>
        </row>
        <row r="100">
          <cell r="B100" t="str">
            <v>EMPLY.' BENEFITS-OTHS.</v>
          </cell>
          <cell r="C100">
            <v>1224</v>
          </cell>
          <cell r="D100">
            <v>3</v>
          </cell>
          <cell r="E100">
            <v>-349.9</v>
          </cell>
        </row>
        <row r="101">
          <cell r="B101" t="str">
            <v>EMPLY.' BENEFITS-OTHS.</v>
          </cell>
          <cell r="C101">
            <v>1224</v>
          </cell>
          <cell r="D101">
            <v>4</v>
          </cell>
          <cell r="E101">
            <v>-807.1</v>
          </cell>
        </row>
        <row r="102">
          <cell r="B102" t="str">
            <v>EMPLY.' BENEFITS-OTHS.</v>
          </cell>
          <cell r="C102">
            <v>1224</v>
          </cell>
          <cell r="D102">
            <v>5</v>
          </cell>
          <cell r="E102">
            <v>-34.99</v>
          </cell>
        </row>
        <row r="103">
          <cell r="B103" t="str">
            <v>EMPLY.' BENEFITS-OTHS.</v>
          </cell>
          <cell r="C103">
            <v>1224</v>
          </cell>
          <cell r="D103">
            <v>6</v>
          </cell>
          <cell r="E103">
            <v>-1982.75</v>
          </cell>
        </row>
        <row r="104">
          <cell r="B104" t="str">
            <v>EMPLY.' BENEFITS-OTHS.</v>
          </cell>
          <cell r="C104">
            <v>1224</v>
          </cell>
          <cell r="D104">
            <v>8</v>
          </cell>
          <cell r="E104">
            <v>-1856.79</v>
          </cell>
        </row>
        <row r="105">
          <cell r="B105" t="str">
            <v>EMPLY.' BENEFITS-OTHS.</v>
          </cell>
          <cell r="C105">
            <v>1224</v>
          </cell>
          <cell r="D105">
            <v>9</v>
          </cell>
          <cell r="E105">
            <v>-559.82000000000005</v>
          </cell>
        </row>
        <row r="106">
          <cell r="B106" t="str">
            <v>EMPLY.' BENEFITS-OTHS.</v>
          </cell>
          <cell r="C106">
            <v>1225</v>
          </cell>
          <cell r="D106">
            <v>1</v>
          </cell>
          <cell r="E106">
            <v>8000</v>
          </cell>
        </row>
        <row r="107">
          <cell r="B107" t="str">
            <v>EMPLY.' BENEFITS-OTHS.</v>
          </cell>
          <cell r="C107">
            <v>1225</v>
          </cell>
          <cell r="D107">
            <v>2</v>
          </cell>
          <cell r="E107">
            <v>30325.08</v>
          </cell>
        </row>
        <row r="108">
          <cell r="B108" t="str">
            <v>EMPLY.' BENEFITS-OTHS.</v>
          </cell>
          <cell r="C108">
            <v>1225</v>
          </cell>
          <cell r="D108">
            <v>3</v>
          </cell>
          <cell r="E108">
            <v>18000</v>
          </cell>
        </row>
        <row r="109">
          <cell r="B109" t="str">
            <v>EMPLY.' BENEFITS-OTHS.</v>
          </cell>
          <cell r="C109">
            <v>1225</v>
          </cell>
          <cell r="D109">
            <v>4</v>
          </cell>
          <cell r="E109">
            <v>47200</v>
          </cell>
        </row>
        <row r="110">
          <cell r="B110" t="str">
            <v>EMPLY.' BENEFITS-OTHS.</v>
          </cell>
          <cell r="C110">
            <v>1225</v>
          </cell>
          <cell r="D110">
            <v>5</v>
          </cell>
          <cell r="E110">
            <v>1600</v>
          </cell>
        </row>
        <row r="111">
          <cell r="B111" t="str">
            <v>EMPLY.' BENEFITS-OTHS.</v>
          </cell>
          <cell r="C111">
            <v>1225</v>
          </cell>
          <cell r="D111">
            <v>6</v>
          </cell>
          <cell r="E111">
            <v>6400</v>
          </cell>
        </row>
        <row r="112">
          <cell r="B112" t="str">
            <v>EMPLY.' BENEFITS-OTHS.</v>
          </cell>
          <cell r="C112">
            <v>1225</v>
          </cell>
          <cell r="D112">
            <v>7</v>
          </cell>
          <cell r="E112">
            <v>0</v>
          </cell>
        </row>
        <row r="113">
          <cell r="B113" t="str">
            <v>EMPLY.' BENEFITS-OTHS.</v>
          </cell>
          <cell r="C113">
            <v>1225</v>
          </cell>
          <cell r="D113">
            <v>8</v>
          </cell>
          <cell r="E113">
            <v>110400</v>
          </cell>
        </row>
        <row r="114">
          <cell r="B114" t="str">
            <v>EMPLY.' BENEFITS-OTHS.</v>
          </cell>
          <cell r="C114">
            <v>1225</v>
          </cell>
          <cell r="D114">
            <v>9</v>
          </cell>
          <cell r="E114">
            <v>24800</v>
          </cell>
        </row>
        <row r="115">
          <cell r="B115" t="str">
            <v>EMPLY.' BENEFITS-OTHS.</v>
          </cell>
          <cell r="C115">
            <v>1225</v>
          </cell>
          <cell r="D115">
            <v>10</v>
          </cell>
          <cell r="E115">
            <v>0</v>
          </cell>
        </row>
        <row r="116">
          <cell r="B116" t="str">
            <v>EMPLY.' BENEFITS-OTHS.</v>
          </cell>
          <cell r="C116">
            <v>1227</v>
          </cell>
          <cell r="D116">
            <v>1</v>
          </cell>
          <cell r="E116">
            <v>3771.73</v>
          </cell>
        </row>
        <row r="117">
          <cell r="B117" t="str">
            <v>EMPLY.' BENEFITS-OTHS.</v>
          </cell>
          <cell r="C117">
            <v>1227</v>
          </cell>
          <cell r="D117">
            <v>2</v>
          </cell>
          <cell r="E117">
            <v>45532.12</v>
          </cell>
        </row>
        <row r="118">
          <cell r="B118" t="str">
            <v>EMPLY.' BENEFITS-OTHS.</v>
          </cell>
          <cell r="C118">
            <v>1227</v>
          </cell>
          <cell r="D118">
            <v>3</v>
          </cell>
          <cell r="E118">
            <v>18302.52</v>
          </cell>
        </row>
        <row r="119">
          <cell r="B119" t="str">
            <v>EMPLY.' BENEFITS-OTHS.</v>
          </cell>
          <cell r="C119">
            <v>1227</v>
          </cell>
          <cell r="D119">
            <v>4</v>
          </cell>
          <cell r="E119">
            <v>64496.54</v>
          </cell>
        </row>
        <row r="120">
          <cell r="B120" t="str">
            <v>EMPLY.' BENEFITS-OTHS.</v>
          </cell>
          <cell r="C120">
            <v>1227</v>
          </cell>
          <cell r="D120">
            <v>5</v>
          </cell>
          <cell r="E120">
            <v>7635.45</v>
          </cell>
        </row>
        <row r="121">
          <cell r="B121" t="str">
            <v>EMPLY.' BENEFITS-OTHS.</v>
          </cell>
          <cell r="C121">
            <v>1227</v>
          </cell>
          <cell r="D121">
            <v>6</v>
          </cell>
          <cell r="E121">
            <v>5356.97</v>
          </cell>
        </row>
        <row r="122">
          <cell r="B122" t="str">
            <v>EMPLY.' BENEFITS-OTHS.</v>
          </cell>
          <cell r="C122">
            <v>1227</v>
          </cell>
          <cell r="D122">
            <v>7</v>
          </cell>
          <cell r="E122">
            <v>2742.86</v>
          </cell>
        </row>
        <row r="123">
          <cell r="B123" t="str">
            <v>EMPLY.' BENEFITS-OTHS.</v>
          </cell>
          <cell r="C123">
            <v>1227</v>
          </cell>
          <cell r="D123">
            <v>8</v>
          </cell>
          <cell r="E123">
            <v>109178.28</v>
          </cell>
        </row>
        <row r="124">
          <cell r="B124" t="str">
            <v>EMPLY.' BENEFITS-OTHS.</v>
          </cell>
          <cell r="C124">
            <v>1227</v>
          </cell>
          <cell r="D124">
            <v>9</v>
          </cell>
          <cell r="E124">
            <v>31078.26</v>
          </cell>
        </row>
        <row r="125">
          <cell r="B125" t="str">
            <v>EMPLY.' BENEFITS-OTHS.</v>
          </cell>
          <cell r="C125">
            <v>1227</v>
          </cell>
          <cell r="D125">
            <v>10</v>
          </cell>
          <cell r="E125">
            <v>1784.2</v>
          </cell>
        </row>
        <row r="126">
          <cell r="B126" t="str">
            <v>EMPLY.' BENEFITS-OTHS.</v>
          </cell>
          <cell r="C126">
            <v>1227</v>
          </cell>
          <cell r="D126">
            <v>11</v>
          </cell>
          <cell r="E126">
            <v>36.14</v>
          </cell>
        </row>
        <row r="127">
          <cell r="B127" t="str">
            <v>EMPLY.' BENEFITS-OTHS.</v>
          </cell>
          <cell r="C127">
            <v>1228</v>
          </cell>
          <cell r="D127">
            <v>1</v>
          </cell>
          <cell r="E127">
            <v>4000</v>
          </cell>
        </row>
        <row r="128">
          <cell r="B128" t="str">
            <v>EMPLY.' BENEFITS-OTHS.</v>
          </cell>
          <cell r="C128">
            <v>1228</v>
          </cell>
          <cell r="D128">
            <v>2</v>
          </cell>
          <cell r="E128">
            <v>20000</v>
          </cell>
        </row>
        <row r="129">
          <cell r="B129" t="str">
            <v>EMPLY.' BENEFITS-OTHS.</v>
          </cell>
          <cell r="C129">
            <v>1228</v>
          </cell>
          <cell r="D129">
            <v>3</v>
          </cell>
          <cell r="E129">
            <v>16000</v>
          </cell>
        </row>
        <row r="130">
          <cell r="B130" t="str">
            <v>EMPLY.' BENEFITS-OTHS.</v>
          </cell>
          <cell r="C130">
            <v>1228</v>
          </cell>
          <cell r="D130">
            <v>4</v>
          </cell>
          <cell r="E130">
            <v>32000</v>
          </cell>
        </row>
        <row r="131">
          <cell r="B131" t="str">
            <v>EMPLY.' BENEFITS-OTHS.</v>
          </cell>
          <cell r="C131">
            <v>1228</v>
          </cell>
          <cell r="D131">
            <v>8</v>
          </cell>
          <cell r="E131">
            <v>24000</v>
          </cell>
        </row>
        <row r="132">
          <cell r="B132" t="str">
            <v>EMPLY.' BENEFITS-OTHS.</v>
          </cell>
          <cell r="C132">
            <v>1228</v>
          </cell>
          <cell r="D132">
            <v>9</v>
          </cell>
          <cell r="E132">
            <v>8000</v>
          </cell>
        </row>
        <row r="133">
          <cell r="B133" t="str">
            <v>EMPLY.' BENEFITS-OTHS.</v>
          </cell>
          <cell r="C133">
            <v>1229</v>
          </cell>
          <cell r="D133">
            <v>1</v>
          </cell>
          <cell r="E133">
            <v>46169.78</v>
          </cell>
        </row>
        <row r="134">
          <cell r="B134" t="str">
            <v>EMPLY.' BENEFITS-OTHS.</v>
          </cell>
          <cell r="C134">
            <v>1229</v>
          </cell>
          <cell r="D134">
            <v>2</v>
          </cell>
          <cell r="E134">
            <v>74305.320000000007</v>
          </cell>
        </row>
        <row r="135">
          <cell r="B135" t="str">
            <v>EMPLY.' BENEFITS-OTHS.</v>
          </cell>
          <cell r="C135">
            <v>1229</v>
          </cell>
          <cell r="D135">
            <v>3</v>
          </cell>
          <cell r="E135">
            <v>36948.04</v>
          </cell>
        </row>
        <row r="136">
          <cell r="B136" t="str">
            <v>EMPLY.' BENEFITS-OTHS.</v>
          </cell>
          <cell r="C136">
            <v>1229</v>
          </cell>
          <cell r="D136">
            <v>4</v>
          </cell>
          <cell r="E136">
            <v>102438.46</v>
          </cell>
        </row>
        <row r="137">
          <cell r="B137" t="str">
            <v>EMPLY.' BENEFITS-OTHS.</v>
          </cell>
          <cell r="C137">
            <v>1229</v>
          </cell>
          <cell r="D137">
            <v>5</v>
          </cell>
          <cell r="E137">
            <v>0</v>
          </cell>
        </row>
        <row r="138">
          <cell r="B138" t="str">
            <v>EMPLY.' BENEFITS-OTHS.</v>
          </cell>
          <cell r="C138">
            <v>1229</v>
          </cell>
          <cell r="D138">
            <v>7</v>
          </cell>
          <cell r="E138">
            <v>0</v>
          </cell>
        </row>
        <row r="139">
          <cell r="B139" t="str">
            <v>EMPLY.' BENEFITS-OTHS.</v>
          </cell>
          <cell r="C139">
            <v>1229</v>
          </cell>
          <cell r="D139">
            <v>8</v>
          </cell>
          <cell r="E139">
            <v>223789.52</v>
          </cell>
        </row>
        <row r="140">
          <cell r="B140" t="str">
            <v>EMPLY.' BENEFITS-OTHS.</v>
          </cell>
          <cell r="C140">
            <v>1229</v>
          </cell>
          <cell r="D140">
            <v>9</v>
          </cell>
          <cell r="E140">
            <v>67591.820000000007</v>
          </cell>
        </row>
        <row r="141">
          <cell r="B141" t="str">
            <v>EMPLY.' BENEFITS-OTHS.</v>
          </cell>
          <cell r="C141">
            <v>1230</v>
          </cell>
          <cell r="D141">
            <v>2</v>
          </cell>
          <cell r="E141">
            <v>0</v>
          </cell>
        </row>
        <row r="142">
          <cell r="B142" t="str">
            <v>EMPLY.' BENEFITS-OTHS.</v>
          </cell>
          <cell r="C142">
            <v>1230</v>
          </cell>
          <cell r="D142">
            <v>4</v>
          </cell>
          <cell r="E142">
            <v>0</v>
          </cell>
        </row>
        <row r="143">
          <cell r="B143" t="str">
            <v>EMPLY.' BENEFITS-OTHS.</v>
          </cell>
          <cell r="C143">
            <v>1230</v>
          </cell>
          <cell r="D143">
            <v>6</v>
          </cell>
          <cell r="E143">
            <v>0</v>
          </cell>
        </row>
        <row r="144">
          <cell r="B144" t="str">
            <v>EMPLY.' BENEFITS-OTHS.</v>
          </cell>
          <cell r="C144">
            <v>1231</v>
          </cell>
          <cell r="D144">
            <v>1</v>
          </cell>
          <cell r="E144">
            <v>2000</v>
          </cell>
        </row>
        <row r="145">
          <cell r="B145" t="str">
            <v>EMPLY.' BENEFITS-OTHS.</v>
          </cell>
          <cell r="C145">
            <v>1231</v>
          </cell>
          <cell r="D145">
            <v>2</v>
          </cell>
          <cell r="E145">
            <v>2727.27</v>
          </cell>
        </row>
        <row r="146">
          <cell r="B146" t="str">
            <v>EMPLY.' BENEFITS-OTHS.</v>
          </cell>
          <cell r="C146">
            <v>1231</v>
          </cell>
          <cell r="D146">
            <v>4</v>
          </cell>
          <cell r="E146">
            <v>9000</v>
          </cell>
        </row>
        <row r="147">
          <cell r="B147" t="str">
            <v>EMPLY.' BENEFITS-OTHS.</v>
          </cell>
          <cell r="C147">
            <v>1231</v>
          </cell>
          <cell r="D147">
            <v>8</v>
          </cell>
          <cell r="E147">
            <v>18000</v>
          </cell>
        </row>
        <row r="148">
          <cell r="B148" t="str">
            <v>EMPLY.' BENEFITS-OTHS.</v>
          </cell>
          <cell r="C148">
            <v>1233</v>
          </cell>
          <cell r="D148">
            <v>2</v>
          </cell>
          <cell r="E148">
            <v>10775.13</v>
          </cell>
        </row>
        <row r="149">
          <cell r="B149" t="str">
            <v>EMPLY.' BENEFITS-OTHS.</v>
          </cell>
          <cell r="C149">
            <v>1234</v>
          </cell>
          <cell r="D149">
            <v>2</v>
          </cell>
          <cell r="E149">
            <v>113747</v>
          </cell>
        </row>
        <row r="150">
          <cell r="B150" t="str">
            <v>SCHOLARSHIP &amp; TRAINING</v>
          </cell>
          <cell r="C150">
            <v>1235</v>
          </cell>
          <cell r="D150">
            <v>2</v>
          </cell>
          <cell r="E150">
            <v>195769.68</v>
          </cell>
        </row>
        <row r="151">
          <cell r="B151" t="str">
            <v>SCHOLARSHIP &amp; TRAINING</v>
          </cell>
          <cell r="C151">
            <v>1235</v>
          </cell>
          <cell r="D151">
            <v>8</v>
          </cell>
          <cell r="E151">
            <v>0</v>
          </cell>
        </row>
        <row r="152">
          <cell r="B152" t="str">
            <v>SPORTS - PERSONNEL</v>
          </cell>
          <cell r="C152">
            <v>1236</v>
          </cell>
          <cell r="D152">
            <v>1</v>
          </cell>
          <cell r="E152">
            <v>0</v>
          </cell>
        </row>
        <row r="153">
          <cell r="B153" t="str">
            <v>SPORTS - PERSONNEL</v>
          </cell>
          <cell r="C153">
            <v>1236</v>
          </cell>
          <cell r="D153">
            <v>2</v>
          </cell>
          <cell r="E153">
            <v>154871.67999999999</v>
          </cell>
        </row>
        <row r="154">
          <cell r="B154" t="str">
            <v>PROF. &amp; OTHER FEES</v>
          </cell>
          <cell r="C154">
            <v>1240</v>
          </cell>
          <cell r="D154">
            <v>1</v>
          </cell>
          <cell r="E154">
            <v>0</v>
          </cell>
        </row>
        <row r="155">
          <cell r="B155" t="str">
            <v>PROF. &amp; OTHER FEES</v>
          </cell>
          <cell r="C155">
            <v>1240</v>
          </cell>
          <cell r="D155">
            <v>2</v>
          </cell>
          <cell r="E155">
            <v>64962.16</v>
          </cell>
        </row>
        <row r="156">
          <cell r="B156" t="str">
            <v>PROF. &amp; OTHER FEES</v>
          </cell>
          <cell r="C156">
            <v>1240</v>
          </cell>
          <cell r="D156">
            <v>3</v>
          </cell>
          <cell r="E156">
            <v>0</v>
          </cell>
        </row>
        <row r="157">
          <cell r="B157" t="str">
            <v>PROF. &amp; OTHER FEES</v>
          </cell>
          <cell r="C157">
            <v>1240</v>
          </cell>
          <cell r="D157">
            <v>4</v>
          </cell>
          <cell r="E157">
            <v>47800</v>
          </cell>
        </row>
        <row r="158">
          <cell r="B158" t="str">
            <v>PROF. &amp; OTHER FEES</v>
          </cell>
          <cell r="C158">
            <v>1240</v>
          </cell>
          <cell r="D158">
            <v>5</v>
          </cell>
          <cell r="E158">
            <v>0</v>
          </cell>
        </row>
        <row r="159">
          <cell r="B159" t="str">
            <v>PROF. &amp; OTHER FEES</v>
          </cell>
          <cell r="C159">
            <v>1240</v>
          </cell>
          <cell r="D159">
            <v>8</v>
          </cell>
          <cell r="E159">
            <v>115</v>
          </cell>
        </row>
        <row r="160">
          <cell r="B160" t="str">
            <v>PROF. &amp; OTHER FEES</v>
          </cell>
          <cell r="C160">
            <v>1240</v>
          </cell>
          <cell r="D160">
            <v>9</v>
          </cell>
          <cell r="E160">
            <v>0</v>
          </cell>
        </row>
        <row r="161">
          <cell r="B161" t="str">
            <v>PROF. &amp; OTHER FEES</v>
          </cell>
          <cell r="C161">
            <v>1240</v>
          </cell>
          <cell r="D161">
            <v>11</v>
          </cell>
          <cell r="E161">
            <v>0</v>
          </cell>
        </row>
        <row r="162">
          <cell r="B162" t="str">
            <v>ADVERTISING &amp; PROMO.</v>
          </cell>
          <cell r="C162">
            <v>1245</v>
          </cell>
          <cell r="D162">
            <v>2</v>
          </cell>
          <cell r="E162">
            <v>104140</v>
          </cell>
        </row>
        <row r="163">
          <cell r="B163" t="str">
            <v>ORPHANAGE PROJECTS</v>
          </cell>
          <cell r="C163">
            <v>1245</v>
          </cell>
          <cell r="D163">
            <v>2</v>
          </cell>
          <cell r="E163">
            <v>21576.59</v>
          </cell>
        </row>
        <row r="164">
          <cell r="B164" t="str">
            <v>REPAIRS &amp; MAINT.</v>
          </cell>
          <cell r="C164">
            <v>1251</v>
          </cell>
          <cell r="D164">
            <v>2</v>
          </cell>
          <cell r="E164">
            <v>3541.92</v>
          </cell>
        </row>
        <row r="165">
          <cell r="B165" t="str">
            <v>REPAIRS &amp; MAINT.</v>
          </cell>
          <cell r="C165">
            <v>1251</v>
          </cell>
          <cell r="D165">
            <v>3</v>
          </cell>
          <cell r="E165">
            <v>0</v>
          </cell>
        </row>
        <row r="166">
          <cell r="B166" t="str">
            <v>REPAIRS &amp; MAINT.</v>
          </cell>
          <cell r="C166">
            <v>1251</v>
          </cell>
          <cell r="D166">
            <v>4</v>
          </cell>
          <cell r="E166">
            <v>27.27</v>
          </cell>
        </row>
        <row r="167">
          <cell r="B167" t="str">
            <v>REPAIRS &amp; MAINT.</v>
          </cell>
          <cell r="C167">
            <v>1251</v>
          </cell>
          <cell r="D167">
            <v>5</v>
          </cell>
          <cell r="E167">
            <v>0</v>
          </cell>
        </row>
        <row r="168">
          <cell r="B168" t="str">
            <v>REPAIRS &amp; MAINT.</v>
          </cell>
          <cell r="C168">
            <v>1251</v>
          </cell>
          <cell r="D168">
            <v>8</v>
          </cell>
          <cell r="E168">
            <v>27.27</v>
          </cell>
        </row>
        <row r="169">
          <cell r="B169" t="str">
            <v>REPAIRS &amp; MAINT.</v>
          </cell>
          <cell r="C169">
            <v>1252</v>
          </cell>
          <cell r="D169">
            <v>2</v>
          </cell>
          <cell r="E169">
            <v>36046.07</v>
          </cell>
        </row>
        <row r="170">
          <cell r="B170" t="str">
            <v>REPAIRS &amp; MAINT.</v>
          </cell>
          <cell r="C170">
            <v>1252</v>
          </cell>
          <cell r="D170">
            <v>3</v>
          </cell>
          <cell r="E170">
            <v>0</v>
          </cell>
        </row>
        <row r="171">
          <cell r="B171" t="str">
            <v>REPAIRS &amp; MAINT.</v>
          </cell>
          <cell r="C171">
            <v>1252</v>
          </cell>
          <cell r="D171">
            <v>4</v>
          </cell>
          <cell r="E171">
            <v>0</v>
          </cell>
        </row>
        <row r="172">
          <cell r="B172" t="str">
            <v>REPAIRS &amp; MAINT.</v>
          </cell>
          <cell r="C172">
            <v>1252</v>
          </cell>
          <cell r="D172">
            <v>8</v>
          </cell>
          <cell r="E172">
            <v>0</v>
          </cell>
        </row>
        <row r="173">
          <cell r="B173" t="str">
            <v>REPAIRS &amp; MAINT.</v>
          </cell>
          <cell r="C173">
            <v>1252</v>
          </cell>
          <cell r="D173">
            <v>9</v>
          </cell>
          <cell r="E173">
            <v>0</v>
          </cell>
        </row>
        <row r="174">
          <cell r="B174" t="str">
            <v>REPAIRS &amp; MAINT.</v>
          </cell>
          <cell r="C174">
            <v>1253</v>
          </cell>
          <cell r="D174">
            <v>8</v>
          </cell>
          <cell r="E174">
            <v>0</v>
          </cell>
        </row>
        <row r="175">
          <cell r="B175" t="str">
            <v>REPAIRS &amp; MAINT.</v>
          </cell>
          <cell r="C175">
            <v>1253</v>
          </cell>
          <cell r="D175">
            <v>9</v>
          </cell>
          <cell r="E175">
            <v>0</v>
          </cell>
        </row>
        <row r="176">
          <cell r="B176" t="str">
            <v>REPAIRS &amp; MAINT.</v>
          </cell>
          <cell r="C176">
            <v>1254</v>
          </cell>
          <cell r="D176">
            <v>2</v>
          </cell>
          <cell r="E176">
            <v>0</v>
          </cell>
        </row>
        <row r="177">
          <cell r="B177" t="str">
            <v>REPAIRS &amp; MAINT.</v>
          </cell>
          <cell r="C177">
            <v>1254</v>
          </cell>
          <cell r="D177">
            <v>9</v>
          </cell>
          <cell r="E177">
            <v>0</v>
          </cell>
        </row>
        <row r="178">
          <cell r="B178" t="str">
            <v>REPRESENTATION EXP.</v>
          </cell>
          <cell r="C178">
            <v>1255</v>
          </cell>
          <cell r="D178">
            <v>1</v>
          </cell>
          <cell r="E178">
            <v>94369.9</v>
          </cell>
        </row>
        <row r="179">
          <cell r="B179" t="str">
            <v>REPRESENTATION EXP.</v>
          </cell>
          <cell r="C179">
            <v>1255</v>
          </cell>
          <cell r="D179">
            <v>2</v>
          </cell>
          <cell r="E179">
            <v>49211</v>
          </cell>
        </row>
        <row r="180">
          <cell r="B180" t="str">
            <v>REPRESENTATION EXP.</v>
          </cell>
          <cell r="C180">
            <v>1255</v>
          </cell>
          <cell r="D180">
            <v>3</v>
          </cell>
          <cell r="E180">
            <v>2157.7800000000002</v>
          </cell>
        </row>
        <row r="181">
          <cell r="B181" t="str">
            <v>REPRESENTATION EXP.</v>
          </cell>
          <cell r="C181">
            <v>1255</v>
          </cell>
          <cell r="D181">
            <v>4</v>
          </cell>
          <cell r="E181">
            <v>50928.76</v>
          </cell>
        </row>
        <row r="182">
          <cell r="B182" t="str">
            <v>REPRESENTATION EXP.</v>
          </cell>
          <cell r="C182">
            <v>1255</v>
          </cell>
          <cell r="D182">
            <v>5</v>
          </cell>
          <cell r="E182">
            <v>18504.560000000001</v>
          </cell>
        </row>
        <row r="183">
          <cell r="B183" t="str">
            <v>REPRESENTATION EXP.</v>
          </cell>
          <cell r="C183">
            <v>1255</v>
          </cell>
          <cell r="D183">
            <v>8</v>
          </cell>
          <cell r="E183">
            <v>91616.9</v>
          </cell>
        </row>
        <row r="184">
          <cell r="B184" t="str">
            <v>REPRESENTATION EXP.</v>
          </cell>
          <cell r="C184">
            <v>1255</v>
          </cell>
          <cell r="D184">
            <v>9</v>
          </cell>
          <cell r="E184">
            <v>1974.92</v>
          </cell>
        </row>
        <row r="185">
          <cell r="B185" t="str">
            <v>REPRESENTATION EXP.</v>
          </cell>
          <cell r="C185">
            <v>1255</v>
          </cell>
          <cell r="D185">
            <v>10</v>
          </cell>
          <cell r="E185">
            <v>0</v>
          </cell>
        </row>
        <row r="186">
          <cell r="B186" t="str">
            <v>REPRESENTATION EXP.</v>
          </cell>
          <cell r="C186">
            <v>1255</v>
          </cell>
          <cell r="D186">
            <v>11</v>
          </cell>
          <cell r="E186">
            <v>20718.45</v>
          </cell>
        </row>
        <row r="187">
          <cell r="B187" t="str">
            <v>DUES AND FEES</v>
          </cell>
          <cell r="C187">
            <v>1260</v>
          </cell>
          <cell r="D187">
            <v>1</v>
          </cell>
          <cell r="E187">
            <v>18920</v>
          </cell>
        </row>
        <row r="188">
          <cell r="B188" t="str">
            <v>DUES AND FEES</v>
          </cell>
          <cell r="C188">
            <v>1260</v>
          </cell>
          <cell r="D188">
            <v>2</v>
          </cell>
          <cell r="E188">
            <v>8520</v>
          </cell>
        </row>
        <row r="189">
          <cell r="B189" t="str">
            <v>DUES AND FEES</v>
          </cell>
          <cell r="C189">
            <v>1260</v>
          </cell>
          <cell r="D189">
            <v>3</v>
          </cell>
          <cell r="E189">
            <v>4200</v>
          </cell>
        </row>
        <row r="190">
          <cell r="B190" t="str">
            <v>DUES AND FEES</v>
          </cell>
          <cell r="C190">
            <v>1260</v>
          </cell>
          <cell r="D190">
            <v>4</v>
          </cell>
          <cell r="E190">
            <v>2000</v>
          </cell>
        </row>
        <row r="191">
          <cell r="B191" t="str">
            <v>DUES AND FEES</v>
          </cell>
          <cell r="C191">
            <v>1260</v>
          </cell>
          <cell r="D191">
            <v>8</v>
          </cell>
          <cell r="E191">
            <v>600</v>
          </cell>
        </row>
        <row r="192">
          <cell r="B192" t="str">
            <v>DUES AND FEES</v>
          </cell>
          <cell r="C192">
            <v>1260</v>
          </cell>
          <cell r="D192">
            <v>9</v>
          </cell>
          <cell r="E192">
            <v>0</v>
          </cell>
        </row>
        <row r="193">
          <cell r="B193" t="str">
            <v>TAXES, LIC. &amp; PERMITS</v>
          </cell>
          <cell r="C193">
            <v>1270</v>
          </cell>
          <cell r="D193">
            <v>2</v>
          </cell>
          <cell r="E193">
            <v>34760</v>
          </cell>
        </row>
        <row r="194">
          <cell r="B194" t="str">
            <v>TAXES, LIC. &amp; PERMITS</v>
          </cell>
          <cell r="C194">
            <v>1270</v>
          </cell>
          <cell r="D194">
            <v>3</v>
          </cell>
          <cell r="E194">
            <v>0</v>
          </cell>
        </row>
        <row r="195">
          <cell r="B195" t="str">
            <v>TAXES, LIC. &amp; PERMITS</v>
          </cell>
          <cell r="C195">
            <v>1270</v>
          </cell>
          <cell r="D195">
            <v>4</v>
          </cell>
          <cell r="E195">
            <v>803855.63</v>
          </cell>
        </row>
        <row r="196">
          <cell r="B196" t="str">
            <v>TAXES, LIC. &amp; PERMITS</v>
          </cell>
          <cell r="C196">
            <v>1270</v>
          </cell>
          <cell r="D196">
            <v>5</v>
          </cell>
          <cell r="E196">
            <v>400</v>
          </cell>
        </row>
        <row r="197">
          <cell r="B197" t="str">
            <v>TAXES, LIC. &amp; PERMITS</v>
          </cell>
          <cell r="C197">
            <v>1270</v>
          </cell>
          <cell r="D197">
            <v>8</v>
          </cell>
          <cell r="E197">
            <v>1091</v>
          </cell>
        </row>
        <row r="198">
          <cell r="B198" t="str">
            <v>TAXES, LIC. &amp; PERMITS</v>
          </cell>
          <cell r="C198">
            <v>1270</v>
          </cell>
          <cell r="D198">
            <v>9</v>
          </cell>
          <cell r="E198">
            <v>0</v>
          </cell>
        </row>
        <row r="199">
          <cell r="B199" t="str">
            <v>TAXES, LIC. &amp; PERMITS</v>
          </cell>
          <cell r="C199">
            <v>1270</v>
          </cell>
          <cell r="D199">
            <v>10</v>
          </cell>
          <cell r="E199">
            <v>0</v>
          </cell>
        </row>
        <row r="200">
          <cell r="B200" t="str">
            <v>TAXES, LIC. &amp; PERMITS</v>
          </cell>
          <cell r="C200">
            <v>1270</v>
          </cell>
          <cell r="D200">
            <v>11</v>
          </cell>
          <cell r="E200">
            <v>0</v>
          </cell>
        </row>
        <row r="201">
          <cell r="B201" t="str">
            <v>TRANS. &amp; TRAVEL-B</v>
          </cell>
          <cell r="C201">
            <v>1280</v>
          </cell>
          <cell r="D201">
            <v>2</v>
          </cell>
          <cell r="E201">
            <v>172343.22</v>
          </cell>
        </row>
        <row r="202">
          <cell r="B202" t="str">
            <v>TRANS. &amp; TRAVEL-B</v>
          </cell>
          <cell r="C202">
            <v>1280</v>
          </cell>
          <cell r="D202">
            <v>3</v>
          </cell>
          <cell r="E202">
            <v>0</v>
          </cell>
        </row>
        <row r="203">
          <cell r="B203" t="str">
            <v>TRANS. &amp; TRAVEL-B</v>
          </cell>
          <cell r="C203">
            <v>1280</v>
          </cell>
          <cell r="D203">
            <v>4</v>
          </cell>
          <cell r="E203">
            <v>3986.5</v>
          </cell>
        </row>
        <row r="204">
          <cell r="B204" t="str">
            <v>TRANS. &amp; TRAVEL-B</v>
          </cell>
          <cell r="C204">
            <v>1280</v>
          </cell>
          <cell r="D204">
            <v>5</v>
          </cell>
          <cell r="E204">
            <v>871</v>
          </cell>
        </row>
        <row r="205">
          <cell r="B205" t="str">
            <v>TRANS. &amp; TRAVEL-B</v>
          </cell>
          <cell r="C205">
            <v>1280</v>
          </cell>
          <cell r="D205">
            <v>8</v>
          </cell>
          <cell r="E205">
            <v>25008.25</v>
          </cell>
        </row>
        <row r="206">
          <cell r="B206" t="str">
            <v>TRANS. &amp; TRAVEL-B</v>
          </cell>
          <cell r="C206">
            <v>1280</v>
          </cell>
          <cell r="D206">
            <v>9</v>
          </cell>
          <cell r="E206">
            <v>4050.5</v>
          </cell>
        </row>
        <row r="207">
          <cell r="B207" t="str">
            <v>TRANS. &amp; TRAVEL-B</v>
          </cell>
          <cell r="C207">
            <v>1280</v>
          </cell>
          <cell r="D207">
            <v>11</v>
          </cell>
          <cell r="E207">
            <v>0</v>
          </cell>
        </row>
        <row r="208">
          <cell r="B208" t="str">
            <v>TRANS. &amp; TRAVEL-B</v>
          </cell>
          <cell r="C208">
            <v>1285</v>
          </cell>
          <cell r="D208">
            <v>1</v>
          </cell>
          <cell r="E208">
            <v>216196.64</v>
          </cell>
        </row>
        <row r="209">
          <cell r="B209" t="str">
            <v>TRANS. &amp; TRAVEL-B</v>
          </cell>
          <cell r="C209">
            <v>1285</v>
          </cell>
          <cell r="D209">
            <v>8</v>
          </cell>
          <cell r="E209">
            <v>0</v>
          </cell>
        </row>
        <row r="210">
          <cell r="B210" t="str">
            <v>INSURANCE</v>
          </cell>
          <cell r="C210">
            <v>1290</v>
          </cell>
          <cell r="D210">
            <v>1</v>
          </cell>
          <cell r="E210">
            <v>12271</v>
          </cell>
        </row>
        <row r="211">
          <cell r="B211" t="str">
            <v>INSURANCE</v>
          </cell>
          <cell r="C211">
            <v>1290</v>
          </cell>
          <cell r="D211">
            <v>2</v>
          </cell>
          <cell r="E211">
            <v>0</v>
          </cell>
        </row>
        <row r="212">
          <cell r="B212" t="str">
            <v>INSURANCE</v>
          </cell>
          <cell r="C212">
            <v>1290</v>
          </cell>
          <cell r="D212">
            <v>3</v>
          </cell>
          <cell r="E212">
            <v>1304.06</v>
          </cell>
        </row>
        <row r="213">
          <cell r="B213" t="str">
            <v>INSURANCE</v>
          </cell>
          <cell r="C213">
            <v>1290</v>
          </cell>
          <cell r="D213">
            <v>4</v>
          </cell>
          <cell r="E213">
            <v>72702.66</v>
          </cell>
        </row>
        <row r="214">
          <cell r="B214" t="str">
            <v>INSURANCE</v>
          </cell>
          <cell r="C214">
            <v>1290</v>
          </cell>
          <cell r="D214">
            <v>5</v>
          </cell>
          <cell r="E214">
            <v>15804.8</v>
          </cell>
        </row>
        <row r="215">
          <cell r="B215" t="str">
            <v>INSURANCE</v>
          </cell>
          <cell r="C215">
            <v>1290</v>
          </cell>
          <cell r="D215">
            <v>6</v>
          </cell>
          <cell r="E215">
            <v>0</v>
          </cell>
        </row>
        <row r="216">
          <cell r="B216" t="str">
            <v>INSURANCE</v>
          </cell>
          <cell r="C216">
            <v>1290</v>
          </cell>
          <cell r="D216">
            <v>7</v>
          </cell>
          <cell r="E216">
            <v>0</v>
          </cell>
        </row>
        <row r="217">
          <cell r="B217" t="str">
            <v>INSURANCE</v>
          </cell>
          <cell r="C217">
            <v>1290</v>
          </cell>
          <cell r="D217">
            <v>8</v>
          </cell>
          <cell r="E217">
            <v>0</v>
          </cell>
        </row>
        <row r="218">
          <cell r="B218" t="str">
            <v>INSURANCE</v>
          </cell>
          <cell r="C218">
            <v>1290</v>
          </cell>
          <cell r="D218">
            <v>9</v>
          </cell>
          <cell r="E218">
            <v>6520.3</v>
          </cell>
        </row>
        <row r="219">
          <cell r="B219" t="str">
            <v>INSURANCE</v>
          </cell>
          <cell r="C219">
            <v>1290</v>
          </cell>
          <cell r="D219">
            <v>10</v>
          </cell>
          <cell r="E219">
            <v>0</v>
          </cell>
        </row>
        <row r="220">
          <cell r="B220" t="str">
            <v>INSURANCE</v>
          </cell>
          <cell r="C220">
            <v>1290</v>
          </cell>
          <cell r="D220">
            <v>11</v>
          </cell>
          <cell r="E220">
            <v>2430.14</v>
          </cell>
        </row>
        <row r="221">
          <cell r="B221" t="str">
            <v>SUPPLIES PURCHASED</v>
          </cell>
          <cell r="C221">
            <v>1301</v>
          </cell>
          <cell r="D221">
            <v>1</v>
          </cell>
          <cell r="E221">
            <v>4774.97</v>
          </cell>
        </row>
        <row r="222">
          <cell r="B222" t="str">
            <v>SUPPLIES PURCHASED</v>
          </cell>
          <cell r="C222">
            <v>1301</v>
          </cell>
          <cell r="D222">
            <v>2</v>
          </cell>
          <cell r="E222">
            <v>217427.05</v>
          </cell>
        </row>
        <row r="223">
          <cell r="B223" t="str">
            <v>SUPPLIES PURCHASED</v>
          </cell>
          <cell r="C223">
            <v>1301</v>
          </cell>
          <cell r="D223">
            <v>3</v>
          </cell>
          <cell r="E223">
            <v>25215.86</v>
          </cell>
        </row>
        <row r="224">
          <cell r="B224" t="str">
            <v>SUPPLIES PURCHASED</v>
          </cell>
          <cell r="C224">
            <v>1301</v>
          </cell>
          <cell r="D224">
            <v>4</v>
          </cell>
          <cell r="E224">
            <v>127567.28</v>
          </cell>
        </row>
        <row r="225">
          <cell r="B225" t="str">
            <v>SUPPLIES PURCHASED</v>
          </cell>
          <cell r="C225">
            <v>1301</v>
          </cell>
          <cell r="D225">
            <v>5</v>
          </cell>
          <cell r="E225">
            <v>8090.59</v>
          </cell>
        </row>
        <row r="226">
          <cell r="B226" t="str">
            <v>SUPPLIES PURCHASED</v>
          </cell>
          <cell r="C226">
            <v>1301</v>
          </cell>
          <cell r="D226">
            <v>6</v>
          </cell>
          <cell r="E226">
            <v>0</v>
          </cell>
        </row>
        <row r="227">
          <cell r="B227" t="str">
            <v>SUPPLIES PURCHASED</v>
          </cell>
          <cell r="C227">
            <v>1301</v>
          </cell>
          <cell r="D227">
            <v>7</v>
          </cell>
          <cell r="E227">
            <v>0</v>
          </cell>
        </row>
        <row r="228">
          <cell r="B228" t="str">
            <v>SUPPLIES PURCHASED</v>
          </cell>
          <cell r="C228">
            <v>1301</v>
          </cell>
          <cell r="D228">
            <v>8</v>
          </cell>
          <cell r="E228">
            <v>258953.06</v>
          </cell>
        </row>
        <row r="229">
          <cell r="B229" t="str">
            <v>SUPPLIES PURCHASED</v>
          </cell>
          <cell r="C229">
            <v>1301</v>
          </cell>
          <cell r="D229">
            <v>9</v>
          </cell>
          <cell r="E229">
            <v>33680.06</v>
          </cell>
        </row>
        <row r="230">
          <cell r="B230" t="str">
            <v>SUPPLIES PURCHASED</v>
          </cell>
          <cell r="C230">
            <v>1301</v>
          </cell>
          <cell r="D230">
            <v>11</v>
          </cell>
          <cell r="E230">
            <v>1921.86</v>
          </cell>
        </row>
        <row r="231">
          <cell r="B231" t="str">
            <v>SUPPLIES PURCHASED</v>
          </cell>
          <cell r="C231">
            <v>1303</v>
          </cell>
          <cell r="D231">
            <v>2</v>
          </cell>
          <cell r="E231">
            <v>3158.09</v>
          </cell>
        </row>
        <row r="232">
          <cell r="B232" t="str">
            <v>SUPPLIES PURCHASED</v>
          </cell>
          <cell r="C232">
            <v>1304</v>
          </cell>
          <cell r="D232">
            <v>2</v>
          </cell>
          <cell r="E232">
            <v>11703.64</v>
          </cell>
        </row>
        <row r="233">
          <cell r="B233" t="str">
            <v>SUPPLIES PURCHASED</v>
          </cell>
          <cell r="C233">
            <v>1304</v>
          </cell>
          <cell r="D233">
            <v>4</v>
          </cell>
          <cell r="E233">
            <v>2000</v>
          </cell>
        </row>
        <row r="234">
          <cell r="B234" t="str">
            <v>SUPPLIES PURCHASED</v>
          </cell>
          <cell r="C234">
            <v>1304</v>
          </cell>
          <cell r="D234">
            <v>8</v>
          </cell>
          <cell r="E234">
            <v>288.18</v>
          </cell>
        </row>
        <row r="235">
          <cell r="B235" t="str">
            <v>SUPPLIES PURCHASED</v>
          </cell>
          <cell r="C235">
            <v>1305</v>
          </cell>
          <cell r="D235">
            <v>2</v>
          </cell>
          <cell r="E235">
            <v>0</v>
          </cell>
        </row>
        <row r="236">
          <cell r="B236" t="str">
            <v>SUPPLIES PURCHASED</v>
          </cell>
          <cell r="C236">
            <v>1305</v>
          </cell>
          <cell r="D236">
            <v>11</v>
          </cell>
          <cell r="E236">
            <v>1662.12</v>
          </cell>
        </row>
        <row r="237">
          <cell r="B237" t="str">
            <v>OFFICE &amp; OTHER SERV.</v>
          </cell>
          <cell r="C237">
            <v>1310</v>
          </cell>
          <cell r="D237">
            <v>1</v>
          </cell>
          <cell r="E237">
            <v>-30.66</v>
          </cell>
        </row>
        <row r="238">
          <cell r="B238" t="str">
            <v>OFFICE &amp; OTHER SERV.</v>
          </cell>
          <cell r="C238">
            <v>1310</v>
          </cell>
          <cell r="D238">
            <v>2</v>
          </cell>
          <cell r="E238">
            <v>687623.63</v>
          </cell>
        </row>
        <row r="239">
          <cell r="B239" t="str">
            <v>OFFICE &amp; OTHER SERV.</v>
          </cell>
          <cell r="C239">
            <v>1310</v>
          </cell>
          <cell r="D239">
            <v>3</v>
          </cell>
          <cell r="E239">
            <v>0</v>
          </cell>
        </row>
        <row r="240">
          <cell r="B240" t="str">
            <v>OFFICE &amp; OTHER SERV.</v>
          </cell>
          <cell r="C240">
            <v>1310</v>
          </cell>
          <cell r="D240">
            <v>4</v>
          </cell>
          <cell r="E240">
            <v>9350.34</v>
          </cell>
        </row>
        <row r="241">
          <cell r="B241" t="str">
            <v>OFFICE &amp; OTHER SERV.</v>
          </cell>
          <cell r="C241">
            <v>1310</v>
          </cell>
          <cell r="D241">
            <v>5</v>
          </cell>
          <cell r="E241">
            <v>0</v>
          </cell>
        </row>
        <row r="242">
          <cell r="B242" t="str">
            <v>OFFICE &amp; OTHER SERV.</v>
          </cell>
          <cell r="C242">
            <v>1310</v>
          </cell>
          <cell r="D242">
            <v>6</v>
          </cell>
          <cell r="E242">
            <v>0</v>
          </cell>
        </row>
        <row r="243">
          <cell r="B243" t="str">
            <v>OFFICE &amp; OTHER SERV.</v>
          </cell>
          <cell r="C243">
            <v>1310</v>
          </cell>
          <cell r="D243">
            <v>7</v>
          </cell>
          <cell r="E243">
            <v>0</v>
          </cell>
        </row>
        <row r="244">
          <cell r="B244" t="str">
            <v>OFFICE &amp; OTHER SERV.</v>
          </cell>
          <cell r="C244">
            <v>1310</v>
          </cell>
          <cell r="D244">
            <v>8</v>
          </cell>
          <cell r="E244">
            <v>-4100.82</v>
          </cell>
        </row>
        <row r="245">
          <cell r="B245" t="str">
            <v>OFFICE &amp; OTHER SERV.</v>
          </cell>
          <cell r="C245">
            <v>1310</v>
          </cell>
          <cell r="D245">
            <v>9</v>
          </cell>
          <cell r="E245">
            <v>20063.5</v>
          </cell>
        </row>
        <row r="246">
          <cell r="B246" t="str">
            <v>OFFICE &amp; OTHER SERV.</v>
          </cell>
          <cell r="C246">
            <v>1311</v>
          </cell>
          <cell r="D246">
            <v>2</v>
          </cell>
          <cell r="E246">
            <v>657521.13</v>
          </cell>
        </row>
        <row r="247">
          <cell r="B247" t="str">
            <v>OFFICE &amp; OTHER SERV.</v>
          </cell>
          <cell r="C247">
            <v>1311</v>
          </cell>
          <cell r="D247">
            <v>2</v>
          </cell>
          <cell r="E247">
            <v>0</v>
          </cell>
        </row>
        <row r="248">
          <cell r="B248" t="str">
            <v>OFFICE &amp; OTHER SERV.</v>
          </cell>
          <cell r="C248">
            <v>1366</v>
          </cell>
          <cell r="D248">
            <v>2</v>
          </cell>
          <cell r="E248">
            <v>181194.33</v>
          </cell>
        </row>
        <row r="249">
          <cell r="B249" t="str">
            <v>TEL., TEL. &amp; POST.</v>
          </cell>
          <cell r="C249">
            <v>1315</v>
          </cell>
          <cell r="D249">
            <v>1</v>
          </cell>
          <cell r="E249">
            <v>34731.74</v>
          </cell>
        </row>
        <row r="250">
          <cell r="B250" t="str">
            <v>TEL., TEL. &amp; POST.</v>
          </cell>
          <cell r="C250">
            <v>1315</v>
          </cell>
          <cell r="D250">
            <v>2</v>
          </cell>
          <cell r="E250">
            <v>189185.71</v>
          </cell>
        </row>
        <row r="251">
          <cell r="B251" t="str">
            <v>TEL., TEL. &amp; POST.</v>
          </cell>
          <cell r="C251">
            <v>1315</v>
          </cell>
          <cell r="D251">
            <v>3</v>
          </cell>
          <cell r="E251">
            <v>15118.44</v>
          </cell>
        </row>
        <row r="252">
          <cell r="B252" t="str">
            <v>TEL., TEL. &amp; POST.</v>
          </cell>
          <cell r="C252">
            <v>1315</v>
          </cell>
          <cell r="D252">
            <v>4</v>
          </cell>
          <cell r="E252">
            <v>4548.99</v>
          </cell>
        </row>
        <row r="253">
          <cell r="B253" t="str">
            <v>TEL., TEL. &amp; POST.</v>
          </cell>
          <cell r="C253">
            <v>1315</v>
          </cell>
          <cell r="D253">
            <v>5</v>
          </cell>
          <cell r="E253">
            <v>10242.68</v>
          </cell>
        </row>
        <row r="254">
          <cell r="B254" t="str">
            <v>TEL., TEL. &amp; POST.</v>
          </cell>
          <cell r="C254">
            <v>1315</v>
          </cell>
          <cell r="D254">
            <v>8</v>
          </cell>
          <cell r="E254">
            <v>20408.25</v>
          </cell>
        </row>
        <row r="255">
          <cell r="B255" t="str">
            <v>TEL., TEL. &amp; POST.</v>
          </cell>
          <cell r="C255">
            <v>1315</v>
          </cell>
          <cell r="D255">
            <v>9</v>
          </cell>
          <cell r="E255">
            <v>0</v>
          </cell>
        </row>
        <row r="256">
          <cell r="B256" t="str">
            <v>TEL., TEL. &amp; POST.</v>
          </cell>
          <cell r="C256">
            <v>1315</v>
          </cell>
          <cell r="D256">
            <v>10</v>
          </cell>
          <cell r="E256">
            <v>0</v>
          </cell>
        </row>
        <row r="257">
          <cell r="B257" t="str">
            <v>TEL., TEL. &amp; POST.</v>
          </cell>
          <cell r="C257">
            <v>1315</v>
          </cell>
          <cell r="D257">
            <v>11</v>
          </cell>
          <cell r="E257">
            <v>11393.5</v>
          </cell>
        </row>
        <row r="258">
          <cell r="B258" t="str">
            <v>LIGHT, POWER &amp; WATER</v>
          </cell>
          <cell r="C258">
            <v>1320</v>
          </cell>
          <cell r="D258">
            <v>1</v>
          </cell>
          <cell r="E258">
            <v>0</v>
          </cell>
        </row>
        <row r="259">
          <cell r="B259" t="str">
            <v>LIGHT, POWER &amp; WATER</v>
          </cell>
          <cell r="C259">
            <v>1320</v>
          </cell>
          <cell r="D259">
            <v>2</v>
          </cell>
          <cell r="E259">
            <v>496059.83</v>
          </cell>
        </row>
        <row r="260">
          <cell r="B260" t="str">
            <v>LIGHT, POWER &amp; WATER</v>
          </cell>
          <cell r="C260">
            <v>1320</v>
          </cell>
          <cell r="D260">
            <v>3</v>
          </cell>
          <cell r="E260">
            <v>0</v>
          </cell>
        </row>
        <row r="261">
          <cell r="B261" t="str">
            <v>LIGHT, POWER &amp; WATER</v>
          </cell>
          <cell r="C261">
            <v>1320</v>
          </cell>
          <cell r="D261">
            <v>4</v>
          </cell>
          <cell r="E261">
            <v>0</v>
          </cell>
        </row>
        <row r="262">
          <cell r="B262" t="str">
            <v>LIGHT, POWER &amp; WATER</v>
          </cell>
          <cell r="C262">
            <v>1320</v>
          </cell>
          <cell r="D262">
            <v>8</v>
          </cell>
          <cell r="E262">
            <v>0</v>
          </cell>
        </row>
        <row r="263">
          <cell r="B263" t="str">
            <v>RENTALS</v>
          </cell>
          <cell r="C263">
            <v>1330</v>
          </cell>
          <cell r="D263">
            <v>1</v>
          </cell>
          <cell r="E263">
            <v>89015.56</v>
          </cell>
        </row>
        <row r="264">
          <cell r="B264" t="str">
            <v>RENTALS</v>
          </cell>
          <cell r="C264">
            <v>1330</v>
          </cell>
          <cell r="D264">
            <v>2</v>
          </cell>
          <cell r="E264">
            <v>585343.94999999995</v>
          </cell>
        </row>
        <row r="265">
          <cell r="B265" t="str">
            <v>RENTALS</v>
          </cell>
          <cell r="C265">
            <v>1330</v>
          </cell>
          <cell r="D265">
            <v>3</v>
          </cell>
          <cell r="E265">
            <v>179252.91</v>
          </cell>
        </row>
        <row r="266">
          <cell r="B266" t="str">
            <v>RENTALS</v>
          </cell>
          <cell r="C266">
            <v>1330</v>
          </cell>
          <cell r="D266">
            <v>4</v>
          </cell>
          <cell r="E266">
            <v>217491.71</v>
          </cell>
        </row>
        <row r="267">
          <cell r="B267" t="str">
            <v>RENTALS</v>
          </cell>
          <cell r="C267">
            <v>1330</v>
          </cell>
          <cell r="D267">
            <v>5</v>
          </cell>
          <cell r="E267">
            <v>28990.23</v>
          </cell>
        </row>
        <row r="268">
          <cell r="B268" t="str">
            <v>RENTALS</v>
          </cell>
          <cell r="C268">
            <v>1330</v>
          </cell>
          <cell r="D268">
            <v>8</v>
          </cell>
          <cell r="E268">
            <v>360442.86</v>
          </cell>
        </row>
        <row r="269">
          <cell r="B269" t="str">
            <v>RENTALS</v>
          </cell>
          <cell r="C269">
            <v>1330</v>
          </cell>
          <cell r="D269">
            <v>9</v>
          </cell>
          <cell r="E269">
            <v>182762.93</v>
          </cell>
        </row>
        <row r="270">
          <cell r="B270" t="str">
            <v>RENTALS</v>
          </cell>
          <cell r="C270">
            <v>1330</v>
          </cell>
          <cell r="D270">
            <v>11</v>
          </cell>
          <cell r="E270">
            <v>36270.28</v>
          </cell>
        </row>
        <row r="271">
          <cell r="B271" t="str">
            <v>FUEL AND LUBRICANTS</v>
          </cell>
          <cell r="C271">
            <v>1340</v>
          </cell>
          <cell r="D271">
            <v>8</v>
          </cell>
          <cell r="E271">
            <v>0</v>
          </cell>
        </row>
        <row r="272">
          <cell r="B272" t="str">
            <v>PROJECT DEV'T.</v>
          </cell>
          <cell r="C272">
            <v>1350</v>
          </cell>
          <cell r="D272">
            <v>5</v>
          </cell>
          <cell r="E272">
            <v>60123.14</v>
          </cell>
        </row>
        <row r="273">
          <cell r="B273" t="str">
            <v>PROJECT DEV'T.</v>
          </cell>
          <cell r="C273">
            <v>1350</v>
          </cell>
          <cell r="D273">
            <v>8</v>
          </cell>
          <cell r="E273">
            <v>0</v>
          </cell>
        </row>
        <row r="274">
          <cell r="B274" t="str">
            <v>PROJECT DEV'T.</v>
          </cell>
          <cell r="C274">
            <v>1350</v>
          </cell>
          <cell r="D274">
            <v>11</v>
          </cell>
          <cell r="E274">
            <v>21731.71</v>
          </cell>
        </row>
        <row r="275">
          <cell r="B275" t="str">
            <v>DEPRECIATION</v>
          </cell>
          <cell r="C275">
            <v>1360</v>
          </cell>
          <cell r="D275">
            <v>1</v>
          </cell>
          <cell r="E275">
            <v>110676.28</v>
          </cell>
        </row>
        <row r="276">
          <cell r="B276" t="str">
            <v>DEPRECIATION</v>
          </cell>
          <cell r="C276">
            <v>1360</v>
          </cell>
          <cell r="D276">
            <v>2</v>
          </cell>
          <cell r="E276">
            <v>169336.21</v>
          </cell>
        </row>
        <row r="277">
          <cell r="B277" t="str">
            <v>DEPRECIATION</v>
          </cell>
          <cell r="C277">
            <v>1360</v>
          </cell>
          <cell r="D277">
            <v>3</v>
          </cell>
          <cell r="E277">
            <v>40376.03</v>
          </cell>
        </row>
        <row r="278">
          <cell r="B278" t="str">
            <v>DEPRECIATION</v>
          </cell>
          <cell r="C278">
            <v>1360</v>
          </cell>
          <cell r="D278">
            <v>4</v>
          </cell>
          <cell r="E278">
            <v>495601.4</v>
          </cell>
        </row>
        <row r="279">
          <cell r="B279" t="str">
            <v>DEPRECIATION</v>
          </cell>
          <cell r="C279">
            <v>1360</v>
          </cell>
          <cell r="D279">
            <v>5</v>
          </cell>
          <cell r="E279">
            <v>10416.66</v>
          </cell>
        </row>
        <row r="280">
          <cell r="B280" t="str">
            <v>DEPRECIATION</v>
          </cell>
          <cell r="C280">
            <v>1360</v>
          </cell>
          <cell r="D280">
            <v>8</v>
          </cell>
          <cell r="E280">
            <v>638481.79</v>
          </cell>
        </row>
        <row r="281">
          <cell r="B281" t="str">
            <v>DEPRECIATION</v>
          </cell>
          <cell r="C281">
            <v>1360</v>
          </cell>
          <cell r="D281">
            <v>9</v>
          </cell>
          <cell r="E281">
            <v>507998.91</v>
          </cell>
        </row>
        <row r="282">
          <cell r="B282" t="str">
            <v>DEPRECIATION</v>
          </cell>
          <cell r="C282">
            <v>1360</v>
          </cell>
          <cell r="D282">
            <v>11</v>
          </cell>
          <cell r="E282">
            <v>88290.880000000005</v>
          </cell>
        </row>
        <row r="283">
          <cell r="B283" t="str">
            <v>INT.&amp; OTHER FINANCING CHARGES</v>
          </cell>
          <cell r="C283">
            <v>1375</v>
          </cell>
          <cell r="D283">
            <v>9</v>
          </cell>
          <cell r="E283">
            <v>14449.82</v>
          </cell>
        </row>
        <row r="284">
          <cell r="B284" t="str">
            <v>MISCELLANEOUS EXP.</v>
          </cell>
          <cell r="C284">
            <v>1380</v>
          </cell>
          <cell r="D284">
            <v>1</v>
          </cell>
          <cell r="E284">
            <v>1530</v>
          </cell>
        </row>
        <row r="285">
          <cell r="B285" t="str">
            <v>MISCELLANEOUS EXP.</v>
          </cell>
          <cell r="C285">
            <v>1380</v>
          </cell>
          <cell r="D285">
            <v>2</v>
          </cell>
          <cell r="E285">
            <v>3346.11</v>
          </cell>
        </row>
        <row r="286">
          <cell r="B286" t="str">
            <v>MISCELLANEOUS EXP.</v>
          </cell>
          <cell r="C286">
            <v>1380</v>
          </cell>
          <cell r="D286">
            <v>3</v>
          </cell>
          <cell r="E286">
            <v>2705.91</v>
          </cell>
        </row>
        <row r="287">
          <cell r="B287" t="str">
            <v>MISCELLANEOUS EXP.</v>
          </cell>
          <cell r="C287">
            <v>1380</v>
          </cell>
          <cell r="D287">
            <v>4</v>
          </cell>
          <cell r="E287">
            <v>10529.2</v>
          </cell>
        </row>
        <row r="288">
          <cell r="B288" t="str">
            <v>MISCELLANEOUS EXP.</v>
          </cell>
          <cell r="C288">
            <v>1380</v>
          </cell>
          <cell r="D288">
            <v>5</v>
          </cell>
          <cell r="E288">
            <v>0</v>
          </cell>
        </row>
        <row r="289">
          <cell r="B289" t="str">
            <v>MISCELLANEOUS EXP.</v>
          </cell>
          <cell r="C289">
            <v>1380</v>
          </cell>
          <cell r="D289">
            <v>6</v>
          </cell>
          <cell r="E289">
            <v>-36.96</v>
          </cell>
        </row>
        <row r="290">
          <cell r="B290" t="str">
            <v>MISCELLANEOUS EXP.</v>
          </cell>
          <cell r="C290">
            <v>1380</v>
          </cell>
          <cell r="D290">
            <v>7</v>
          </cell>
          <cell r="E290">
            <v>1120.01</v>
          </cell>
        </row>
        <row r="291">
          <cell r="B291" t="str">
            <v>MISCELLANEOUS EXP.</v>
          </cell>
          <cell r="C291">
            <v>1380</v>
          </cell>
          <cell r="D291">
            <v>8</v>
          </cell>
          <cell r="E291">
            <v>12178.45</v>
          </cell>
        </row>
        <row r="292">
          <cell r="B292" t="str">
            <v>MISCELLANEOUS EXP.</v>
          </cell>
          <cell r="C292">
            <v>1380</v>
          </cell>
          <cell r="D292">
            <v>9</v>
          </cell>
          <cell r="E292">
            <v>360.36</v>
          </cell>
        </row>
        <row r="293">
          <cell r="B293" t="str">
            <v>MISCELLANEOUS EXP.</v>
          </cell>
          <cell r="C293">
            <v>1380</v>
          </cell>
          <cell r="D293">
            <v>11</v>
          </cell>
          <cell r="E293">
            <v>4753</v>
          </cell>
        </row>
        <row r="294">
          <cell r="B294" t="str">
            <v>MEDICAL EXPENSES</v>
          </cell>
          <cell r="C294">
            <v>1390</v>
          </cell>
          <cell r="D294">
            <v>2</v>
          </cell>
          <cell r="E294">
            <v>18679.099999999999</v>
          </cell>
        </row>
        <row r="295">
          <cell r="B295" t="str">
            <v>MEDICAL EXPENSES</v>
          </cell>
          <cell r="C295">
            <v>1390</v>
          </cell>
          <cell r="D295">
            <v>3</v>
          </cell>
          <cell r="E295">
            <v>19198.79</v>
          </cell>
        </row>
        <row r="296">
          <cell r="B296" t="str">
            <v>MEDICAL EXPENSES</v>
          </cell>
          <cell r="C296">
            <v>1390</v>
          </cell>
          <cell r="D296">
            <v>4</v>
          </cell>
          <cell r="E296">
            <v>0</v>
          </cell>
        </row>
        <row r="297">
          <cell r="B297" t="str">
            <v>MEDICAL EXPENSES</v>
          </cell>
          <cell r="C297">
            <v>1390</v>
          </cell>
          <cell r="D297">
            <v>6</v>
          </cell>
          <cell r="E297">
            <v>0</v>
          </cell>
        </row>
        <row r="298">
          <cell r="A298" t="str">
            <v xml:space="preserve"> </v>
          </cell>
          <cell r="B298" t="str">
            <v>MEDICAL EXPENSES</v>
          </cell>
          <cell r="C298">
            <v>1390</v>
          </cell>
          <cell r="D298">
            <v>8</v>
          </cell>
          <cell r="E298">
            <v>0</v>
          </cell>
        </row>
        <row r="299">
          <cell r="A299" t="str">
            <v xml:space="preserve"> </v>
          </cell>
          <cell r="B299" t="str">
            <v>MEDICAL EXPENSES</v>
          </cell>
          <cell r="C299">
            <v>1390</v>
          </cell>
          <cell r="D299">
            <v>9</v>
          </cell>
          <cell r="E299">
            <v>0</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sept10 gpm (3)"/>
      <sheetName val="15sept10 gpm (2)"/>
      <sheetName val="Summary_Woodridge"/>
      <sheetName val="P&amp;L Highlights"/>
      <sheetName val="Assumptions"/>
      <sheetName val="Monthly"/>
      <sheetName val="Annual"/>
      <sheetName val="Landowner"/>
      <sheetName val="Schedules"/>
      <sheetName val="Mar'15 turnover to buyers"/>
      <sheetName val="take-up sched"/>
      <sheetName val="SUMMARY"/>
      <sheetName val="EXCOM"/>
      <sheetName val="15sept10 gpm"/>
      <sheetName val="COMM"/>
      <sheetName val="table"/>
      <sheetName val="n7-e"/>
    </sheetNames>
    <sheetDataSet>
      <sheetData sheetId="0"/>
      <sheetData sheetId="1"/>
      <sheetData sheetId="2"/>
      <sheetData sheetId="3"/>
      <sheetData sheetId="4">
        <row r="132">
          <cell r="E132">
            <v>0</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illed"/>
      <sheetName val="Unbilled"/>
      <sheetName val="Sheet1"/>
      <sheetName val="XXXX"/>
      <sheetName val="OPI"/>
      <sheetName val="CFREV"/>
      <sheetName val="BS"/>
      <sheetName val="P&amp;L"/>
      <sheetName val="RCFS"/>
      <sheetName val="budget"/>
      <sheetName val="lapsing"/>
      <sheetName val="guarantee"/>
      <sheetName val="perf"/>
      <sheetName val="surety"/>
      <sheetName val="subcon"/>
      <sheetName val="aging"/>
      <sheetName val="revenue"/>
      <sheetName val="p&amp;l-sstruct"/>
      <sheetName val="p&amp;l-excav"/>
      <sheetName val="p&amp;l-demo"/>
      <sheetName val="p&amp;l-conso"/>
      <sheetName val="dtb"/>
      <sheetName val="afis"/>
      <sheetName val="sl"/>
      <sheetName val="gl"/>
      <sheetName val="jv-12"/>
      <sheetName val="jv-11"/>
      <sheetName val="jv-10"/>
      <sheetName val="jv-09"/>
      <sheetName val="jv-08"/>
      <sheetName val="jv-07"/>
      <sheetName val="jv-06"/>
      <sheetName val="jv-05"/>
      <sheetName val="jv-04"/>
      <sheetName val="jv-03"/>
      <sheetName val="jv-02"/>
      <sheetName val="jv-01"/>
      <sheetName val="mris"/>
      <sheetName val="apv"/>
      <sheetName val="mrr"/>
      <sheetName val="ho"/>
      <sheetName val="input"/>
      <sheetName val="E3.1"/>
      <sheetName val="E1.1"/>
      <sheetName val="E2.1"/>
      <sheetName val="CEPAC"/>
      <sheetName val="BM"/>
      <sheetName val="OPT1"/>
      <sheetName val="conditions"/>
      <sheetName val="openings"/>
      <sheetName val="MU1"/>
      <sheetName val="2.678M"/>
      <sheetName val="2_678M"/>
      <sheetName val="03"/>
      <sheetName val="factors"/>
      <sheetName val="schedule"/>
      <sheetName val="Projects &amp; Brokers list"/>
      <sheetName val="References"/>
      <sheetName val="subcon sched"/>
      <sheetName val="242-3 summaryOPC"/>
      <sheetName val="LIBRARY"/>
      <sheetName val="EQUIPMENT"/>
      <sheetName val="Rental Rates"/>
      <sheetName val="DPA concrete"/>
      <sheetName val="ref"/>
      <sheetName val="lookups"/>
      <sheetName val="BOQ"/>
      <sheetName val="MATL"/>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MAKATI DEVELOPMENT CORPORATION</v>
          </cell>
        </row>
        <row r="2">
          <cell r="A2" t="str">
            <v>UNION CHURCH REDEVELOPMENT</v>
          </cell>
        </row>
        <row r="3">
          <cell r="A3" t="str">
            <v xml:space="preserve"> TRIAL BALANCE</v>
          </cell>
        </row>
        <row r="4">
          <cell r="A4" t="str">
            <v>AS OF AUGUST 20, 2000</v>
          </cell>
        </row>
        <row r="7">
          <cell r="A7" t="str">
            <v xml:space="preserve"> ACCT. NO.</v>
          </cell>
          <cell r="C7" t="str">
            <v>ACCOUNT TITLE</v>
          </cell>
          <cell r="E7" t="str">
            <v>LAST MONTH</v>
          </cell>
          <cell r="G7" t="str">
            <v>AS OF AUGUST</v>
          </cell>
          <cell r="I7" t="str">
            <v>FOR THE MO.</v>
          </cell>
        </row>
        <row r="8">
          <cell r="A8" t="str">
            <v>-</v>
          </cell>
          <cell r="C8" t="str">
            <v>-</v>
          </cell>
          <cell r="E8" t="str">
            <v>-</v>
          </cell>
          <cell r="G8" t="str">
            <v>-</v>
          </cell>
          <cell r="I8"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list"/>
      <sheetName val="CRC list"/>
      <sheetName val="COMPANY"/>
      <sheetName val="ACCOUNT"/>
      <sheetName val="SBU&amp; Projects"/>
      <sheetName val="dbase"/>
      <sheetName val="Sheet4"/>
      <sheetName val="equity summary"/>
      <sheetName val="RC_list"/>
      <sheetName val="CRC_list"/>
      <sheetName val="SBU&amp;_Projects"/>
      <sheetName val="equity_summary"/>
      <sheetName val="O-3"/>
    </sheetNames>
    <sheetDataSet>
      <sheetData sheetId="0"/>
      <sheetData sheetId="1"/>
      <sheetData sheetId="2"/>
      <sheetData sheetId="3"/>
      <sheetData sheetId="4"/>
      <sheetData sheetId="5" refreshError="1">
        <row r="5">
          <cell r="E5" t="str">
            <v>Sharis Acenas</v>
          </cell>
        </row>
        <row r="6">
          <cell r="E6" t="str">
            <v>Gina Diolina</v>
          </cell>
        </row>
        <row r="7">
          <cell r="E7" t="str">
            <v>Mar Banta</v>
          </cell>
        </row>
        <row r="8">
          <cell r="E8" t="str">
            <v>Lally Dela Cruz</v>
          </cell>
        </row>
        <row r="9">
          <cell r="E9" t="str">
            <v>Arlene Abaquita</v>
          </cell>
        </row>
        <row r="10">
          <cell r="E10" t="str">
            <v>Robirose Abbot</v>
          </cell>
        </row>
        <row r="11">
          <cell r="E11" t="str">
            <v>Nestor Bequillo</v>
          </cell>
        </row>
        <row r="12">
          <cell r="E12" t="str">
            <v>Romy Regaspi</v>
          </cell>
        </row>
      </sheetData>
      <sheetData sheetId="6"/>
      <sheetData sheetId="7" refreshError="1"/>
      <sheetData sheetId="8"/>
      <sheetData sheetId="9"/>
      <sheetData sheetId="10"/>
      <sheetData sheetId="1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list"/>
      <sheetName val="CRC list"/>
      <sheetName val="COMPANY"/>
      <sheetName val="ACCOUNT"/>
      <sheetName val="SBU&amp; Projects"/>
      <sheetName val="dbase"/>
      <sheetName val="Sheet4"/>
      <sheetName val="SALES BY STATUS"/>
      <sheetName val="INVENTORY"/>
      <sheetName val="RC_list"/>
      <sheetName val="CRC_list"/>
      <sheetName val="SBU&amp;_Projects"/>
      <sheetName val="SALES_BY_STATUS"/>
    </sheetNames>
    <sheetDataSet>
      <sheetData sheetId="0"/>
      <sheetData sheetId="1"/>
      <sheetData sheetId="2"/>
      <sheetData sheetId="3"/>
      <sheetData sheetId="4"/>
      <sheetData sheetId="5" refreshError="1">
        <row r="5">
          <cell r="C5" t="str">
            <v>Y</v>
          </cell>
          <cell r="E5" t="str">
            <v>Sharis Acenas</v>
          </cell>
        </row>
        <row r="6">
          <cell r="C6" t="str">
            <v>N</v>
          </cell>
          <cell r="E6" t="str">
            <v>Gina Diolina</v>
          </cell>
        </row>
        <row r="7">
          <cell r="E7" t="str">
            <v>Mar Banta</v>
          </cell>
        </row>
        <row r="8">
          <cell r="E8" t="str">
            <v>Lally Dela Cruz</v>
          </cell>
        </row>
        <row r="9">
          <cell r="E9" t="str">
            <v>Arlene Abaquita</v>
          </cell>
        </row>
        <row r="10">
          <cell r="E10" t="str">
            <v>Robirose Abbot</v>
          </cell>
        </row>
        <row r="11">
          <cell r="E11" t="str">
            <v>Nestor Bequillo</v>
          </cell>
        </row>
        <row r="12">
          <cell r="E12" t="str">
            <v>Romy Regaspi</v>
          </cell>
        </row>
        <row r="16">
          <cell r="E16" t="str">
            <v>AXB</v>
          </cell>
        </row>
        <row r="17">
          <cell r="E17" t="str">
            <v>FVC</v>
          </cell>
        </row>
        <row r="18">
          <cell r="E18" t="str">
            <v>AGM</v>
          </cell>
        </row>
        <row r="19">
          <cell r="E19" t="str">
            <v>PAV</v>
          </cell>
        </row>
        <row r="20">
          <cell r="E20" t="str">
            <v>AXBIII</v>
          </cell>
        </row>
        <row r="21">
          <cell r="E21" t="str">
            <v>MGR</v>
          </cell>
        </row>
        <row r="22">
          <cell r="E22" t="str">
            <v>EBM</v>
          </cell>
        </row>
        <row r="23">
          <cell r="E23" t="str">
            <v>CMZ</v>
          </cell>
        </row>
        <row r="24">
          <cell r="E24" t="str">
            <v>MRR</v>
          </cell>
        </row>
        <row r="25">
          <cell r="E25" t="str">
            <v>JAXB</v>
          </cell>
        </row>
        <row r="26">
          <cell r="E26" t="str">
            <v>GCM</v>
          </cell>
        </row>
        <row r="27">
          <cell r="E27" t="str">
            <v>SLS</v>
          </cell>
        </row>
      </sheetData>
      <sheetData sheetId="6"/>
      <sheetData sheetId="7" refreshError="1"/>
      <sheetData sheetId="8" refreshError="1"/>
      <sheetData sheetId="9"/>
      <sheetData sheetId="10"/>
      <sheetData sheetId="11"/>
      <sheetData sheetId="1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3"/>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4"/>
      <sheetName val="FF-4a"/>
      <sheetName val="FF-5"/>
      <sheetName val="FF-6"/>
      <sheetName val="FF-7"/>
      <sheetName val="FF-8"/>
      <sheetName val="10"/>
      <sheetName val="11"/>
      <sheetName val="20"/>
      <sheetName val="21"/>
      <sheetName val="30"/>
      <sheetName val="40"/>
      <sheetName val="50"/>
      <sheetName val="DD-10"/>
      <sheetName val="MMIP(JU)"/>
      <sheetName val="G_Adv to OE"/>
    </sheetNames>
    <sheetDataSet>
      <sheetData sheetId="0" refreshError="1">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
      <sheetName val="Attach"/>
      <sheetName val="Hypo"/>
      <sheetName val="F-11"/>
      <sheetName val="F-22"/>
      <sheetName val="AP110 sup"/>
      <sheetName val="AP110sup"/>
      <sheetName val="A"/>
      <sheetName val="B"/>
      <sheetName val="B-10"/>
      <sheetName val="C"/>
      <sheetName val="L"/>
      <sheetName val="U"/>
      <sheetName val="AA"/>
      <sheetName val="BB"/>
      <sheetName val="BB-10"/>
      <sheetName val="BB-30"/>
      <sheetName val="CC"/>
      <sheetName val="FF"/>
      <sheetName val="FF "/>
      <sheetName val="FF-1"/>
      <sheetName val="FF-2 (1)"/>
      <sheetName val="FF-2 (2)"/>
      <sheetName val="FF-2 (3)"/>
      <sheetName val="FF-3"/>
      <sheetName val="FF-6"/>
      <sheetName val="KK-1"/>
      <sheetName val="MM"/>
      <sheetName val="MM-1"/>
      <sheetName val="MM-10"/>
      <sheetName val="NN"/>
      <sheetName val="NN-1"/>
      <sheetName val="10"/>
      <sheetName val="20"/>
      <sheetName val="30"/>
      <sheetName val="Payroll"/>
      <sheetName val="FF_2_1_"/>
      <sheetName val="Os"/>
      <sheetName val="A2-1"/>
      <sheetName val="A2-2"/>
      <sheetName val="A2-3"/>
      <sheetName val="A2-4"/>
      <sheetName val="A3-1"/>
      <sheetName val="A3-2"/>
      <sheetName val="A3-3"/>
      <sheetName val="A3-4"/>
      <sheetName val="A3-4-1"/>
      <sheetName val="C-1"/>
      <sheetName val="C-10"/>
      <sheetName val="C-20"/>
      <sheetName val="C-40"/>
      <sheetName val="E-1"/>
      <sheetName val="E-11"/>
      <sheetName val="E-12"/>
      <sheetName val="E-4"/>
      <sheetName val="E50"/>
      <sheetName val="F-1"/>
      <sheetName val="F-10"/>
      <sheetName val="F-20"/>
      <sheetName val="F-30"/>
      <sheetName val="F-40"/>
      <sheetName val="G-1"/>
      <sheetName val="G-10"/>
      <sheetName val="G-20"/>
      <sheetName val="G-40"/>
      <sheetName val="H"/>
      <sheetName val="H-1"/>
      <sheetName val="I"/>
      <sheetName val="K1"/>
      <sheetName val="K20"/>
      <sheetName val="Ka"/>
      <sheetName val="K"/>
      <sheetName val="K-1"/>
      <sheetName val="K-2"/>
      <sheetName val="K-3"/>
      <sheetName val="K-4"/>
      <sheetName val="K-6"/>
      <sheetName val="L-1"/>
      <sheetName val="L-10"/>
      <sheetName val="L-20"/>
      <sheetName val="M"/>
      <sheetName val="M-2"/>
      <sheetName val="M-2-1"/>
      <sheetName val="M-3"/>
      <sheetName val="M-4"/>
      <sheetName val="N"/>
      <sheetName val="N-1"/>
      <sheetName val="N-3"/>
      <sheetName val="O"/>
      <sheetName val="O-1"/>
      <sheetName val="O-2"/>
      <sheetName val="O-3"/>
      <sheetName val="O-4"/>
      <sheetName val="O-5"/>
      <sheetName val="O-6"/>
      <sheetName val="O-7"/>
      <sheetName val="O-8"/>
      <sheetName val="O-9"/>
      <sheetName val="O-10"/>
      <sheetName val="P"/>
      <sheetName val="P-1"/>
      <sheetName val="P-2"/>
      <sheetName val="P-4"/>
      <sheetName val="Q "/>
      <sheetName val="Q-1"/>
      <sheetName val="Q-2"/>
      <sheetName val="Q-3"/>
      <sheetName val="S"/>
      <sheetName val="S-1"/>
      <sheetName val="T"/>
      <sheetName val="U10"/>
      <sheetName val="U11"/>
      <sheetName val="U11-2"/>
      <sheetName val="U11-3"/>
      <sheetName val="U13"/>
      <sheetName val="U20"/>
      <sheetName val="U21"/>
      <sheetName val="Sheet4"/>
      <sheetName val="U30"/>
      <sheetName val="U40"/>
      <sheetName val="U50"/>
      <sheetName val="U-25 rawmat consumption"/>
      <sheetName val="CRITERIA2"/>
      <sheetName val="AP110_sup"/>
      <sheetName val="FF_"/>
      <sheetName val="FF-2_(1)"/>
      <sheetName val="FF-2_(2)"/>
      <sheetName val="FF-2_(3)"/>
      <sheetName val="Q_"/>
      <sheetName val="U-25_rawmat_consumption"/>
      <sheetName val="FF_2 _1_"/>
      <sheetName val="資料"/>
      <sheetName val="unpaid"/>
      <sheetName val="FF-2"/>
      <sheetName val="5 Analysis"/>
      <sheetName val="tuong"/>
      <sheetName val="provisions"/>
      <sheetName val="financial statements"/>
      <sheetName val="sumdepn01"/>
      <sheetName val="gl"/>
      <sheetName val="JobDetails"/>
      <sheetName val="FF-21(a)"/>
      <sheetName val="addl cost"/>
      <sheetName val="Company Info"/>
      <sheetName val="CA Comp"/>
      <sheetName val="BPR"/>
      <sheetName val="accumdeprn"/>
      <sheetName val="0000"/>
      <sheetName val="Currency"/>
      <sheetName val="Nst334_Awp1_without adj"/>
      <sheetName val="1 LeadSchedule"/>
      <sheetName val="Leasehold improvement"/>
      <sheetName val="Profitability"/>
      <sheetName val="O2-1-3"/>
      <sheetName val="_x0009__x0008__x0010_"/>
      <sheetName val=""/>
      <sheetName val="CA Sheet"/>
      <sheetName val="U-13-2(disc)"/>
      <sheetName val="D"/>
      <sheetName val="BIS LIST-NTH 18"/>
      <sheetName val=" _x0008__x0010_"/>
      <sheetName val="EXIT"/>
      <sheetName val="AnnualReportInfo 2 (P30.2)"/>
      <sheetName val="C101"/>
      <sheetName val="G301(01)"/>
      <sheetName val="P12.4"/>
      <sheetName val="CA-O7"/>
      <sheetName val="NewUnit"/>
      <sheetName val="Main orig"/>
      <sheetName val="O-11"/>
      <sheetName val="Interim --&gt; Top"/>
      <sheetName val="BALANCESHEET"/>
      <sheetName val="details"/>
      <sheetName val="CA"/>
      <sheetName val="SCH B"/>
      <sheetName val="FF-4"/>
      <sheetName val="HP"/>
      <sheetName val="Cost centre expenditure"/>
      <sheetName val="K5-1"/>
      <sheetName val="A-1"/>
      <sheetName val="6 Analysis"/>
      <sheetName val="F-3"/>
      <sheetName val="Sheet1"/>
      <sheetName val="Ul1"/>
      <sheetName val="Income Statements "/>
      <sheetName val="BP-BREAK"/>
      <sheetName val="Menu"/>
      <sheetName val="?_x0006__x0003_??"/>
      <sheetName val="FF_2__1_"/>
      <sheetName val="addl_cost"/>
      <sheetName val="Company_Info"/>
      <sheetName val="CA_Comp"/>
      <sheetName val="1_LeadSchedule"/>
      <sheetName val="Leasehold_improvement"/>
      <sheetName val="CA_Sheet"/>
      <sheetName val="_"/>
      <sheetName val="BIS_LIST-NTH_18"/>
      <sheetName val="AnnualReportInfo_2_(P30_2)"/>
      <sheetName val="P12_4"/>
      <sheetName val="5_Analysis"/>
      <sheetName val="Main_orig"/>
      <sheetName val="Interim_--&gt;_Top"/>
      <sheetName val="Cost_centre_expenditure"/>
      <sheetName val="6_Analysis"/>
      <sheetName val="Nst334_Awp1_without_adj"/>
      <sheetName val="SCH_B"/>
      <sheetName val="Income_Statements_"/>
      <sheetName val="ADDITION"/>
      <sheetName val="Breakdown"/>
      <sheetName val="Variables"/>
      <sheetName val="N.28 Camera"/>
      <sheetName val="Caspian Norms"/>
      <sheetName val="CBO0497"/>
      <sheetName val="Admin expenses"/>
      <sheetName val="Defaults"/>
      <sheetName val="2171_FYbk"/>
      <sheetName val="2171-BK"/>
      <sheetName val="FF-13"/>
      <sheetName val="price"/>
      <sheetName val="Price Master"/>
      <sheetName val="FSL"/>
      <sheetName val="TITLE"/>
      <sheetName val="IBA"/>
      <sheetName val="YA2004"/>
      <sheetName val="ADD"/>
      <sheetName val="P&amp;L"/>
      <sheetName val="Activity Price"/>
      <sheetName val="SMHB PlanDemand 1998 Report"/>
      <sheetName val="FORMC94"/>
      <sheetName val="GCF"/>
      <sheetName val="FF-50"/>
      <sheetName val="PHSB-GL-TB"/>
      <sheetName val="U-3"/>
      <sheetName val=" IB-PL-00-01 SUMMARY"/>
      <sheetName val="Net Trans Sum"/>
      <sheetName val="Ca-1"/>
      <sheetName val="U2.2"/>
      <sheetName val="IBA&amp;HP"/>
      <sheetName val="COMP00"/>
      <sheetName val="A3"/>
      <sheetName val="U4-Recruitment"/>
      <sheetName val="ICULS"/>
      <sheetName val="105070202"/>
      <sheetName val="A16C"/>
      <sheetName val="COV"/>
      <sheetName val="TBCS-PL"/>
      <sheetName val="FA-LISTING"/>
      <sheetName val="61 HR"/>
      <sheetName val="65 FINANCE"/>
      <sheetName val="DFA"/>
      <sheetName val="U2 - Sales"/>
      <sheetName val="Disposal"/>
      <sheetName val="Mth"/>
      <sheetName val="RATE"/>
      <sheetName val="U-50"/>
      <sheetName val="CONT"/>
      <sheetName val="U2 Sales"/>
      <sheetName val="n7-e"/>
      <sheetName val="notes"/>
      <sheetName val="BB-11(CAR)"/>
      <sheetName val="BB-5(Fire)"/>
      <sheetName val="BB-13(liabilities)"/>
      <sheetName val="BB-10(Cargo)"/>
      <sheetName val="BB-9(Hull)"/>
      <sheetName val="BB-7(ACT)"/>
      <sheetName val="BB-6(MO)"/>
      <sheetName val="BB-14(other)"/>
      <sheetName val="BB-8(PA)"/>
      <sheetName val="BB-12(WC)"/>
      <sheetName val="coef"/>
      <sheetName val="tax-ss"/>
      <sheetName val="Cum.91-93"/>
      <sheetName val="Dec 94"/>
      <sheetName val="4 Analysis"/>
      <sheetName val="NOV_2001_br_"/>
      <sheetName val="F2-3-6 OH absorbtion rate "/>
      <sheetName val="ENQUIRY"/>
      <sheetName val="#REF"/>
      <sheetName val="TAX COMP"/>
      <sheetName val="G101"/>
      <sheetName val="Income Statement"/>
      <sheetName val="M_Maincomp"/>
      <sheetName val="InvoiceList"/>
      <sheetName val="M_CT_OUT"/>
      <sheetName val="INFO"/>
      <sheetName val="U1.6"/>
      <sheetName val="U1.2"/>
      <sheetName val="U1.5"/>
      <sheetName val="U1.1"/>
      <sheetName val="U1.3"/>
      <sheetName val="List_Control"/>
      <sheetName val="P&amp;L + BS"/>
      <sheetName val="Is_JDE"/>
      <sheetName val="OOCO_Orig"/>
      <sheetName val="J"/>
      <sheetName val="A3|1"/>
      <sheetName val="__x0006__x0003___"/>
      <sheetName val="Fin_Perf_wc"/>
      <sheetName val="AP110_sup1"/>
      <sheetName val="FF_1"/>
      <sheetName val="FF-2_(1)1"/>
      <sheetName val="FF-2_(2)1"/>
      <sheetName val="FF-2_(3)1"/>
      <sheetName val="Q_1"/>
      <sheetName val="U-25_rawmat_consumption1"/>
      <sheetName val="FF_2__1_1"/>
      <sheetName val="addl_cost1"/>
      <sheetName val="Company_Info1"/>
      <sheetName val="CA_Comp1"/>
      <sheetName val="5_Analysis1"/>
      <sheetName val="CA_Sheet1"/>
      <sheetName val="1_LeadSchedule1"/>
      <sheetName val="Leasehold_improvement1"/>
      <sheetName val="Interim_--&gt;_Top1"/>
      <sheetName val="SCH_B1"/>
      <sheetName val="Main_orig1"/>
      <sheetName val="Cost_centre_expenditure1"/>
      <sheetName val="AnnualReportInfo_2_(P30_2)1"/>
      <sheetName val="BIS_LIST-NTH_181"/>
      <sheetName val="P12_41"/>
      <sheetName val="6_Analysis1"/>
      <sheetName val="Nst334_Awp1_without_adj1"/>
      <sheetName val="Income_Statements_1"/>
      <sheetName val="financial_statements"/>
      <sheetName val="Activity_Price"/>
      <sheetName val="SMHB_PlanDemand_1998_Report"/>
      <sheetName val="N_28_Camera"/>
      <sheetName val="Caspian_Norms"/>
      <sheetName val="_1"/>
      <sheetName val="Net_Trans_Sum"/>
      <sheetName val="Price_Master"/>
      <sheetName val="_IB-PL-00-01_SUMMARY"/>
      <sheetName val="TAX_COMP"/>
      <sheetName val="Cum_91-93"/>
      <sheetName val="Dec_94"/>
      <sheetName val="Assumptions"/>
      <sheetName val="_x0006__x0003_?"/>
      <sheetName val="G1 - Lead"/>
      <sheetName val="619030_oth admin"/>
      <sheetName val="PPE_listing"/>
      <sheetName val="Input Page"/>
      <sheetName val="MAS_rate"/>
      <sheetName val="??"/>
      <sheetName val="BS"/>
      <sheetName val="U1|2"/>
      <sheetName val="Reference"/>
      <sheetName val="F-5"/>
      <sheetName val="N2-1-f"/>
      <sheetName val="FA"/>
      <sheetName val="Electrical "/>
      <sheetName val="G2|1-MGS-SS"/>
      <sheetName val="Working"/>
      <sheetName val="Control"/>
      <sheetName val="Formatted"/>
      <sheetName val="SUBCODES"/>
      <sheetName val="K1-1 Addn"/>
      <sheetName val="inventory.qty.Dec"/>
      <sheetName val="Inventory Valuation Quantity"/>
      <sheetName val="H1_MGS"/>
      <sheetName val="n10"/>
      <sheetName val="Leasehold Land"/>
      <sheetName val="CA working"/>
      <sheetName val="TC"/>
      <sheetName val="SCH"/>
      <sheetName val="INDEX"/>
      <sheetName val="Electrical_"/>
      <sheetName val="K1-1_Addn"/>
      <sheetName val="inventory_qty_Dec"/>
      <sheetName val="Inventory_Valuation_Quantity"/>
      <sheetName val="Input"/>
      <sheetName val="F-1 F-2"/>
      <sheetName val="MFA00"/>
      <sheetName val="ManRevenue&amp;GrossProfitMargin"/>
      <sheetName val="Dir"/>
      <sheetName val="germany"/>
      <sheetName val="Bal Sheet"/>
      <sheetName val="MDN"/>
      <sheetName val="NGA"/>
      <sheetName val="stock1020v1.3"/>
      <sheetName val="JUNE EOH-MASTER (2)"/>
      <sheetName val="A4|1(f)"/>
      <sheetName val="Entity Data"/>
      <sheetName val="15100 Prepayment"/>
      <sheetName val="24100 Accr Liab"/>
      <sheetName val="6A CA"/>
      <sheetName val="Farm1"/>
      <sheetName val="COM"/>
      <sheetName val="110"/>
      <sheetName val="H1-Investments"/>
      <sheetName val="U -Income statement"/>
      <sheetName val="U 2-Oil Palm Products Trading"/>
      <sheetName val="U 5-Administrative expenses"/>
      <sheetName val="esxa"/>
      <sheetName val="G-35-3"/>
      <sheetName val="11.1"/>
      <sheetName val="Customize Your Loan Manager"/>
      <sheetName val="Loan Amortization Table"/>
      <sheetName val="FF_3"/>
      <sheetName val="LOOSECHKLIST"/>
      <sheetName val="Summary"/>
      <sheetName val="N1 &amp; N2- Sale analysis"/>
      <sheetName val="N3 - N5 Ratio "/>
      <sheetName val="TB"/>
      <sheetName val="PL DETAIL"/>
      <sheetName val="PL"/>
      <sheetName val="Cash Flow Stmt"/>
      <sheetName val="Mfg"/>
      <sheetName val="Notes -Current Assets"/>
      <sheetName val="Notes -Deposit"/>
      <sheetName val="Notes - Current Liabilities"/>
      <sheetName val="FA Sch."/>
      <sheetName val="lead "/>
      <sheetName val="BlSheet"/>
      <sheetName val="PLOSS"/>
      <sheetName val="PROOF"/>
      <sheetName val="Appx B"/>
      <sheetName val="SCH 2-5"/>
      <sheetName val="N2 Detailed Listing (Pre-final)"/>
      <sheetName val="PA"/>
      <sheetName val="GENERAL"/>
      <sheetName val="SHF (CE)"/>
      <sheetName val="SHF (FF)"/>
      <sheetName val="SHF (OE)"/>
      <sheetName val="TO DO LIST"/>
      <sheetName val="LETTER"/>
      <sheetName val="acs"/>
      <sheetName val="OH"/>
      <sheetName val="P &amp; L EP"/>
      <sheetName val="P&amp;L JB"/>
      <sheetName val="C1-Cash"/>
      <sheetName val="DCF Inputs"/>
      <sheetName val="DECO INCOME"/>
      <sheetName val="C_Lead"/>
      <sheetName val="PATH-Edu"/>
      <sheetName val="MIS-ms'ia"/>
      <sheetName val="MIS Sin"/>
      <sheetName val="MIS uni"/>
      <sheetName val="MIS Aus"/>
      <sheetName val="MIS HK"/>
      <sheetName val="Path Viet"/>
      <sheetName val="SCIC"/>
      <sheetName val="SCIL"/>
      <sheetName val="Path Uni"/>
      <sheetName val="CRITERIA1"/>
      <sheetName val="AP110_sup2"/>
      <sheetName val="FF_2"/>
      <sheetName val="FF-2_(1)2"/>
      <sheetName val="FF-2_(2)2"/>
      <sheetName val="FF-2_(3)2"/>
      <sheetName val="Q_2"/>
      <sheetName val="U-25_rawmat_consumption2"/>
      <sheetName val="FF_2__1_2"/>
      <sheetName val="addl_cost2"/>
      <sheetName val="Company_Info2"/>
      <sheetName val="CA_Comp2"/>
      <sheetName val="CA_Sheet2"/>
      <sheetName val="1_LeadSchedule2"/>
      <sheetName val="Interim_--&gt;_Top2"/>
      <sheetName val="Leasehold_improvement2"/>
      <sheetName val="5_Analysis2"/>
      <sheetName val="Main_orig2"/>
      <sheetName val="SCH_B2"/>
      <sheetName val="AnnualReportInfo_2_(P30_2)2"/>
      <sheetName val="BIS_LIST-NTH_182"/>
      <sheetName val="Income_Statements_2"/>
      <sheetName val="Cost_centre_expenditure2"/>
      <sheetName val="P12_42"/>
      <sheetName val="financial_statements1"/>
      <sheetName val="Nst334_Awp1_without_adj2"/>
      <sheetName val="6_Analysis2"/>
      <sheetName val="Activity_Price1"/>
      <sheetName val="SMHB_PlanDemand_1998_Report1"/>
      <sheetName val="N_28_Camera1"/>
      <sheetName val="_2"/>
      <sheetName val="Net_Trans_Sum1"/>
      <sheetName val="Caspian_Norms1"/>
      <sheetName val="Price_Master1"/>
      <sheetName val="_IB-PL-00-01_SUMMARY1"/>
      <sheetName val="61_HR"/>
      <sheetName val="65_FINANCE"/>
      <sheetName val="U2_-_Sales"/>
      <sheetName val="U2_Sales"/>
      <sheetName val="4_Analysis"/>
      <sheetName val="Admin_expenses"/>
      <sheetName val="F2-3-6_OH_absorbtion_rate_"/>
      <sheetName val="U2_2"/>
      <sheetName val="Cum_91-931"/>
      <sheetName val="Dec_941"/>
      <sheetName val="G1_-_Lead"/>
      <sheetName val="TAX_COMP1"/>
      <sheetName val="PPE"/>
      <sheetName val="Prod"/>
      <sheetName val="MFA"/>
      <sheetName val="Q-HP-44"/>
      <sheetName val="N2-1F"/>
      <sheetName val="AFA"/>
      <sheetName val="K3 - Depr reasonableness"/>
      <sheetName val="Q"/>
      <sheetName val="User Input &amp; Retrieval Button"/>
      <sheetName val="809"/>
      <sheetName val="Dept"/>
      <sheetName val="Comp equip"/>
      <sheetName val="Green details"/>
      <sheetName val="K301 - 三里河 (SS)"/>
      <sheetName val="N7-8-admin-finance"/>
      <sheetName val="Mach &amp; equip"/>
      <sheetName val="NZ_BS"/>
      <sheetName val="TW_BS"/>
      <sheetName val="Sheet3"/>
      <sheetName val="Sch1"/>
      <sheetName val="TTL"/>
      <sheetName val="Permanent info"/>
      <sheetName val="ADD NA"/>
      <sheetName val="AP"/>
      <sheetName val="I101"/>
      <sheetName val="H1"/>
      <sheetName val="Aging_Report"/>
      <sheetName val="__"/>
      <sheetName val="CRA-Detail"/>
      <sheetName val="K2"/>
      <sheetName val="assum"/>
      <sheetName val="Note2"/>
      <sheetName val="Note 1"/>
      <sheetName val="K4. F&amp;F"/>
      <sheetName val="HP99"/>
      <sheetName val="PHSB_GL_TB"/>
      <sheetName val="Main Menu"/>
      <sheetName val="O2 TC"/>
      <sheetName val="Balance Sheet"/>
      <sheetName val="Main"/>
      <sheetName val="Ø©+"/>
      <sheetName val="spareparts8"/>
      <sheetName val="FF-5"/>
      <sheetName val="MMIP(JU)"/>
      <sheetName val="F-1&amp;F-2"/>
      <sheetName val="Approfit Zinc AWP 03"/>
      <sheetName val="Sch A to __"/>
      <sheetName val="Sheet11"/>
      <sheetName val="exchange Rate"/>
      <sheetName val="PLC"/>
      <sheetName val="Crest Grp CPL2"/>
      <sheetName val="Prob Grp CPL2"/>
      <sheetName val="JAN08"/>
      <sheetName val="JB"/>
      <sheetName val="Prai"/>
      <sheetName val="WP"/>
      <sheetName val="Sum"/>
      <sheetName val="Run"/>
      <sheetName val="B-4"/>
      <sheetName val="Parameter"/>
      <sheetName val="Data"/>
      <sheetName val="KSIexps"/>
      <sheetName val="cashflowcomp"/>
      <sheetName val="K10"/>
      <sheetName val="CA-PRE(P)"/>
      <sheetName val="BPR-Bloom"/>
      <sheetName val="hsbc"/>
      <sheetName val="Sch FA.4"/>
      <sheetName val="Currency deposit-MYR"/>
      <sheetName val="Journal"/>
      <sheetName val="O1-1CA Sheet"/>
      <sheetName val="SCH4B"/>
      <sheetName val="SCH5C"/>
      <sheetName val="SCH6(5-8)"/>
      <sheetName val="SCH 4D(i)"/>
      <sheetName val="SCH 7C"/>
      <sheetName val="JV"/>
      <sheetName val="ircnte"/>
      <sheetName val="itc"/>
      <sheetName val="Consolidated"/>
      <sheetName val="sch10-rm2"/>
      <sheetName val="sch6-rm"/>
      <sheetName val="other-rm"/>
      <sheetName val="3 P&amp;L "/>
      <sheetName val="Links"/>
      <sheetName val="Assumption sheet"/>
      <sheetName val="Cost"/>
      <sheetName val="O4_CA"/>
      <sheetName val="O5_IBA"/>
      <sheetName val="depn-Sep 03"/>
      <sheetName val="N101"/>
      <sheetName val="TAX COM"/>
      <sheetName val="U201"/>
      <sheetName val="detailed"/>
      <sheetName val="Reimbursements"/>
      <sheetName val="0110"/>
      <sheetName val="Disposal 2006"/>
      <sheetName val="D-PL"/>
      <sheetName val="G1 Deposits"/>
      <sheetName val="C-63"/>
      <sheetName val="Renovation"/>
      <sheetName val="sch9-jpn"/>
      <sheetName val="sch3-rm"/>
      <sheetName val="COVER"/>
      <sheetName val="My Inputs"/>
      <sheetName val="PRICE @ 31 Jan 2000"/>
      <sheetName val="SCHEDULE"/>
      <sheetName val="Q(HP)"/>
      <sheetName val="Q-HP-14"/>
      <sheetName val="Q-HP-31"/>
      <sheetName val="Q-HP-39"/>
      <sheetName val="SS"/>
      <sheetName val="1Q"/>
      <sheetName val="BOQ-Bill1-8"/>
      <sheetName val="PIR IS"/>
      <sheetName val="PIR_IS months "/>
      <sheetName val="Bdown KL-PIR"/>
      <sheetName val="PIR BS"/>
      <sheetName val="IS &amp; tax comp"/>
      <sheetName val="BS08_09"/>
      <sheetName val="ProposedBudget 2009"/>
      <sheetName val="PIR IS as at 31.3.08"/>
      <sheetName val="CF"/>
      <sheetName val="IS as at 31.12.08"/>
      <sheetName val="OT Cost-April"/>
      <sheetName val="Rates"/>
      <sheetName val="`Éµ_x000b__x000f__x0000__x0000__x0000__x0016_8_x001d__x0000__x0000__x0000__x0000__x0000__x0000__x0000__x0000__x0000_"/>
      <sheetName val="BB(_x0017_7_x0000__x0000__x0000__x0000__x0000__x0001__x0000__x0000__x0008_ies)"/>
      <sheetName val="BB-7À¤7#_x0000_"/>
      <sheetName val="Lead"/>
      <sheetName val="Sales &amp; COS"/>
      <sheetName val="Profit Margin-2008"/>
      <sheetName val="Provision for sales buy-back"/>
      <sheetName val="Other operating income"/>
      <sheetName val="S&amp;D, Admin &amp; Other OPEX"/>
      <sheetName val="Finance expenses"/>
      <sheetName val="Payroll 2008"/>
      <sheetName val="Interest reasonableness test"/>
      <sheetName val="BPCOR DETAILS"/>
      <sheetName val="BPMKT DETAILS"/>
      <sheetName val="NTFS 2003"/>
      <sheetName val="IS"/>
      <sheetName val="Final"/>
      <sheetName val="F_8"/>
      <sheetName val="F_1"/>
      <sheetName val="U-10"/>
      <sheetName val="Kod Negara "/>
      <sheetName val="_x005f_x0009__x005f_x0008__x005f_x0010_"/>
      <sheetName val="_x005f_x0000__x005f_x0006__x005f_x0003__x005f_x0000__x0"/>
      <sheetName val=" _x005f_x0008__x005f_x0010_"/>
      <sheetName val="?_x005f_x0006__x005f_x0003_??"/>
      <sheetName val="_x005f_x0006__x005f_x0003__x005f_x0000_"/>
      <sheetName val="_x005f_x0006__x005f_x0003_?"/>
      <sheetName val="__x005f_x0006__x005f_x0003___"/>
      <sheetName val="_x005f_x0006__x005f_x0003_"/>
      <sheetName val="`Éµ_x000b__x000f_???_x0016_8_x001d_?????????"/>
      <sheetName val="BB(_x0017_7?????_x0001_??_x0008_ies)"/>
      <sheetName val="BB-7À¤7#?"/>
      <sheetName val="AP110_sup3"/>
      <sheetName val="FF_4"/>
      <sheetName val="FF-2_(1)3"/>
      <sheetName val="FF-2_(2)3"/>
      <sheetName val="FF-2_(3)3"/>
      <sheetName val="Q_3"/>
      <sheetName val="U-25_rawmat_consumption3"/>
      <sheetName val="FF_2__1_3"/>
      <sheetName val="addl_cost3"/>
      <sheetName val="Company_Info3"/>
      <sheetName val="CA_Comp3"/>
      <sheetName val="CA_Sheet3"/>
      <sheetName val="1_LeadSchedule3"/>
      <sheetName val="Leasehold_improvement3"/>
      <sheetName val="5_Analysis3"/>
      <sheetName val="Main_orig3"/>
      <sheetName val="Interim_--&gt;_Top3"/>
      <sheetName val="SCH_B3"/>
      <sheetName val="AnnualReportInfo_2_(P30_2)3"/>
      <sheetName val="BIS_LIST-NTH_183"/>
      <sheetName val="Income_Statements_3"/>
      <sheetName val="Cost_centre_expenditure3"/>
      <sheetName val="P12_43"/>
      <sheetName val="financial_statements2"/>
      <sheetName val="Nst334_Awp1_without_adj3"/>
      <sheetName val="6_Analysis3"/>
      <sheetName val="Activity_Price2"/>
      <sheetName val="SMHB_PlanDemand_1998_Report2"/>
      <sheetName val="N_28_Camera2"/>
      <sheetName val="_3"/>
      <sheetName val="Net_Trans_Sum2"/>
      <sheetName val="Price_Master2"/>
      <sheetName val="Caspian_Norms2"/>
      <sheetName val="_IB-PL-00-01_SUMMARY2"/>
      <sheetName val="61_HR1"/>
      <sheetName val="65_FINANCE1"/>
      <sheetName val="U2_-_Sales1"/>
      <sheetName val="U2_Sales1"/>
      <sheetName val="4_Analysis1"/>
      <sheetName val="Admin_expense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
          <cell r="A1" t="str">
            <v>IDSM ELECTRONICS SDN BHD</v>
          </cell>
        </row>
        <row r="2">
          <cell r="A2" t="str">
            <v>FILE NUMBER   :  C 4909072-00</v>
          </cell>
        </row>
        <row r="3">
          <cell r="A3" t="str">
            <v>YEAR OF ASSESSMENT 2000 (CURRENT YEAR)</v>
          </cell>
        </row>
        <row r="4">
          <cell r="A4" t="str">
            <v>SECTION 108 CREDIT BALANCE</v>
          </cell>
        </row>
        <row r="7">
          <cell r="A7" t="str">
            <v>YEAR</v>
          </cell>
          <cell r="B7" t="str">
            <v>BALANCE</v>
          </cell>
          <cell r="C7" t="str">
            <v>BALANCE</v>
          </cell>
          <cell r="D7" t="str">
            <v>DIVIDENDS</v>
          </cell>
          <cell r="E7" t="str">
            <v>CURRENT</v>
          </cell>
          <cell r="F7">
            <v>0</v>
          </cell>
          <cell r="G7">
            <v>0</v>
          </cell>
          <cell r="H7">
            <v>0</v>
          </cell>
          <cell r="I7" t="str">
            <v>DIVIDENDS</v>
          </cell>
          <cell r="J7">
            <v>0</v>
          </cell>
          <cell r="K7" t="str">
            <v>BALANCE</v>
          </cell>
        </row>
        <row r="8">
          <cell r="A8" t="str">
            <v>ENDED</v>
          </cell>
          <cell r="B8" t="str">
            <v>B/F</v>
          </cell>
          <cell r="C8" t="str">
            <v>B/F</v>
          </cell>
          <cell r="D8" t="str">
            <v>BALANCE</v>
          </cell>
          <cell r="E8" t="str">
            <v>YEAR</v>
          </cell>
          <cell r="F8" t="str">
            <v>C/F</v>
          </cell>
          <cell r="G8" t="str">
            <v>BALANCE</v>
          </cell>
          <cell r="H8">
            <v>0</v>
          </cell>
          <cell r="I8" t="str">
            <v>PAID</v>
          </cell>
          <cell r="J8">
            <v>0</v>
          </cell>
          <cell r="K8" t="str">
            <v>C/F</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loans"/>
      <sheetName val="summary"/>
      <sheetName val="CRC database"/>
      <sheetName val="CRC_database"/>
      <sheetName val="table"/>
    </sheetNames>
    <sheetDataSet>
      <sheetData sheetId="0" refreshError="1">
        <row r="7">
          <cell r="D7">
            <v>0</v>
          </cell>
        </row>
        <row r="8">
          <cell r="D8" t="str">
            <v>Board of Directors</v>
          </cell>
        </row>
        <row r="9">
          <cell r="D9" t="str">
            <v>Board of Directors</v>
          </cell>
        </row>
        <row r="10">
          <cell r="D10" t="str">
            <v>OCEO</v>
          </cell>
        </row>
        <row r="11">
          <cell r="D11" t="str">
            <v>OCOO</v>
          </cell>
        </row>
        <row r="12">
          <cell r="D12" t="str">
            <v>OCOO</v>
          </cell>
        </row>
        <row r="13">
          <cell r="D13" t="str">
            <v>OCOO</v>
          </cell>
        </row>
        <row r="14">
          <cell r="D14" t="str">
            <v>OCRO</v>
          </cell>
        </row>
        <row r="15">
          <cell r="D15" t="str">
            <v>OCRO</v>
          </cell>
        </row>
        <row r="16">
          <cell r="D16" t="str">
            <v>OCRO</v>
          </cell>
        </row>
        <row r="17">
          <cell r="D17" t="str">
            <v>OCRO</v>
          </cell>
        </row>
        <row r="18">
          <cell r="D18" t="str">
            <v>OCRO</v>
          </cell>
        </row>
        <row r="19">
          <cell r="D19" t="str">
            <v>OCRO</v>
          </cell>
        </row>
        <row r="20">
          <cell r="D20" t="str">
            <v>OCRO</v>
          </cell>
        </row>
        <row r="21">
          <cell r="D21" t="str">
            <v>OCRO</v>
          </cell>
        </row>
        <row r="22">
          <cell r="D22" t="str">
            <v>OCFO</v>
          </cell>
        </row>
        <row r="23">
          <cell r="D23" t="str">
            <v>OCFO</v>
          </cell>
        </row>
        <row r="24">
          <cell r="D24" t="str">
            <v>OCFO</v>
          </cell>
        </row>
        <row r="25">
          <cell r="D25" t="str">
            <v>OCFO</v>
          </cell>
        </row>
        <row r="26">
          <cell r="D26" t="str">
            <v>OCFO</v>
          </cell>
        </row>
        <row r="27">
          <cell r="D27" t="str">
            <v>OCFO</v>
          </cell>
        </row>
        <row r="28">
          <cell r="D28" t="str">
            <v>OCFO</v>
          </cell>
        </row>
        <row r="29">
          <cell r="D29" t="str">
            <v>OCMO</v>
          </cell>
        </row>
        <row r="30">
          <cell r="D30" t="str">
            <v>OCMO</v>
          </cell>
        </row>
        <row r="31">
          <cell r="D31" t="str">
            <v>OCMO</v>
          </cell>
        </row>
        <row r="32">
          <cell r="D32" t="str">
            <v>OCMO</v>
          </cell>
        </row>
        <row r="33">
          <cell r="D33" t="str">
            <v>OCMO</v>
          </cell>
        </row>
        <row r="34">
          <cell r="D34" t="str">
            <v>OCMO</v>
          </cell>
        </row>
        <row r="35">
          <cell r="D35" t="str">
            <v>Leisure &amp; Resorts (Common)</v>
          </cell>
        </row>
        <row r="36">
          <cell r="D36" t="str">
            <v>Leisure &amp; Resorts (Common)</v>
          </cell>
        </row>
        <row r="37">
          <cell r="D37" t="str">
            <v>Leisure &amp; Resorts (Common)</v>
          </cell>
        </row>
        <row r="38">
          <cell r="D38" t="str">
            <v>Peninsula de Punta Fuego</v>
          </cell>
        </row>
        <row r="39">
          <cell r="D39" t="str">
            <v>Amara en Terrazas</v>
          </cell>
        </row>
        <row r="40">
          <cell r="D40" t="str">
            <v>Amara en Terrazas</v>
          </cell>
        </row>
        <row r="41">
          <cell r="D41" t="str">
            <v>Amara en Terrazas</v>
          </cell>
        </row>
        <row r="42">
          <cell r="D42" t="str">
            <v>Terrazas de Punta Fuego</v>
          </cell>
        </row>
        <row r="43">
          <cell r="D43" t="str">
            <v>Terrazas de Punta Fuego</v>
          </cell>
        </row>
        <row r="44">
          <cell r="D44" t="str">
            <v>Terrazas de Punta Fuego</v>
          </cell>
        </row>
        <row r="45">
          <cell r="D45" t="str">
            <v>Playa Calatagan Residential</v>
          </cell>
        </row>
        <row r="46">
          <cell r="D46" t="str">
            <v>Playa Calatagan Residential</v>
          </cell>
        </row>
        <row r="47">
          <cell r="D47" t="str">
            <v>Playa Calatagan Residential</v>
          </cell>
        </row>
        <row r="48">
          <cell r="D48" t="str">
            <v>Playa Calatagan Commercial</v>
          </cell>
        </row>
        <row r="49">
          <cell r="D49" t="str">
            <v>Playa Calatagan Commercial</v>
          </cell>
        </row>
        <row r="50">
          <cell r="D50" t="str">
            <v>Playa Calatagan Commercial</v>
          </cell>
        </row>
        <row r="51">
          <cell r="D51" t="str">
            <v>Club Punta Fuego Shares</v>
          </cell>
        </row>
        <row r="52">
          <cell r="D52" t="str">
            <v>Club Punta Fuego Shares</v>
          </cell>
        </row>
        <row r="53">
          <cell r="D53" t="str">
            <v>Leisure Farms</v>
          </cell>
        </row>
        <row r="54">
          <cell r="D54" t="str">
            <v>Leisure Farms</v>
          </cell>
        </row>
        <row r="55">
          <cell r="D55" t="str">
            <v>Leisure Farms</v>
          </cell>
        </row>
        <row r="56">
          <cell r="D56" t="str">
            <v>Leisure Farms</v>
          </cell>
        </row>
        <row r="57">
          <cell r="D57" t="str">
            <v>Ponderosa Leisure Farms</v>
          </cell>
        </row>
        <row r="58">
          <cell r="D58" t="str">
            <v>Ponderosa Leisure Farms</v>
          </cell>
        </row>
        <row r="59">
          <cell r="D59" t="str">
            <v>Ponderosa Leisure Farms</v>
          </cell>
        </row>
        <row r="60">
          <cell r="D60" t="str">
            <v>Playa Laiya Residential</v>
          </cell>
        </row>
        <row r="61">
          <cell r="D61" t="str">
            <v>Playa Laiya Residential</v>
          </cell>
        </row>
        <row r="62">
          <cell r="D62" t="str">
            <v>Playa Laiya Residential</v>
          </cell>
        </row>
        <row r="63">
          <cell r="D63" t="str">
            <v>Playa Laiya Commercial</v>
          </cell>
        </row>
        <row r="64">
          <cell r="D64" t="str">
            <v>Playa Laiya Commercial</v>
          </cell>
        </row>
        <row r="65">
          <cell r="D65" t="str">
            <v>Playa Laiya Commercial</v>
          </cell>
        </row>
        <row r="66">
          <cell r="D66" t="str">
            <v>Hacienda Escudero Residential</v>
          </cell>
        </row>
        <row r="67">
          <cell r="D67" t="str">
            <v>Hacienda Escudero Residential</v>
          </cell>
        </row>
        <row r="68">
          <cell r="D68" t="str">
            <v>Hacienda Escudero Residential</v>
          </cell>
        </row>
        <row r="69">
          <cell r="D69" t="str">
            <v>Hacienda Escudero Commercial</v>
          </cell>
        </row>
        <row r="70">
          <cell r="D70" t="str">
            <v>Hacienda Escudero Commercial</v>
          </cell>
        </row>
        <row r="71">
          <cell r="D71" t="str">
            <v>Hacienda Escudero Commercial</v>
          </cell>
        </row>
        <row r="72">
          <cell r="D72" t="str">
            <v>Fuego Hotels</v>
          </cell>
        </row>
        <row r="73">
          <cell r="D73" t="str">
            <v>Leisure Tourism</v>
          </cell>
        </row>
        <row r="74">
          <cell r="D74" t="str">
            <v>Leisure Tourism</v>
          </cell>
        </row>
        <row r="75">
          <cell r="D75" t="str">
            <v>Playa Calatagan Beach Resort</v>
          </cell>
        </row>
        <row r="76">
          <cell r="D76" t="str">
            <v>Playa Calatagan Hotel</v>
          </cell>
        </row>
        <row r="77">
          <cell r="D77" t="str">
            <v>Hacienda Escudero WaterPark</v>
          </cell>
        </row>
        <row r="78">
          <cell r="D78" t="str">
            <v>Hacienda Escudero Agritainment</v>
          </cell>
        </row>
        <row r="79">
          <cell r="D79" t="str">
            <v>Hacienda Escudero Hotel</v>
          </cell>
        </row>
        <row r="80">
          <cell r="D80" t="str">
            <v>Playa Laiya Beach Resort</v>
          </cell>
        </row>
        <row r="81">
          <cell r="D81" t="str">
            <v>Playa Laiya Hotel</v>
          </cell>
        </row>
        <row r="82">
          <cell r="D82" t="str">
            <v>Hometown Communities (Common)</v>
          </cell>
        </row>
        <row r="83">
          <cell r="D83" t="str">
            <v>Hometown Communities (Common)</v>
          </cell>
        </row>
        <row r="84">
          <cell r="D84" t="str">
            <v>Hometown Communities (Common)</v>
          </cell>
        </row>
        <row r="85">
          <cell r="D85" t="str">
            <v>Hometown Communities (Common)</v>
          </cell>
        </row>
        <row r="86">
          <cell r="D86" t="str">
            <v>MonteLago</v>
          </cell>
        </row>
        <row r="87">
          <cell r="D87" t="str">
            <v>MonteLago</v>
          </cell>
        </row>
        <row r="88">
          <cell r="D88" t="str">
            <v>MonteLago</v>
          </cell>
        </row>
        <row r="89">
          <cell r="D89" t="str">
            <v>MonteLago</v>
          </cell>
        </row>
        <row r="90">
          <cell r="D90" t="str">
            <v>MonteLago</v>
          </cell>
        </row>
        <row r="91">
          <cell r="D91" t="str">
            <v>Waterwood</v>
          </cell>
        </row>
        <row r="92">
          <cell r="D92" t="str">
            <v>Waterwood</v>
          </cell>
        </row>
        <row r="93">
          <cell r="D93" t="str">
            <v>Waterwood</v>
          </cell>
        </row>
        <row r="94">
          <cell r="D94" t="str">
            <v>Waterwood</v>
          </cell>
        </row>
        <row r="95">
          <cell r="D95" t="str">
            <v>Waterwood</v>
          </cell>
        </row>
        <row r="96">
          <cell r="D96" t="str">
            <v>Waterwood</v>
          </cell>
        </row>
        <row r="97">
          <cell r="D97" t="str">
            <v>Waterwood</v>
          </cell>
        </row>
        <row r="98">
          <cell r="D98" t="str">
            <v>Woodgroove (San Fernando)</v>
          </cell>
        </row>
        <row r="99">
          <cell r="D99" t="str">
            <v>Woodgroove (San Fernando)</v>
          </cell>
        </row>
        <row r="100">
          <cell r="D100" t="str">
            <v>Woodgroove (San Fernando)</v>
          </cell>
        </row>
        <row r="101">
          <cell r="D101" t="str">
            <v>Woodgroove (San Fernando)</v>
          </cell>
        </row>
        <row r="102">
          <cell r="D102" t="str">
            <v>Woodgroove (San Fernando)</v>
          </cell>
        </row>
        <row r="103">
          <cell r="D103" t="str">
            <v>Zamboanga</v>
          </cell>
        </row>
        <row r="104">
          <cell r="D104" t="str">
            <v>Zamboanga</v>
          </cell>
        </row>
        <row r="105">
          <cell r="D105" t="str">
            <v>Zamboanga</v>
          </cell>
        </row>
        <row r="106">
          <cell r="D106" t="str">
            <v>Zamboanga</v>
          </cell>
        </row>
        <row r="107">
          <cell r="D107" t="str">
            <v>Zamboanga</v>
          </cell>
        </row>
        <row r="108">
          <cell r="D108" t="str">
            <v>Woodside Garden</v>
          </cell>
        </row>
        <row r="109">
          <cell r="D109" t="str">
            <v>Woodside Garden</v>
          </cell>
        </row>
        <row r="110">
          <cell r="D110" t="str">
            <v>Woodside Garden</v>
          </cell>
        </row>
        <row r="111">
          <cell r="D111" t="str">
            <v>Woodside Park</v>
          </cell>
        </row>
        <row r="112">
          <cell r="D112" t="str">
            <v>Woodside Park</v>
          </cell>
        </row>
        <row r="113">
          <cell r="D113" t="str">
            <v>Woodside Park</v>
          </cell>
        </row>
        <row r="114">
          <cell r="D114" t="str">
            <v>Woodside Park</v>
          </cell>
        </row>
        <row r="115">
          <cell r="D115" t="str">
            <v>Woodside Park</v>
          </cell>
        </row>
        <row r="116">
          <cell r="D116" t="str">
            <v>Lakewood</v>
          </cell>
        </row>
        <row r="117">
          <cell r="D117" t="str">
            <v>Lakewood</v>
          </cell>
        </row>
        <row r="118">
          <cell r="D118" t="str">
            <v>Lakewood</v>
          </cell>
        </row>
        <row r="119">
          <cell r="D119" t="str">
            <v xml:space="preserve">Courtyard @ Lakewood </v>
          </cell>
        </row>
        <row r="120">
          <cell r="D120" t="str">
            <v xml:space="preserve">Courtyard @ Lakewood </v>
          </cell>
        </row>
        <row r="121">
          <cell r="D121" t="str">
            <v xml:space="preserve">Courtyard @ Lakewood </v>
          </cell>
        </row>
        <row r="122">
          <cell r="D122" t="str">
            <v xml:space="preserve">Courtyard @ Lakewood </v>
          </cell>
        </row>
        <row r="123">
          <cell r="D123" t="str">
            <v xml:space="preserve">Courtyard @ Lakewood </v>
          </cell>
        </row>
        <row r="124">
          <cell r="D124" t="str">
            <v xml:space="preserve">Courtyard @ Lakewood </v>
          </cell>
        </row>
        <row r="125">
          <cell r="D125" t="str">
            <v>Pacific Heights</v>
          </cell>
        </row>
        <row r="126">
          <cell r="D126" t="str">
            <v>Ridgewood</v>
          </cell>
        </row>
        <row r="127">
          <cell r="D127" t="str">
            <v>Ridgewood</v>
          </cell>
        </row>
        <row r="128">
          <cell r="D128" t="str">
            <v>Urban Communities (Common)</v>
          </cell>
        </row>
        <row r="129">
          <cell r="D129" t="str">
            <v>Urban Communities (Common)</v>
          </cell>
        </row>
        <row r="130">
          <cell r="D130" t="str">
            <v>Urban Communities (Common)</v>
          </cell>
        </row>
        <row r="131">
          <cell r="D131" t="str">
            <v>Urban Communities (Common)</v>
          </cell>
        </row>
        <row r="132">
          <cell r="D132" t="str">
            <v>Tribeca</v>
          </cell>
        </row>
        <row r="133">
          <cell r="D133" t="str">
            <v>Tribeca</v>
          </cell>
        </row>
        <row r="134">
          <cell r="D134" t="str">
            <v>Tribeca</v>
          </cell>
        </row>
        <row r="135">
          <cell r="D135" t="str">
            <v>Tribeca</v>
          </cell>
        </row>
        <row r="136">
          <cell r="D136" t="str">
            <v>Tribeca</v>
          </cell>
        </row>
        <row r="137">
          <cell r="D137" t="str">
            <v>Stonecrest</v>
          </cell>
        </row>
        <row r="138">
          <cell r="D138" t="str">
            <v>Stonecrest</v>
          </cell>
        </row>
        <row r="139">
          <cell r="D139" t="str">
            <v>Stonecrest</v>
          </cell>
        </row>
        <row r="140">
          <cell r="D140" t="str">
            <v>VisMin (Common)</v>
          </cell>
        </row>
        <row r="141">
          <cell r="D141" t="str">
            <v>VisMin (Common)</v>
          </cell>
        </row>
        <row r="142">
          <cell r="D142" t="str">
            <v>VisMin (Common)</v>
          </cell>
        </row>
        <row r="143">
          <cell r="D143" t="str">
            <v>VisMin (Common)</v>
          </cell>
        </row>
        <row r="144">
          <cell r="D144" t="str">
            <v>Monterrazas de Cebu</v>
          </cell>
        </row>
        <row r="145">
          <cell r="D145" t="str">
            <v>Monterrazas de Cebu</v>
          </cell>
        </row>
        <row r="146">
          <cell r="D146" t="str">
            <v>Monterrazas de Cebu</v>
          </cell>
        </row>
        <row r="147">
          <cell r="D147" t="str">
            <v>Monterrazas de Cebu</v>
          </cell>
        </row>
        <row r="148">
          <cell r="D148" t="str">
            <v>Monterrazas de Cebu</v>
          </cell>
        </row>
        <row r="149">
          <cell r="D149" t="str">
            <v>Mall Management (LPCI Common)</v>
          </cell>
        </row>
        <row r="150">
          <cell r="D150" t="str">
            <v>Mall Management (LPCI Common)</v>
          </cell>
        </row>
        <row r="151">
          <cell r="D151" t="str">
            <v>Mall Management (LPCI Common)</v>
          </cell>
        </row>
        <row r="152">
          <cell r="D152" t="str">
            <v>NE Pacific</v>
          </cell>
        </row>
        <row r="153">
          <cell r="D153" t="str">
            <v>PM Lucena</v>
          </cell>
        </row>
        <row r="154">
          <cell r="D154" t="str">
            <v>PM Legazpi</v>
          </cell>
        </row>
        <row r="155">
          <cell r="D155" t="str">
            <v>CBD Legazpi</v>
          </cell>
        </row>
        <row r="156">
          <cell r="D156" t="str">
            <v>LCC Davao</v>
          </cell>
        </row>
        <row r="157">
          <cell r="D157" t="str">
            <v>Forest Lake Management</v>
          </cell>
        </row>
        <row r="158">
          <cell r="D158" t="str">
            <v>Forest Lake Management</v>
          </cell>
        </row>
        <row r="159">
          <cell r="D159" t="str">
            <v>Forest Lake Management</v>
          </cell>
        </row>
        <row r="160">
          <cell r="D160" t="str">
            <v>Forest Lake Management</v>
          </cell>
        </row>
        <row r="161">
          <cell r="D161" t="str">
            <v>Forest Lake Management</v>
          </cell>
        </row>
        <row r="162">
          <cell r="D162" t="str">
            <v>Forest Lake Management</v>
          </cell>
        </row>
        <row r="163">
          <cell r="D163" t="str">
            <v>Forest Lake Management</v>
          </cell>
        </row>
        <row r="164">
          <cell r="D164" t="str">
            <v>Forest Lake Iloilo</v>
          </cell>
        </row>
        <row r="165">
          <cell r="D165" t="str">
            <v>Forest Lake Iloilo</v>
          </cell>
        </row>
        <row r="166">
          <cell r="D166" t="str">
            <v>Forest Lake Iloilo</v>
          </cell>
        </row>
        <row r="167">
          <cell r="D167" t="str">
            <v>Forest Lake Iloilo</v>
          </cell>
        </row>
        <row r="168">
          <cell r="D168" t="str">
            <v>Forest Lake Zambo</v>
          </cell>
        </row>
        <row r="169">
          <cell r="D169" t="str">
            <v>Forest Lake Zambo</v>
          </cell>
        </row>
        <row r="170">
          <cell r="D170" t="str">
            <v>Forest Lake Zambo</v>
          </cell>
        </row>
        <row r="171">
          <cell r="D171" t="str">
            <v>Forest Lake Zambo</v>
          </cell>
        </row>
        <row r="172">
          <cell r="D172" t="str">
            <v>Forest Lake Davao</v>
          </cell>
        </row>
        <row r="173">
          <cell r="D173" t="str">
            <v>Forest Lake Davao</v>
          </cell>
        </row>
        <row r="174">
          <cell r="D174" t="str">
            <v>Forest Lake Davao</v>
          </cell>
        </row>
        <row r="175">
          <cell r="D175" t="str">
            <v>Forest Lake Davao</v>
          </cell>
        </row>
        <row r="176">
          <cell r="D176" t="str">
            <v>Forest Lake San Pedro</v>
          </cell>
        </row>
        <row r="177">
          <cell r="D177" t="str">
            <v>Forest Lake La Union</v>
          </cell>
        </row>
        <row r="178">
          <cell r="D178" t="str">
            <v>Forest Lake La Union</v>
          </cell>
        </row>
        <row r="179">
          <cell r="D179" t="str">
            <v>Forest Lake La Union</v>
          </cell>
        </row>
        <row r="180">
          <cell r="D180" t="str">
            <v>Forest Lake La Union</v>
          </cell>
        </row>
        <row r="181">
          <cell r="D181" t="str">
            <v>Forest Lake CDO</v>
          </cell>
        </row>
        <row r="182">
          <cell r="D182" t="str">
            <v>Forest Lake CDO</v>
          </cell>
        </row>
        <row r="183">
          <cell r="D183" t="str">
            <v>Forest Lake CDO</v>
          </cell>
        </row>
        <row r="184">
          <cell r="D184" t="str">
            <v>Forest Lake CDO</v>
          </cell>
        </row>
        <row r="185">
          <cell r="D185" t="str">
            <v>Forest Lake Binan</v>
          </cell>
        </row>
        <row r="186">
          <cell r="D186" t="str">
            <v>Forest Lake General Santos</v>
          </cell>
        </row>
        <row r="187">
          <cell r="D187" t="str">
            <v>Forest Lake East Zambo</v>
          </cell>
        </row>
        <row r="188">
          <cell r="D188" t="str">
            <v>Forest Lake East Zambo</v>
          </cell>
        </row>
        <row r="189">
          <cell r="D189" t="str">
            <v>Forest Lake East Zambo</v>
          </cell>
        </row>
        <row r="190">
          <cell r="D190" t="str">
            <v>Forest Lake East Zambo</v>
          </cell>
        </row>
      </sheetData>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E8'97"/>
      <sheetName val="SCV P1A - Shared Cost"/>
      <sheetName val="1120"/>
      <sheetName val="4 Analysis"/>
      <sheetName val="Factor"/>
      <sheetName val="UTILITIES"/>
      <sheetName val="S-CURVE 2"/>
      <sheetName val="S-Curve"/>
      <sheetName val="Sheet1"/>
      <sheetName val="MU"/>
      <sheetName val="GAE8_97"/>
      <sheetName val="conditions"/>
      <sheetName val="openings"/>
      <sheetName val="forex_mu"/>
      <sheetName val="Summary"/>
      <sheetName val="P&amp;L"/>
      <sheetName val="Projected Revenue"/>
      <sheetName val="DOE 2013"/>
      <sheetName val="DOE 2012"/>
      <sheetName val="DOE Details 2013"/>
      <sheetName val="DOE Details 2012"/>
      <sheetName val="Tools 2012"/>
      <sheetName val="Shared Equipment 2013"/>
      <sheetName val="GAE 2012"/>
      <sheetName val="GAE Details 2013"/>
      <sheetName val="GAE Details 2012"/>
      <sheetName val="Capex_GAE 2012"/>
      <sheetName val="Capex_depre GAE 2013"/>
      <sheetName val="Golf Equipment 2012"/>
      <sheetName val="Golf Equipment 2013"/>
      <sheetName val="2013 CAPEX"/>
      <sheetName val="2013 GAE Nonpayroll"/>
      <sheetName val="SCV_P1A_-_Shared_Cost"/>
      <sheetName val="Projected_Revenue"/>
      <sheetName val="DOE_2013"/>
      <sheetName val="DOE_2012"/>
      <sheetName val="DOE_Details_2013"/>
      <sheetName val="DOE_Details_2012"/>
      <sheetName val="Tools_2012"/>
      <sheetName val="Shared_Equipment_2013"/>
      <sheetName val="GAE_2012"/>
      <sheetName val="GAE_Details_2013"/>
      <sheetName val="GAE_Details_2012"/>
      <sheetName val="Capex_GAE_2012"/>
      <sheetName val="Capex_depre_GAE_2013"/>
      <sheetName val="Golf_Equipment_2012"/>
      <sheetName val="Golf_Equipment_2013"/>
      <sheetName val="2013_CAPEX"/>
      <sheetName val="2013_GAE_Nonpayroll"/>
      <sheetName val="cf-var"/>
      <sheetName val="GAE-Jan"/>
      <sheetName val="Schedule S-Curve (new scheme)"/>
      <sheetName val="input"/>
      <sheetName val="Schedule_S-Curve_(new_scheme)"/>
      <sheetName val="Land Dev't. Ph-1"/>
      <sheetName val="4-Lane bridge"/>
      <sheetName val="Hac.Lots"/>
      <sheetName val="Res.Lots"/>
      <sheetName val="Spine Road"/>
      <sheetName val="ph2B cnstrction sched."/>
      <sheetName val="SCV_P1A_-_Shared_Cost1"/>
      <sheetName val="S-CURVE_2"/>
      <sheetName val="Projected_Revenue1"/>
      <sheetName val="DOE_20131"/>
      <sheetName val="DOE_20121"/>
      <sheetName val="DOE_Details_20131"/>
      <sheetName val="DOE_Details_20121"/>
      <sheetName val="Tools_20121"/>
      <sheetName val="Shared_Equipment_20131"/>
      <sheetName val="GAE_20121"/>
      <sheetName val="GAE_Details_20131"/>
      <sheetName val="GAE_Details_20121"/>
      <sheetName val="Capex_GAE_20121"/>
      <sheetName val="Capex_depre_GAE_20131"/>
      <sheetName val="Golf_Equipment_20121"/>
      <sheetName val="Golf_Equipment_20131"/>
      <sheetName val="2013_CAPEX1"/>
      <sheetName val="2013_GAE_Nonpayroll1"/>
      <sheetName val="Launches"/>
      <sheetName val="Projected_Revenue2"/>
      <sheetName val="DOE_20132"/>
      <sheetName val="DOE_20122"/>
      <sheetName val="DOE_Details_20132"/>
      <sheetName val="DOE_Details_20122"/>
      <sheetName val="Tools_20122"/>
      <sheetName val="Shared_Equipment_20132"/>
      <sheetName val="GAE_20122"/>
      <sheetName val="GAE_Details_20132"/>
      <sheetName val="GAE_Details_20122"/>
      <sheetName val="Capex_GAE_20122"/>
      <sheetName val="Capex_depre_GAE_20132"/>
      <sheetName val="Golf_Equipment_20122"/>
      <sheetName val="Golf_Equipment_20132"/>
      <sheetName val="2013_CAPEX2"/>
      <sheetName val="2013_GAE_Nonpayroll2"/>
      <sheetName val="SCV_P1A_-_Shared_Cost2"/>
      <sheetName val="S-CURVE_21"/>
      <sheetName val="ph2B_cnstrction_sched_1"/>
      <sheetName val="ph2B_cnstrction_sched_"/>
      <sheetName val="8-31-98"/>
      <sheetName val="worksheet_inchican4"/>
      <sheetName val="Rel__Wt_"/>
      <sheetName val="Sta__Alex-Direct_Cost"/>
      <sheetName val="Sta__Alex-GROSS_AMT"/>
      <sheetName val="combined_9-304"/>
      <sheetName val="barchart"/>
      <sheetName val="Schedule_S-Curve_(new_scheme)1"/>
      <sheetName val="Schedule_S-Curve_(new_scheme)2"/>
      <sheetName val="Projected_Revenue3"/>
      <sheetName val="DOE_20133"/>
      <sheetName val="DOE_20123"/>
      <sheetName val="DOE_Details_20133"/>
      <sheetName val="DOE_Details_20123"/>
      <sheetName val="Tools_20123"/>
      <sheetName val="Shared_Equipment_20133"/>
      <sheetName val="GAE_20123"/>
      <sheetName val="GAE_Details_20133"/>
      <sheetName val="GAE_Details_20123"/>
      <sheetName val="Capex_GAE_20123"/>
      <sheetName val="Capex_depre_GAE_20133"/>
      <sheetName val="Golf_Equipment_20123"/>
      <sheetName val="Golf_Equipment_20133"/>
      <sheetName val="2013_CAPEX3"/>
      <sheetName val="2013_GAE_Nonpayroll3"/>
      <sheetName val="SCV_P1A_-_Shared_Cost3"/>
      <sheetName val="S-CURVE_22"/>
      <sheetName val="ph2B_cnstrction_sched_2"/>
      <sheetName val="Schedule_S-Curve_(new_scheme)3"/>
      <sheetName val="derive"/>
      <sheetName val="remaining billing"/>
      <sheetName val="Projected_Revenue4"/>
      <sheetName val="DOE_20134"/>
      <sheetName val="DOE_20124"/>
      <sheetName val="DOE_Details_20134"/>
      <sheetName val="DOE_Details_20124"/>
      <sheetName val="Tools_20124"/>
      <sheetName val="Shared_Equipment_20134"/>
      <sheetName val="GAE_20124"/>
      <sheetName val="GAE_Details_20134"/>
      <sheetName val="GAE_Details_20124"/>
      <sheetName val="Capex_GAE_20124"/>
      <sheetName val="Capex_depre_GAE_20134"/>
      <sheetName val="Golf_Equipment_20124"/>
      <sheetName val="Golf_Equipment_20134"/>
      <sheetName val="2013_CAPEX4"/>
      <sheetName val="2013_GAE_Nonpayroll4"/>
      <sheetName val="SCV_P1A_-_Shared_Cost4"/>
      <sheetName val="S-CURVE_23"/>
      <sheetName val="ph2B_cnstrction_sched_3"/>
      <sheetName val="Schedule_S-Curve_(new_scheme)4"/>
      <sheetName val="Projected_Revenue5"/>
      <sheetName val="DOE_20135"/>
      <sheetName val="DOE_20125"/>
      <sheetName val="DOE_Details_20135"/>
      <sheetName val="DOE_Details_20125"/>
      <sheetName val="Tools_20125"/>
      <sheetName val="Shared_Equipment_20135"/>
      <sheetName val="GAE_20125"/>
      <sheetName val="GAE_Details_20135"/>
      <sheetName val="GAE_Details_20125"/>
      <sheetName val="Capex_GAE_20125"/>
      <sheetName val="Capex_depre_GAE_20135"/>
      <sheetName val="Golf_Equipment_20125"/>
      <sheetName val="Golf_Equipment_20135"/>
      <sheetName val="2013_CAPEX5"/>
      <sheetName val="2013_GAE_Nonpayroll5"/>
      <sheetName val="SCV_P1A_-_Shared_Cost5"/>
      <sheetName val="S-CURVE_24"/>
      <sheetName val="ph2B_cnstrction_sched_4"/>
      <sheetName val="Schedule_S-Curve_(new_scheme)5"/>
      <sheetName val="Projected_Revenue6"/>
      <sheetName val="DOE_20136"/>
      <sheetName val="DOE_20126"/>
      <sheetName val="DOE_Details_20136"/>
      <sheetName val="DOE_Details_20126"/>
      <sheetName val="Tools_20126"/>
      <sheetName val="Shared_Equipment_20136"/>
      <sheetName val="GAE_20126"/>
      <sheetName val="GAE_Details_20136"/>
      <sheetName val="GAE_Details_20126"/>
      <sheetName val="Capex_GAE_20126"/>
      <sheetName val="Capex_depre_GAE_20136"/>
      <sheetName val="Golf_Equipment_20126"/>
      <sheetName val="Golf_Equipment_20136"/>
      <sheetName val="2013_CAPEX6"/>
      <sheetName val="2013_GAE_Nonpayroll6"/>
      <sheetName val="SCV_P1A_-_Shared_Cost6"/>
      <sheetName val="S-CURVE_25"/>
      <sheetName val="ph2B_cnstrction_sched_5"/>
      <sheetName val="Schedule_S-Curve_(new_scheme)6"/>
      <sheetName val="Projected_Revenue7"/>
      <sheetName val="DOE_20137"/>
      <sheetName val="DOE_20127"/>
      <sheetName val="DOE_Details_20137"/>
      <sheetName val="DOE_Details_20127"/>
      <sheetName val="Tools_20127"/>
      <sheetName val="Shared_Equipment_20137"/>
      <sheetName val="GAE_20127"/>
      <sheetName val="GAE_Details_20137"/>
      <sheetName val="GAE_Details_20127"/>
      <sheetName val="Capex_GAE_20127"/>
      <sheetName val="Capex_depre_GAE_20137"/>
      <sheetName val="Golf_Equipment_20127"/>
      <sheetName val="Golf_Equipment_20137"/>
      <sheetName val="2013_CAPEX7"/>
      <sheetName val="2013_GAE_Nonpayroll7"/>
      <sheetName val="SCV_P1A_-_Shared_Cost7"/>
      <sheetName val="S-CURVE_26"/>
      <sheetName val="ph2B_cnstrction_sched_6"/>
      <sheetName val="Schedule_S-Curve_(new_scheme)7"/>
      <sheetName val="rates"/>
      <sheetName val="subcon sched"/>
      <sheetName val="bar chart-rev"/>
      <sheetName val="Vari by Trade"/>
      <sheetName val="str. deriv"/>
      <sheetName val="worksheet inchican"/>
      <sheetName val="combined 9-30"/>
      <sheetName val="Projected_Revenue8"/>
      <sheetName val="DOE_20138"/>
      <sheetName val="DOE_20128"/>
      <sheetName val="DOE_Details_20138"/>
      <sheetName val="DOE_Details_20128"/>
      <sheetName val="Tools_20128"/>
      <sheetName val="Shared_Equipment_20138"/>
      <sheetName val="GAE_20128"/>
      <sheetName val="GAE_Details_20138"/>
      <sheetName val="GAE_Details_20128"/>
      <sheetName val="Capex_GAE_20128"/>
      <sheetName val="Capex_depre_GAE_20138"/>
      <sheetName val="Golf_Equipment_20128"/>
      <sheetName val="Golf_Equipment_20138"/>
      <sheetName val="2013_CAPEX8"/>
      <sheetName val="2013_GAE_Nonpayroll8"/>
      <sheetName val="SCV_P1A_-_Shared_Cost8"/>
      <sheetName val="S-CURVE_27"/>
      <sheetName val="ph2B_cnstrction_sched_7"/>
      <sheetName val="Schedule_S-Curve_(new_scheme)8"/>
      <sheetName val="Land_Dev't__Ph-1"/>
      <sheetName val="4-Lane_bridge"/>
      <sheetName val="Hac_Lots"/>
      <sheetName val="Res_Lots"/>
      <sheetName val="Spine_Road"/>
      <sheetName val="bi-mnthly rep Villa"/>
      <sheetName val="original"/>
      <sheetName val="remaining_billing"/>
      <sheetName val="sorter"/>
      <sheetName val="BM"/>
      <sheetName val="DETAILED-SP"/>
      <sheetName val="EQPT - SP"/>
      <sheetName val="eval-PVC"/>
      <sheetName val="RATES G-5"/>
      <sheetName val="subcon_sched"/>
      <sheetName val="bar_chart-rev"/>
      <sheetName val="Vari_by_Trade"/>
      <sheetName val="mydata"/>
      <sheetName val="Conso"/>
      <sheetName val="Conso (2)"/>
      <sheetName val="Cashflow Presentation"/>
      <sheetName val="2015 CF Budget"/>
      <sheetName val="CASHFLOW"/>
      <sheetName val="Receivable"/>
      <sheetName val="Downpayment"/>
      <sheetName val="ProjectCost"/>
      <sheetName val="CAPEX"/>
      <sheetName val="GAE"/>
      <sheetName val="Dividends"/>
      <sheetName val="Misc Income"/>
      <sheetName val="equity infusion"/>
      <sheetName val="IncomeTax"/>
      <sheetName val="Loan Receivable"/>
      <sheetName val="Source"/>
      <sheetName val="PIPING"/>
      <sheetName val="_x0000__x0000__x0000__x0001__x0000_ﺸ"/>
      <sheetName val="MATERIAL'S PRICE"/>
      <sheetName val="UC"/>
      <sheetName val="Projected_Revenue9"/>
      <sheetName val="DOE_20139"/>
      <sheetName val="DOE_20129"/>
      <sheetName val="DOE_Details_20139"/>
      <sheetName val="DOE_Details_20129"/>
      <sheetName val="Tools_20129"/>
      <sheetName val="Shared_Equipment_20139"/>
      <sheetName val="GAE_20129"/>
      <sheetName val="GAE_Details_20139"/>
      <sheetName val="GAE_Details_20129"/>
      <sheetName val="Capex_GAE_20129"/>
      <sheetName val="Capex_depre_GAE_20139"/>
      <sheetName val="Golf_Equipment_20129"/>
      <sheetName val="Golf_Equipment_20139"/>
      <sheetName val="2013_CAPEX9"/>
      <sheetName val="2013_GAE_Nonpayroll9"/>
      <sheetName val="SCV_P1A_-_Shared_Cost9"/>
      <sheetName val="S-CURVE_28"/>
      <sheetName val="ph2B_cnstrction_sched_8"/>
      <sheetName val="Schedule_S-Curve_(new_scheme)9"/>
      <sheetName val="Land_Dev't__Ph-11"/>
      <sheetName val="4-Lane_bridge1"/>
      <sheetName val="Hac_Lots1"/>
      <sheetName val="Res_Lots1"/>
      <sheetName val="Spine_Road1"/>
      <sheetName val="str__deriv"/>
      <sheetName val="BS"/>
      <sheetName val="bill 2"/>
      <sheetName val="Summary (overall)"/>
      <sheetName val="Arch"/>
      <sheetName val="EAST TOWER"/>
      <sheetName val="REBAR"/>
      <sheetName val="Computed Floor Area"/>
      <sheetName val="area comp 2011 01 18"/>
      <sheetName val="Schedule S-Curve Revision#3"/>
      <sheetName val="worksheet"/>
      <sheetName val="UPA-struc"/>
      <sheetName val="P1260Projected.5700 Detail"/>
      <sheetName val="P852.5000 Detail"/>
      <sheetName val="P854.5000 Detail"/>
      <sheetName val="P856.5000 Detail"/>
      <sheetName val="P858.5000 Detail"/>
      <sheetName val="P860Baseline.5000 Detail"/>
      <sheetName val="Valid List"/>
      <sheetName val="_x0000__x0000__x0000__x0001__x0"/>
      <sheetName val="HSBC"/>
      <sheetName val="S-CU ö_x0017__x0005_%_x0000_"/>
      <sheetName val=""/>
      <sheetName val="???_x0001_?ﺸ"/>
      <sheetName val="data"/>
      <sheetName val="CONTRACT-SUM"/>
      <sheetName val="1 park lane"/>
      <sheetName val="CostSked"/>
      <sheetName val="Financing Schemes"/>
      <sheetName val="_Model A costs"/>
      <sheetName val="Model B costs"/>
      <sheetName val="Model C costs"/>
      <sheetName val="worksheet_inchican"/>
      <sheetName val="combined_9-30"/>
      <sheetName val="Data Validation"/>
      <sheetName val="GRAND SUM"/>
      <sheetName val="Summary WG"/>
      <sheetName val="manpower"/>
      <sheetName val="ICA2007-BOQ-Revised (5-7-2007)"/>
      <sheetName val="IN WORDS"/>
      <sheetName val="2.151M_due to dist cooling"/>
      <sheetName val="주식"/>
      <sheetName val="Sheet1 (2)"/>
      <sheetName val="DOE-DEPRECIATION"/>
      <sheetName val="COLUMN"/>
      <sheetName val="Bill#05 Amenities (5F)"/>
      <sheetName val="Bill#02 Basement"/>
      <sheetName val="Bill#07 Common Area"/>
      <sheetName val="Bill#03 GF"/>
      <sheetName val="Bill#04 Podium"/>
      <sheetName val="Bill#06 Residential Tower"/>
      <sheetName val="derivationB2&amp;B3"/>
      <sheetName val="DD EST."/>
      <sheetName val="3.boq danube(o)"/>
      <sheetName val="Branch Power"/>
      <sheetName val="Distrib"/>
      <sheetName val="Emergency"/>
      <sheetName val="Equipment"/>
      <sheetName val="Lighting"/>
      <sheetName val="UC LIB"/>
      <sheetName val="Sheet3"/>
      <sheetName val="Sheet1 (3)"/>
      <sheetName val="Summary (2)"/>
      <sheetName val="Breakdown (2)"/>
      <sheetName val="STRUC&amp;ARCHI"/>
      <sheetName val="Database"/>
      <sheetName val="table"/>
    </sheetNames>
    <sheetDataSet>
      <sheetData sheetId="0">
        <row r="8">
          <cell r="A8" t="str">
            <v>JV#</v>
          </cell>
          <cell r="B8" t="str">
            <v>PARTICULARS</v>
          </cell>
          <cell r="C8" t="str">
            <v>CODE</v>
          </cell>
          <cell r="D8" t="str">
            <v>DIVISION</v>
          </cell>
          <cell r="E8" t="str">
            <v xml:space="preserve">       AMOUNT</v>
          </cell>
          <cell r="H8" t="str">
            <v>PARTICULARS</v>
          </cell>
        </row>
        <row r="9">
          <cell r="H9">
            <v>32814610.619999982</v>
          </cell>
          <cell r="I9">
            <v>5</v>
          </cell>
          <cell r="J9">
            <v>6</v>
          </cell>
          <cell r="K9">
            <v>7</v>
          </cell>
          <cell r="L9">
            <v>8</v>
          </cell>
          <cell r="M9">
            <v>10</v>
          </cell>
          <cell r="N9">
            <v>11</v>
          </cell>
          <cell r="O9">
            <v>1</v>
          </cell>
          <cell r="P9">
            <v>2</v>
          </cell>
          <cell r="Q9">
            <v>9</v>
          </cell>
          <cell r="R9">
            <v>4</v>
          </cell>
          <cell r="S9">
            <v>3</v>
          </cell>
        </row>
        <row r="10">
          <cell r="B10" t="str">
            <v>CONFIDENTIAL PAYROLL</v>
          </cell>
          <cell r="C10">
            <v>1210</v>
          </cell>
          <cell r="D10">
            <v>1</v>
          </cell>
          <cell r="E10">
            <v>5662506.2699999996</v>
          </cell>
          <cell r="H10" t="str">
            <v>CONFIDENTIAL PAYROLL</v>
          </cell>
          <cell r="I10">
            <v>1705143.87</v>
          </cell>
          <cell r="J10">
            <v>833506.91</v>
          </cell>
          <cell r="K10">
            <v>484888.21</v>
          </cell>
          <cell r="L10">
            <v>2683890.42</v>
          </cell>
          <cell r="M10">
            <v>370018.23</v>
          </cell>
          <cell r="N10">
            <v>2489797.2400000002</v>
          </cell>
          <cell r="O10">
            <v>5662506.2699999996</v>
          </cell>
          <cell r="P10">
            <v>621179.5</v>
          </cell>
          <cell r="Q10">
            <v>719836.47</v>
          </cell>
          <cell r="R10">
            <v>3201254.83</v>
          </cell>
          <cell r="S10">
            <v>603579.51</v>
          </cell>
        </row>
        <row r="11">
          <cell r="B11" t="str">
            <v>CONFIDENTIAL PAYROLL</v>
          </cell>
          <cell r="C11">
            <v>1210</v>
          </cell>
          <cell r="D11">
            <v>2</v>
          </cell>
          <cell r="E11">
            <v>621179.5</v>
          </cell>
          <cell r="H11" t="str">
            <v>REGULAR EMPLOYEES</v>
          </cell>
          <cell r="I11">
            <v>842335.23</v>
          </cell>
          <cell r="J11">
            <v>2026717.08</v>
          </cell>
          <cell r="K11">
            <v>200448.5</v>
          </cell>
          <cell r="L11">
            <v>5215248</v>
          </cell>
          <cell r="M11">
            <v>0</v>
          </cell>
          <cell r="N11">
            <v>1104123.42</v>
          </cell>
          <cell r="O11">
            <v>244838.03</v>
          </cell>
          <cell r="P11">
            <v>1155323.98</v>
          </cell>
          <cell r="Q11">
            <v>261221.95</v>
          </cell>
          <cell r="R11">
            <v>1223298.02</v>
          </cell>
          <cell r="S11">
            <v>360408.51</v>
          </cell>
        </row>
        <row r="12">
          <cell r="B12" t="str">
            <v>CONFIDENTIAL PAYROLL</v>
          </cell>
          <cell r="C12">
            <v>1210</v>
          </cell>
          <cell r="D12">
            <v>3</v>
          </cell>
          <cell r="E12">
            <v>603579.51</v>
          </cell>
          <cell r="H12" t="str">
            <v>PROJECT EMPLOYEES</v>
          </cell>
          <cell r="I12">
            <v>0</v>
          </cell>
          <cell r="J12">
            <v>0</v>
          </cell>
          <cell r="K12">
            <v>0</v>
          </cell>
          <cell r="L12">
            <v>0</v>
          </cell>
          <cell r="M12">
            <v>0</v>
          </cell>
          <cell r="N12">
            <v>0</v>
          </cell>
          <cell r="O12">
            <v>0</v>
          </cell>
          <cell r="P12">
            <v>-3979.28</v>
          </cell>
          <cell r="Q12">
            <v>28366.48</v>
          </cell>
          <cell r="R12">
            <v>16610.580000000002</v>
          </cell>
          <cell r="S12">
            <v>0</v>
          </cell>
        </row>
        <row r="13">
          <cell r="B13" t="str">
            <v>CONFIDENTIAL PAYROLL</v>
          </cell>
          <cell r="C13">
            <v>1210</v>
          </cell>
          <cell r="D13">
            <v>4</v>
          </cell>
          <cell r="E13">
            <v>3201254.83</v>
          </cell>
          <cell r="H13" t="str">
            <v>EMPLY.' BENEFITS-OTHS.</v>
          </cell>
          <cell r="I13">
            <v>44683.47</v>
          </cell>
          <cell r="J13">
            <v>29883.66</v>
          </cell>
          <cell r="K13">
            <v>18185.75</v>
          </cell>
          <cell r="L13">
            <v>704854.01</v>
          </cell>
          <cell r="M13">
            <v>6313.46</v>
          </cell>
          <cell r="N13">
            <v>42749.2</v>
          </cell>
          <cell r="O13">
            <v>121075.38</v>
          </cell>
          <cell r="P13">
            <v>390347.86</v>
          </cell>
          <cell r="Q13">
            <v>159824.03</v>
          </cell>
          <cell r="R13">
            <v>386947.44</v>
          </cell>
          <cell r="S13">
            <v>126592.49</v>
          </cell>
        </row>
        <row r="14">
          <cell r="B14" t="str">
            <v>CONFIDENTIAL PAYROLL</v>
          </cell>
          <cell r="C14">
            <v>1210</v>
          </cell>
          <cell r="D14">
            <v>5</v>
          </cell>
          <cell r="E14">
            <v>1705143.87</v>
          </cell>
          <cell r="H14" t="str">
            <v>SCHOLARSHIP &amp; TRAINING</v>
          </cell>
          <cell r="I14">
            <v>0</v>
          </cell>
          <cell r="J14">
            <v>0</v>
          </cell>
          <cell r="K14">
            <v>0</v>
          </cell>
          <cell r="L14">
            <v>0</v>
          </cell>
          <cell r="M14">
            <v>0</v>
          </cell>
          <cell r="N14">
            <v>0</v>
          </cell>
          <cell r="O14">
            <v>0</v>
          </cell>
          <cell r="P14">
            <v>195769.68</v>
          </cell>
          <cell r="Q14">
            <v>0</v>
          </cell>
          <cell r="R14">
            <v>0</v>
          </cell>
          <cell r="S14">
            <v>0</v>
          </cell>
        </row>
        <row r="15">
          <cell r="B15" t="str">
            <v>CONFIDENTIAL PAYROLL</v>
          </cell>
          <cell r="C15">
            <v>1210</v>
          </cell>
          <cell r="D15">
            <v>6</v>
          </cell>
          <cell r="E15">
            <v>833506.91</v>
          </cell>
          <cell r="H15" t="str">
            <v>SPORTS - PERSONNEL</v>
          </cell>
          <cell r="I15">
            <v>0</v>
          </cell>
          <cell r="J15">
            <v>0</v>
          </cell>
          <cell r="K15">
            <v>0</v>
          </cell>
          <cell r="L15">
            <v>0</v>
          </cell>
          <cell r="M15">
            <v>0</v>
          </cell>
          <cell r="N15">
            <v>0</v>
          </cell>
          <cell r="O15">
            <v>0</v>
          </cell>
          <cell r="P15">
            <v>154871.67999999999</v>
          </cell>
          <cell r="Q15">
            <v>0</v>
          </cell>
          <cell r="R15">
            <v>0</v>
          </cell>
          <cell r="S15">
            <v>0</v>
          </cell>
        </row>
        <row r="16">
          <cell r="B16" t="str">
            <v>CONFIDENTIAL PAYROLL</v>
          </cell>
          <cell r="C16">
            <v>1210</v>
          </cell>
          <cell r="D16">
            <v>7</v>
          </cell>
          <cell r="E16">
            <v>484888.21</v>
          </cell>
          <cell r="H16" t="str">
            <v>PROF. &amp; OTHER FEES</v>
          </cell>
          <cell r="I16">
            <v>0</v>
          </cell>
          <cell r="J16">
            <v>0</v>
          </cell>
          <cell r="K16">
            <v>0</v>
          </cell>
          <cell r="L16">
            <v>115</v>
          </cell>
          <cell r="M16">
            <v>0</v>
          </cell>
          <cell r="N16">
            <v>0</v>
          </cell>
          <cell r="O16">
            <v>0</v>
          </cell>
          <cell r="P16">
            <v>64962.16</v>
          </cell>
          <cell r="Q16">
            <v>0</v>
          </cell>
          <cell r="R16">
            <v>47800</v>
          </cell>
          <cell r="S16">
            <v>0</v>
          </cell>
        </row>
        <row r="17">
          <cell r="B17" t="str">
            <v>CONFIDENTIAL PAYROLL</v>
          </cell>
          <cell r="C17">
            <v>1210</v>
          </cell>
          <cell r="D17">
            <v>8</v>
          </cell>
          <cell r="E17">
            <v>2683890.42</v>
          </cell>
          <cell r="H17" t="str">
            <v>ADVERTISING &amp; PROMO.</v>
          </cell>
          <cell r="I17">
            <v>0</v>
          </cell>
          <cell r="J17">
            <v>0</v>
          </cell>
          <cell r="K17">
            <v>0</v>
          </cell>
          <cell r="L17">
            <v>0</v>
          </cell>
          <cell r="M17">
            <v>0</v>
          </cell>
          <cell r="N17">
            <v>0</v>
          </cell>
          <cell r="O17">
            <v>0</v>
          </cell>
          <cell r="P17">
            <v>104140</v>
          </cell>
          <cell r="Q17">
            <v>0</v>
          </cell>
          <cell r="R17">
            <v>0</v>
          </cell>
          <cell r="S17">
            <v>0</v>
          </cell>
        </row>
        <row r="18">
          <cell r="B18" t="str">
            <v>CONFIDENTIAL PAYROLL</v>
          </cell>
          <cell r="C18">
            <v>1210</v>
          </cell>
          <cell r="D18">
            <v>9</v>
          </cell>
          <cell r="E18">
            <v>719836.47</v>
          </cell>
          <cell r="H18" t="str">
            <v>ORPHANAGE PROJECTS</v>
          </cell>
          <cell r="I18">
            <v>0</v>
          </cell>
          <cell r="J18">
            <v>0</v>
          </cell>
          <cell r="K18">
            <v>0</v>
          </cell>
          <cell r="L18">
            <v>0</v>
          </cell>
          <cell r="M18">
            <v>0</v>
          </cell>
          <cell r="N18">
            <v>0</v>
          </cell>
          <cell r="O18">
            <v>0</v>
          </cell>
          <cell r="P18">
            <v>21576.59</v>
          </cell>
          <cell r="Q18">
            <v>0</v>
          </cell>
          <cell r="R18">
            <v>0</v>
          </cell>
          <cell r="S18">
            <v>0</v>
          </cell>
        </row>
        <row r="19">
          <cell r="B19" t="str">
            <v>CONFIDENTIAL PAYROLL</v>
          </cell>
          <cell r="C19">
            <v>1210</v>
          </cell>
          <cell r="D19">
            <v>10</v>
          </cell>
          <cell r="E19">
            <v>370018.23</v>
          </cell>
          <cell r="H19" t="str">
            <v>REPAIRS &amp; MAINT.</v>
          </cell>
          <cell r="I19">
            <v>0</v>
          </cell>
          <cell r="J19">
            <v>0</v>
          </cell>
          <cell r="K19">
            <v>0</v>
          </cell>
          <cell r="L19">
            <v>27.27</v>
          </cell>
          <cell r="M19">
            <v>0</v>
          </cell>
          <cell r="N19">
            <v>0</v>
          </cell>
          <cell r="O19">
            <v>0</v>
          </cell>
          <cell r="P19">
            <v>39587.99</v>
          </cell>
          <cell r="Q19">
            <v>0</v>
          </cell>
          <cell r="R19">
            <v>27.27</v>
          </cell>
          <cell r="S19">
            <v>0</v>
          </cell>
        </row>
        <row r="20">
          <cell r="B20" t="str">
            <v>CONFIDENTIAL PAYROLL</v>
          </cell>
          <cell r="C20">
            <v>1210</v>
          </cell>
          <cell r="D20">
            <v>11</v>
          </cell>
          <cell r="E20">
            <v>2489797.2400000002</v>
          </cell>
          <cell r="H20" t="str">
            <v>REPRESENTATION EXP.</v>
          </cell>
          <cell r="I20">
            <v>18504.560000000001</v>
          </cell>
          <cell r="J20">
            <v>0</v>
          </cell>
          <cell r="K20">
            <v>0</v>
          </cell>
          <cell r="L20">
            <v>91616.9</v>
          </cell>
          <cell r="M20">
            <v>0</v>
          </cell>
          <cell r="N20">
            <v>20718.45</v>
          </cell>
          <cell r="O20">
            <v>94369.9</v>
          </cell>
          <cell r="P20">
            <v>49211</v>
          </cell>
          <cell r="Q20">
            <v>1974.92</v>
          </cell>
          <cell r="R20">
            <v>50928.76</v>
          </cell>
          <cell r="S20">
            <v>2157.7800000000002</v>
          </cell>
        </row>
        <row r="21">
          <cell r="B21" t="str">
            <v>CHARGED TO THE PROJECTS</v>
          </cell>
          <cell r="C21">
            <v>1210</v>
          </cell>
          <cell r="D21">
            <v>1</v>
          </cell>
          <cell r="E21">
            <v>-217281.64</v>
          </cell>
          <cell r="H21" t="str">
            <v>DUES AND FEES</v>
          </cell>
          <cell r="I21">
            <v>0</v>
          </cell>
          <cell r="J21">
            <v>0</v>
          </cell>
          <cell r="K21">
            <v>0</v>
          </cell>
          <cell r="L21">
            <v>600</v>
          </cell>
          <cell r="M21">
            <v>0</v>
          </cell>
          <cell r="N21">
            <v>0</v>
          </cell>
          <cell r="O21">
            <v>18920</v>
          </cell>
          <cell r="P21">
            <v>8520</v>
          </cell>
          <cell r="Q21">
            <v>0</v>
          </cell>
          <cell r="R21">
            <v>2000</v>
          </cell>
          <cell r="S21">
            <v>4200</v>
          </cell>
        </row>
        <row r="22">
          <cell r="B22" t="str">
            <v>CHARGED TO THE PROJECTS</v>
          </cell>
          <cell r="C22">
            <v>1210</v>
          </cell>
          <cell r="D22">
            <v>2</v>
          </cell>
          <cell r="E22">
            <v>-1595.66</v>
          </cell>
          <cell r="H22" t="str">
            <v>TAXES, LIC. &amp; PERMITS</v>
          </cell>
          <cell r="I22">
            <v>400</v>
          </cell>
          <cell r="J22">
            <v>0</v>
          </cell>
          <cell r="K22">
            <v>0</v>
          </cell>
          <cell r="L22">
            <v>1091</v>
          </cell>
          <cell r="M22">
            <v>0</v>
          </cell>
          <cell r="N22">
            <v>0</v>
          </cell>
          <cell r="O22">
            <v>0</v>
          </cell>
          <cell r="P22">
            <v>34760</v>
          </cell>
          <cell r="Q22">
            <v>0</v>
          </cell>
          <cell r="R22">
            <v>803855.63</v>
          </cell>
          <cell r="S22">
            <v>0</v>
          </cell>
        </row>
        <row r="23">
          <cell r="B23" t="str">
            <v>CHARGED TO THE PROJECTS</v>
          </cell>
          <cell r="C23">
            <v>1210</v>
          </cell>
          <cell r="D23">
            <v>4</v>
          </cell>
          <cell r="E23">
            <v>-1595.64</v>
          </cell>
          <cell r="H23" t="str">
            <v>TRANS. &amp; TRAVEL-B</v>
          </cell>
          <cell r="I23">
            <v>871</v>
          </cell>
          <cell r="J23">
            <v>0</v>
          </cell>
          <cell r="K23">
            <v>0</v>
          </cell>
          <cell r="L23">
            <v>25008.25</v>
          </cell>
          <cell r="M23">
            <v>0</v>
          </cell>
          <cell r="N23">
            <v>0</v>
          </cell>
          <cell r="O23">
            <v>216196.64</v>
          </cell>
          <cell r="P23">
            <v>172343.22</v>
          </cell>
          <cell r="Q23">
            <v>4050.5</v>
          </cell>
          <cell r="R23">
            <v>3986.5</v>
          </cell>
          <cell r="S23">
            <v>0</v>
          </cell>
        </row>
        <row r="24">
          <cell r="B24" t="str">
            <v>CHARGED TO THE PROJECTS</v>
          </cell>
          <cell r="C24">
            <v>1210</v>
          </cell>
          <cell r="D24">
            <v>5</v>
          </cell>
          <cell r="E24">
            <v>-1472504.27</v>
          </cell>
          <cell r="H24" t="str">
            <v>INSURANCE</v>
          </cell>
          <cell r="I24">
            <v>15804.8</v>
          </cell>
          <cell r="J24">
            <v>0</v>
          </cell>
          <cell r="K24">
            <v>0</v>
          </cell>
          <cell r="L24">
            <v>0</v>
          </cell>
          <cell r="M24">
            <v>0</v>
          </cell>
          <cell r="N24">
            <v>2430.14</v>
          </cell>
          <cell r="O24">
            <v>12271</v>
          </cell>
          <cell r="P24">
            <v>0</v>
          </cell>
          <cell r="Q24">
            <v>6520.3</v>
          </cell>
          <cell r="R24">
            <v>72702.66</v>
          </cell>
          <cell r="S24">
            <v>1304.06</v>
          </cell>
        </row>
        <row r="25">
          <cell r="B25" t="str">
            <v>CHARGED TO THE PROJECTS</v>
          </cell>
          <cell r="C25">
            <v>1210</v>
          </cell>
          <cell r="D25">
            <v>6</v>
          </cell>
          <cell r="E25">
            <v>-2610993.7400000002</v>
          </cell>
          <cell r="H25" t="str">
            <v>SUPPLIES PURCHASED</v>
          </cell>
          <cell r="I25">
            <v>8090.59</v>
          </cell>
          <cell r="J25">
            <v>0</v>
          </cell>
          <cell r="K25">
            <v>0</v>
          </cell>
          <cell r="L25">
            <v>259241.24</v>
          </cell>
          <cell r="M25">
            <v>0</v>
          </cell>
          <cell r="N25">
            <v>3583.98</v>
          </cell>
          <cell r="O25">
            <v>4774.97</v>
          </cell>
          <cell r="P25">
            <v>232288.78</v>
          </cell>
          <cell r="Q25">
            <v>33680.06</v>
          </cell>
          <cell r="R25">
            <v>129567.28</v>
          </cell>
          <cell r="S25">
            <v>25215.86</v>
          </cell>
        </row>
        <row r="26">
          <cell r="B26" t="str">
            <v>CHARGED TO THE PROJECTS</v>
          </cell>
          <cell r="C26">
            <v>1210</v>
          </cell>
          <cell r="D26">
            <v>7</v>
          </cell>
          <cell r="E26">
            <v>-346212.16</v>
          </cell>
          <cell r="H26" t="str">
            <v>OFFICE &amp; OTHER SERV.</v>
          </cell>
          <cell r="I26">
            <v>0</v>
          </cell>
          <cell r="J26">
            <v>0</v>
          </cell>
          <cell r="K26">
            <v>0</v>
          </cell>
          <cell r="L26">
            <v>-4100.82</v>
          </cell>
          <cell r="M26">
            <v>0</v>
          </cell>
          <cell r="N26">
            <v>0</v>
          </cell>
          <cell r="O26">
            <v>-30.66</v>
          </cell>
          <cell r="P26">
            <v>1526339.09</v>
          </cell>
          <cell r="Q26">
            <v>20063.5</v>
          </cell>
          <cell r="R26">
            <v>9350.34</v>
          </cell>
          <cell r="S26">
            <v>0</v>
          </cell>
        </row>
        <row r="27">
          <cell r="B27" t="str">
            <v>CHARGED TO THE PROJECTS</v>
          </cell>
          <cell r="C27">
            <v>1210</v>
          </cell>
          <cell r="D27">
            <v>8</v>
          </cell>
          <cell r="E27">
            <v>-3148434.55</v>
          </cell>
          <cell r="H27" t="str">
            <v>TEL., TEL. &amp; POST.</v>
          </cell>
          <cell r="I27">
            <v>10242.68</v>
          </cell>
          <cell r="J27">
            <v>0</v>
          </cell>
          <cell r="K27">
            <v>0</v>
          </cell>
          <cell r="L27">
            <v>20408.25</v>
          </cell>
          <cell r="M27">
            <v>0</v>
          </cell>
          <cell r="N27">
            <v>11393.5</v>
          </cell>
          <cell r="O27">
            <v>34731.74</v>
          </cell>
          <cell r="P27">
            <v>189185.71</v>
          </cell>
          <cell r="Q27">
            <v>0</v>
          </cell>
          <cell r="R27">
            <v>4548.99</v>
          </cell>
          <cell r="S27">
            <v>15118.44</v>
          </cell>
        </row>
        <row r="28">
          <cell r="B28" t="str">
            <v>CHARGED TO THE PROJECTS</v>
          </cell>
          <cell r="C28">
            <v>1210</v>
          </cell>
          <cell r="D28">
            <v>10</v>
          </cell>
          <cell r="E28">
            <v>-294.39</v>
          </cell>
          <cell r="H28" t="str">
            <v>LIGHT, POWER &amp; WATER</v>
          </cell>
          <cell r="I28">
            <v>0</v>
          </cell>
          <cell r="J28">
            <v>0</v>
          </cell>
          <cell r="K28">
            <v>0</v>
          </cell>
          <cell r="L28">
            <v>0</v>
          </cell>
          <cell r="M28">
            <v>0</v>
          </cell>
          <cell r="N28">
            <v>0</v>
          </cell>
          <cell r="O28">
            <v>0</v>
          </cell>
          <cell r="P28">
            <v>496059.83</v>
          </cell>
          <cell r="Q28">
            <v>0</v>
          </cell>
          <cell r="R28">
            <v>0</v>
          </cell>
          <cell r="S28">
            <v>0</v>
          </cell>
        </row>
        <row r="29">
          <cell r="B29" t="str">
            <v>CHARGED TO THE PROJECTS</v>
          </cell>
          <cell r="C29">
            <v>1210</v>
          </cell>
          <cell r="D29">
            <v>11</v>
          </cell>
          <cell r="E29">
            <v>-2787212.23</v>
          </cell>
          <cell r="H29" t="str">
            <v>FUEL AND LUBRICANTS</v>
          </cell>
          <cell r="I29">
            <v>0</v>
          </cell>
          <cell r="J29">
            <v>0</v>
          </cell>
          <cell r="K29">
            <v>0</v>
          </cell>
          <cell r="L29">
            <v>0</v>
          </cell>
          <cell r="M29">
            <v>0</v>
          </cell>
          <cell r="N29">
            <v>0</v>
          </cell>
          <cell r="O29">
            <v>0</v>
          </cell>
          <cell r="P29">
            <v>0</v>
          </cell>
          <cell r="Q29">
            <v>0</v>
          </cell>
          <cell r="R29">
            <v>0</v>
          </cell>
          <cell r="S29">
            <v>0</v>
          </cell>
        </row>
        <row r="30">
          <cell r="B30" t="str">
            <v>REGULAR EMPLOYEES</v>
          </cell>
          <cell r="C30">
            <v>1211</v>
          </cell>
          <cell r="D30">
            <v>1</v>
          </cell>
          <cell r="E30">
            <v>178879.28</v>
          </cell>
          <cell r="H30" t="str">
            <v>PROJECT DEV'T.</v>
          </cell>
          <cell r="I30">
            <v>60123.14</v>
          </cell>
          <cell r="J30">
            <v>0</v>
          </cell>
          <cell r="K30">
            <v>0</v>
          </cell>
          <cell r="L30">
            <v>0</v>
          </cell>
          <cell r="M30">
            <v>0</v>
          </cell>
          <cell r="N30">
            <v>21731.71</v>
          </cell>
          <cell r="O30">
            <v>0</v>
          </cell>
          <cell r="P30">
            <v>0</v>
          </cell>
          <cell r="Q30">
            <v>0</v>
          </cell>
          <cell r="R30">
            <v>0</v>
          </cell>
          <cell r="S30">
            <v>0</v>
          </cell>
        </row>
        <row r="31">
          <cell r="B31" t="str">
            <v>REGULAR EMPLOYEES</v>
          </cell>
          <cell r="C31">
            <v>1211</v>
          </cell>
          <cell r="D31">
            <v>2</v>
          </cell>
          <cell r="E31">
            <v>911599.93</v>
          </cell>
          <cell r="H31" t="str">
            <v>DEPRECIATION</v>
          </cell>
          <cell r="I31">
            <v>10416.66</v>
          </cell>
          <cell r="J31">
            <v>0</v>
          </cell>
          <cell r="K31">
            <v>0</v>
          </cell>
          <cell r="L31">
            <v>638481.79</v>
          </cell>
          <cell r="M31">
            <v>0</v>
          </cell>
          <cell r="N31">
            <v>88290.880000000005</v>
          </cell>
          <cell r="O31">
            <v>110676.28</v>
          </cell>
          <cell r="P31">
            <v>169336.21</v>
          </cell>
          <cell r="Q31">
            <v>507998.91</v>
          </cell>
          <cell r="R31">
            <v>495601.4</v>
          </cell>
          <cell r="S31">
            <v>40376.03</v>
          </cell>
        </row>
        <row r="32">
          <cell r="B32" t="str">
            <v>REGULAR EMPLOYEES</v>
          </cell>
          <cell r="C32">
            <v>1211</v>
          </cell>
          <cell r="D32">
            <v>3</v>
          </cell>
          <cell r="E32">
            <v>315194.86</v>
          </cell>
          <cell r="H32" t="str">
            <v>MISCELLANEOUS EXP.</v>
          </cell>
          <cell r="I32">
            <v>0</v>
          </cell>
          <cell r="J32">
            <v>-36.96</v>
          </cell>
          <cell r="K32">
            <v>1120.01</v>
          </cell>
          <cell r="L32">
            <v>12178.45</v>
          </cell>
          <cell r="M32">
            <v>0</v>
          </cell>
          <cell r="N32">
            <v>4753</v>
          </cell>
          <cell r="O32">
            <v>1530</v>
          </cell>
          <cell r="P32">
            <v>3346.11</v>
          </cell>
          <cell r="Q32">
            <v>360.36</v>
          </cell>
          <cell r="R32">
            <v>10529.2</v>
          </cell>
          <cell r="S32">
            <v>2705.91</v>
          </cell>
        </row>
        <row r="33">
          <cell r="B33" t="str">
            <v>REGULAR EMPLOYEES</v>
          </cell>
          <cell r="C33">
            <v>1211</v>
          </cell>
          <cell r="D33">
            <v>4</v>
          </cell>
          <cell r="E33">
            <v>1011886.67</v>
          </cell>
          <cell r="H33" t="str">
            <v>MEDICAL EXPENSES</v>
          </cell>
          <cell r="I33">
            <v>0</v>
          </cell>
          <cell r="J33">
            <v>0</v>
          </cell>
          <cell r="K33">
            <v>0</v>
          </cell>
          <cell r="L33">
            <v>0</v>
          </cell>
          <cell r="M33">
            <v>0</v>
          </cell>
          <cell r="N33">
            <v>11350</v>
          </cell>
          <cell r="O33">
            <v>0</v>
          </cell>
          <cell r="P33">
            <v>18679.099999999999</v>
          </cell>
          <cell r="Q33">
            <v>0</v>
          </cell>
          <cell r="R33">
            <v>0</v>
          </cell>
          <cell r="S33">
            <v>19198.79</v>
          </cell>
        </row>
        <row r="34">
          <cell r="B34" t="str">
            <v>REGULAR EMPLOYEES</v>
          </cell>
          <cell r="C34">
            <v>1211</v>
          </cell>
          <cell r="D34">
            <v>5</v>
          </cell>
          <cell r="E34">
            <v>837111</v>
          </cell>
          <cell r="I34" t="str">
            <v>-</v>
          </cell>
          <cell r="J34" t="str">
            <v>-</v>
          </cell>
          <cell r="K34" t="str">
            <v>-</v>
          </cell>
          <cell r="L34" t="str">
            <v>-</v>
          </cell>
          <cell r="M34" t="str">
            <v>-</v>
          </cell>
          <cell r="N34" t="str">
            <v>-</v>
          </cell>
          <cell r="O34" t="str">
            <v>-</v>
          </cell>
          <cell r="P34" t="str">
            <v>-</v>
          </cell>
          <cell r="Q34" t="str">
            <v>-</v>
          </cell>
          <cell r="R34" t="str">
            <v>-</v>
          </cell>
          <cell r="S34" t="str">
            <v>-</v>
          </cell>
        </row>
        <row r="35">
          <cell r="B35" t="str">
            <v>REGULAR EMPLOYEES</v>
          </cell>
          <cell r="C35">
            <v>1211</v>
          </cell>
          <cell r="D35">
            <v>6</v>
          </cell>
          <cell r="E35">
            <v>2026717.08</v>
          </cell>
          <cell r="I35">
            <v>2716616.0000000005</v>
          </cell>
          <cell r="J35">
            <v>2890070.6900000004</v>
          </cell>
          <cell r="K35">
            <v>704642.47</v>
          </cell>
          <cell r="L35">
            <v>9648659.7599999979</v>
          </cell>
          <cell r="M35">
            <v>376331.69</v>
          </cell>
          <cell r="N35">
            <v>3800921.5200000005</v>
          </cell>
          <cell r="O35">
            <v>6521859.5499999998</v>
          </cell>
          <cell r="P35">
            <v>5643849.2100000009</v>
          </cell>
          <cell r="Q35">
            <v>1743897.48</v>
          </cell>
          <cell r="R35">
            <v>6459008.9000000004</v>
          </cell>
          <cell r="S35">
            <v>1200857.3800000001</v>
          </cell>
        </row>
        <row r="36">
          <cell r="B36" t="str">
            <v>REGULAR EMPLOYEES</v>
          </cell>
          <cell r="C36">
            <v>1211</v>
          </cell>
          <cell r="D36">
            <v>7</v>
          </cell>
          <cell r="E36">
            <v>200448.5</v>
          </cell>
          <cell r="H36" t="str">
            <v>CHARGED TO THE PROJECTS</v>
          </cell>
          <cell r="I36">
            <v>-1472504.27</v>
          </cell>
          <cell r="J36">
            <v>-2610993.7400000002</v>
          </cell>
          <cell r="K36">
            <v>-346212.16</v>
          </cell>
          <cell r="L36">
            <v>-3148434.55</v>
          </cell>
          <cell r="M36">
            <v>-294.39</v>
          </cell>
          <cell r="N36">
            <v>-2787212.23</v>
          </cell>
          <cell r="O36">
            <v>-217281.64</v>
          </cell>
          <cell r="P36">
            <v>-1595.66</v>
          </cell>
          <cell r="Q36">
            <v>0</v>
          </cell>
          <cell r="R36">
            <v>-1595.64</v>
          </cell>
          <cell r="S36">
            <v>0</v>
          </cell>
        </row>
        <row r="37">
          <cell r="B37" t="str">
            <v>REGULAR EMPLOYEES</v>
          </cell>
          <cell r="C37">
            <v>1211</v>
          </cell>
          <cell r="D37">
            <v>8</v>
          </cell>
          <cell r="E37">
            <v>4581055.76</v>
          </cell>
        </row>
        <row r="38">
          <cell r="B38" t="str">
            <v>REGULAR EMPLOYEES</v>
          </cell>
          <cell r="C38">
            <v>1211</v>
          </cell>
          <cell r="D38">
            <v>9</v>
          </cell>
          <cell r="E38">
            <v>223446.66</v>
          </cell>
        </row>
        <row r="39">
          <cell r="B39" t="str">
            <v>REGULAR EMPLOYEES</v>
          </cell>
          <cell r="C39">
            <v>1211</v>
          </cell>
          <cell r="D39">
            <v>10</v>
          </cell>
          <cell r="E39">
            <v>0</v>
          </cell>
        </row>
        <row r="40">
          <cell r="B40" t="str">
            <v>REGULAR EMPLOYEES</v>
          </cell>
          <cell r="C40">
            <v>1211</v>
          </cell>
          <cell r="D40">
            <v>11</v>
          </cell>
          <cell r="E40">
            <v>1104123.42</v>
          </cell>
        </row>
        <row r="41">
          <cell r="B41" t="str">
            <v>REGULAR EMPLOYEES</v>
          </cell>
          <cell r="C41">
            <v>1212</v>
          </cell>
          <cell r="D41">
            <v>2</v>
          </cell>
          <cell r="E41">
            <v>122314.05</v>
          </cell>
        </row>
        <row r="42">
          <cell r="B42" t="str">
            <v>REGULAR EMPLOYEES</v>
          </cell>
          <cell r="C42">
            <v>1212</v>
          </cell>
          <cell r="D42">
            <v>3</v>
          </cell>
          <cell r="E42">
            <v>6253.65</v>
          </cell>
        </row>
        <row r="43">
          <cell r="B43" t="str">
            <v>REGULAR EMPLOYEES</v>
          </cell>
          <cell r="C43">
            <v>1212</v>
          </cell>
          <cell r="D43">
            <v>4</v>
          </cell>
          <cell r="E43">
            <v>107148.02</v>
          </cell>
        </row>
        <row r="44">
          <cell r="B44" t="str">
            <v>REGULAR EMPLOYEES</v>
          </cell>
          <cell r="C44">
            <v>1212</v>
          </cell>
          <cell r="D44">
            <v>5</v>
          </cell>
          <cell r="E44">
            <v>5224.2299999999996</v>
          </cell>
        </row>
        <row r="45">
          <cell r="B45" t="str">
            <v>REGULAR EMPLOYEES</v>
          </cell>
          <cell r="C45">
            <v>1212</v>
          </cell>
          <cell r="D45">
            <v>8</v>
          </cell>
          <cell r="E45">
            <v>365643.91</v>
          </cell>
        </row>
        <row r="46">
          <cell r="B46" t="str">
            <v>REGULAR EMPLOYEES</v>
          </cell>
          <cell r="C46">
            <v>1212</v>
          </cell>
          <cell r="D46">
            <v>9</v>
          </cell>
          <cell r="E46">
            <v>265.29000000000002</v>
          </cell>
        </row>
        <row r="47">
          <cell r="B47" t="str">
            <v>REGULAR EMPLOYEES</v>
          </cell>
          <cell r="C47">
            <v>1213</v>
          </cell>
          <cell r="D47">
            <v>1</v>
          </cell>
          <cell r="E47">
            <v>65958.75</v>
          </cell>
        </row>
        <row r="48">
          <cell r="B48" t="str">
            <v>REGULAR EMPLOYEES</v>
          </cell>
          <cell r="C48">
            <v>1213</v>
          </cell>
          <cell r="D48">
            <v>2</v>
          </cell>
          <cell r="E48">
            <v>121410</v>
          </cell>
        </row>
        <row r="49">
          <cell r="B49" t="str">
            <v>REGULAR EMPLOYEES</v>
          </cell>
          <cell r="C49">
            <v>1213</v>
          </cell>
          <cell r="D49">
            <v>3</v>
          </cell>
          <cell r="E49">
            <v>38960</v>
          </cell>
        </row>
        <row r="50">
          <cell r="B50" t="str">
            <v>REGULAR EMPLOYEES</v>
          </cell>
          <cell r="C50">
            <v>1213</v>
          </cell>
          <cell r="D50">
            <v>4</v>
          </cell>
          <cell r="E50">
            <v>104263.33</v>
          </cell>
        </row>
        <row r="51">
          <cell r="B51" t="str">
            <v>REGULAR EMPLOYEES</v>
          </cell>
          <cell r="C51">
            <v>1213</v>
          </cell>
          <cell r="D51">
            <v>8</v>
          </cell>
          <cell r="E51">
            <v>268548.33</v>
          </cell>
        </row>
        <row r="52">
          <cell r="B52" t="str">
            <v>REGULAR EMPLOYEES</v>
          </cell>
          <cell r="C52">
            <v>1213</v>
          </cell>
          <cell r="D52">
            <v>9</v>
          </cell>
          <cell r="E52">
            <v>37510</v>
          </cell>
        </row>
        <row r="53">
          <cell r="B53" t="str">
            <v>PROJECT EMPLOYEES</v>
          </cell>
          <cell r="C53">
            <v>1215</v>
          </cell>
          <cell r="D53">
            <v>2</v>
          </cell>
          <cell r="E53">
            <v>-3979.28</v>
          </cell>
        </row>
        <row r="54">
          <cell r="B54" t="str">
            <v>PROJECT EMPLOYEES</v>
          </cell>
          <cell r="C54">
            <v>1215</v>
          </cell>
          <cell r="D54">
            <v>3</v>
          </cell>
          <cell r="E54">
            <v>0</v>
          </cell>
        </row>
        <row r="55">
          <cell r="B55" t="str">
            <v>PROJECT EMPLOYEES</v>
          </cell>
          <cell r="C55">
            <v>1215</v>
          </cell>
          <cell r="D55">
            <v>4</v>
          </cell>
          <cell r="E55">
            <v>16610.580000000002</v>
          </cell>
        </row>
        <row r="56">
          <cell r="B56" t="str">
            <v>PROJECT EMPLOYEES</v>
          </cell>
          <cell r="C56">
            <v>1215</v>
          </cell>
          <cell r="D56">
            <v>8</v>
          </cell>
          <cell r="E56">
            <v>0</v>
          </cell>
        </row>
        <row r="57">
          <cell r="B57" t="str">
            <v>PROJECT EMPLOYEES</v>
          </cell>
          <cell r="C57">
            <v>1215</v>
          </cell>
          <cell r="D57">
            <v>9</v>
          </cell>
          <cell r="E57">
            <v>28366.48</v>
          </cell>
        </row>
        <row r="58">
          <cell r="B58" t="str">
            <v>PROJECT EMPLOYEES</v>
          </cell>
          <cell r="C58">
            <v>1215</v>
          </cell>
          <cell r="D58">
            <v>10</v>
          </cell>
          <cell r="E58">
            <v>0</v>
          </cell>
        </row>
        <row r="59">
          <cell r="B59" t="str">
            <v>EMPLY.' BENEFITS-OTHS.</v>
          </cell>
          <cell r="C59">
            <v>1220</v>
          </cell>
          <cell r="D59">
            <v>1</v>
          </cell>
          <cell r="E59">
            <v>12742.37</v>
          </cell>
        </row>
        <row r="60">
          <cell r="B60" t="str">
            <v>EMPLY.' BENEFITS-OTHS.</v>
          </cell>
          <cell r="C60">
            <v>1220</v>
          </cell>
          <cell r="D60">
            <v>2</v>
          </cell>
          <cell r="E60">
            <v>27254.639999999999</v>
          </cell>
        </row>
        <row r="61">
          <cell r="B61" t="str">
            <v>EMPLY.' BENEFITS-OTHS.</v>
          </cell>
          <cell r="C61">
            <v>1220</v>
          </cell>
          <cell r="D61">
            <v>3</v>
          </cell>
          <cell r="E61">
            <v>11000.28</v>
          </cell>
        </row>
        <row r="62">
          <cell r="B62" t="str">
            <v>EMPLY.' BENEFITS-OTHS.</v>
          </cell>
          <cell r="C62">
            <v>1220</v>
          </cell>
          <cell r="D62">
            <v>4</v>
          </cell>
          <cell r="E62">
            <v>15745.85</v>
          </cell>
        </row>
        <row r="63">
          <cell r="B63" t="str">
            <v>EMPLY.' BENEFITS-OTHS.</v>
          </cell>
          <cell r="C63">
            <v>1220</v>
          </cell>
          <cell r="D63">
            <v>5</v>
          </cell>
          <cell r="E63">
            <v>10583.14</v>
          </cell>
        </row>
        <row r="64">
          <cell r="B64" t="str">
            <v>EMPLY.' BENEFITS-OTHS.</v>
          </cell>
          <cell r="C64">
            <v>1220</v>
          </cell>
          <cell r="D64">
            <v>6</v>
          </cell>
          <cell r="E64">
            <v>2636.95</v>
          </cell>
        </row>
        <row r="65">
          <cell r="B65" t="str">
            <v>EMPLY.' BENEFITS-OTHS.</v>
          </cell>
          <cell r="C65">
            <v>1220</v>
          </cell>
          <cell r="D65">
            <v>7</v>
          </cell>
          <cell r="E65">
            <v>2171.7800000000002</v>
          </cell>
        </row>
        <row r="66">
          <cell r="B66" t="str">
            <v>EMPLY.' BENEFITS-OTHS.</v>
          </cell>
          <cell r="C66">
            <v>1220</v>
          </cell>
          <cell r="D66">
            <v>8</v>
          </cell>
          <cell r="E66">
            <v>36666.18</v>
          </cell>
        </row>
        <row r="67">
          <cell r="B67" t="str">
            <v>EMPLY.' BENEFITS-OTHS.</v>
          </cell>
          <cell r="C67">
            <v>1220</v>
          </cell>
          <cell r="D67">
            <v>9</v>
          </cell>
          <cell r="E67">
            <v>8367.98</v>
          </cell>
        </row>
        <row r="68">
          <cell r="B68" t="str">
            <v>EMPLY.' BENEFITS-OTHS.</v>
          </cell>
          <cell r="C68">
            <v>1220</v>
          </cell>
          <cell r="D68">
            <v>10</v>
          </cell>
          <cell r="E68">
            <v>4529.26</v>
          </cell>
        </row>
        <row r="69">
          <cell r="B69" t="str">
            <v>EMPLY.' BENEFITS-OTHS.</v>
          </cell>
          <cell r="C69">
            <v>1220</v>
          </cell>
          <cell r="D69">
            <v>11</v>
          </cell>
          <cell r="E69">
            <v>28532.69</v>
          </cell>
        </row>
        <row r="70">
          <cell r="B70" t="str">
            <v>EMPLY.' BENEFITS-OTHS.</v>
          </cell>
          <cell r="C70">
            <v>1221</v>
          </cell>
          <cell r="D70">
            <v>1</v>
          </cell>
          <cell r="E70">
            <v>250.74</v>
          </cell>
        </row>
        <row r="71">
          <cell r="B71" t="str">
            <v>EMPLY.' BENEFITS-OTHS.</v>
          </cell>
          <cell r="C71">
            <v>1221</v>
          </cell>
          <cell r="D71">
            <v>2</v>
          </cell>
          <cell r="E71">
            <v>2958.3</v>
          </cell>
        </row>
        <row r="72">
          <cell r="B72" t="str">
            <v>EMPLY.' BENEFITS-OTHS.</v>
          </cell>
          <cell r="C72">
            <v>1221</v>
          </cell>
          <cell r="D72">
            <v>3</v>
          </cell>
          <cell r="E72">
            <v>1362.42</v>
          </cell>
        </row>
        <row r="73">
          <cell r="B73" t="str">
            <v>EMPLY.' BENEFITS-OTHS.</v>
          </cell>
          <cell r="C73">
            <v>1221</v>
          </cell>
          <cell r="D73">
            <v>4</v>
          </cell>
          <cell r="E73">
            <v>4507.96</v>
          </cell>
        </row>
        <row r="74">
          <cell r="B74" t="str">
            <v>EMPLY.' BENEFITS-OTHS.</v>
          </cell>
          <cell r="C74">
            <v>1221</v>
          </cell>
          <cell r="D74">
            <v>5</v>
          </cell>
          <cell r="E74">
            <v>2536.83</v>
          </cell>
        </row>
        <row r="75">
          <cell r="B75" t="str">
            <v>EMPLY.' BENEFITS-OTHS.</v>
          </cell>
          <cell r="C75">
            <v>1221</v>
          </cell>
          <cell r="D75">
            <v>7</v>
          </cell>
          <cell r="E75">
            <v>0</v>
          </cell>
        </row>
        <row r="76">
          <cell r="B76" t="str">
            <v>EMPLY.' BENEFITS-OTHS.</v>
          </cell>
          <cell r="C76">
            <v>1221</v>
          </cell>
          <cell r="D76">
            <v>8</v>
          </cell>
          <cell r="E76">
            <v>14353.58</v>
          </cell>
        </row>
        <row r="77">
          <cell r="B77" t="str">
            <v>EMPLY.' BENEFITS-OTHS.</v>
          </cell>
          <cell r="C77">
            <v>1221</v>
          </cell>
          <cell r="D77">
            <v>9</v>
          </cell>
          <cell r="E77">
            <v>3155.19</v>
          </cell>
        </row>
        <row r="78">
          <cell r="B78" t="str">
            <v>EMPLY.' BENEFITS-OTHS.</v>
          </cell>
          <cell r="C78">
            <v>1221</v>
          </cell>
          <cell r="D78">
            <v>10</v>
          </cell>
          <cell r="E78">
            <v>0</v>
          </cell>
        </row>
        <row r="79">
          <cell r="B79" t="str">
            <v>EMPLY.' BENEFITS-OTHS.</v>
          </cell>
          <cell r="C79">
            <v>1221</v>
          </cell>
          <cell r="D79">
            <v>11</v>
          </cell>
          <cell r="E79">
            <v>250.74</v>
          </cell>
        </row>
        <row r="80">
          <cell r="B80" t="str">
            <v>EMPLY.' BENEFITS-OTHS.</v>
          </cell>
          <cell r="C80">
            <v>1222</v>
          </cell>
          <cell r="D80">
            <v>1</v>
          </cell>
          <cell r="E80">
            <v>2509.21</v>
          </cell>
        </row>
        <row r="81">
          <cell r="B81" t="str">
            <v>EMPLY.' BENEFITS-OTHS.</v>
          </cell>
          <cell r="C81">
            <v>1222</v>
          </cell>
          <cell r="D81">
            <v>2</v>
          </cell>
          <cell r="E81">
            <v>12387.92</v>
          </cell>
        </row>
        <row r="82">
          <cell r="B82" t="str">
            <v>EMPLY.' BENEFITS-OTHS.</v>
          </cell>
          <cell r="C82">
            <v>1222</v>
          </cell>
          <cell r="D82">
            <v>3</v>
          </cell>
          <cell r="E82">
            <v>6115.45</v>
          </cell>
        </row>
        <row r="83">
          <cell r="B83" t="str">
            <v>EMPLY.' BENEFITS-OTHS.</v>
          </cell>
          <cell r="C83">
            <v>1222</v>
          </cell>
          <cell r="D83">
            <v>4</v>
          </cell>
          <cell r="E83">
            <v>58297.7</v>
          </cell>
        </row>
        <row r="84">
          <cell r="B84" t="str">
            <v>EMPLY.' BENEFITS-OTHS.</v>
          </cell>
          <cell r="C84">
            <v>1222</v>
          </cell>
          <cell r="D84">
            <v>5</v>
          </cell>
          <cell r="E84">
            <v>11624.44</v>
          </cell>
        </row>
        <row r="85">
          <cell r="B85" t="str">
            <v>EMPLY.' BENEFITS-OTHS.</v>
          </cell>
          <cell r="C85">
            <v>1222</v>
          </cell>
          <cell r="D85">
            <v>6</v>
          </cell>
          <cell r="E85">
            <v>17472.490000000002</v>
          </cell>
        </row>
        <row r="86">
          <cell r="B86" t="str">
            <v>EMPLY.' BENEFITS-OTHS.</v>
          </cell>
          <cell r="C86">
            <v>1222</v>
          </cell>
          <cell r="D86">
            <v>7</v>
          </cell>
          <cell r="E86">
            <v>2947.31</v>
          </cell>
        </row>
        <row r="87">
          <cell r="B87" t="str">
            <v>EMPLY.' BENEFITS-OTHS.</v>
          </cell>
          <cell r="C87">
            <v>1222</v>
          </cell>
          <cell r="D87">
            <v>8</v>
          </cell>
          <cell r="E87">
            <v>56152.06</v>
          </cell>
        </row>
        <row r="88">
          <cell r="B88" t="str">
            <v>EMPLY.' BENEFITS-OTHS.</v>
          </cell>
          <cell r="C88">
            <v>1222</v>
          </cell>
          <cell r="D88">
            <v>9</v>
          </cell>
          <cell r="E88">
            <v>10349.92</v>
          </cell>
        </row>
        <row r="89">
          <cell r="B89" t="str">
            <v>EMPLY.' BENEFITS-OTHS.</v>
          </cell>
          <cell r="C89">
            <v>1222</v>
          </cell>
          <cell r="D89">
            <v>11</v>
          </cell>
          <cell r="E89">
            <v>13929.63</v>
          </cell>
        </row>
        <row r="90">
          <cell r="B90" t="str">
            <v>EMPLY.' BENEFITS-OTHS.</v>
          </cell>
          <cell r="C90">
            <v>1223</v>
          </cell>
          <cell r="D90">
            <v>1</v>
          </cell>
          <cell r="E90">
            <v>41841.49</v>
          </cell>
        </row>
        <row r="91">
          <cell r="B91" t="str">
            <v>EMPLY.' BENEFITS-OTHS.</v>
          </cell>
          <cell r="C91">
            <v>1223</v>
          </cell>
          <cell r="D91">
            <v>2</v>
          </cell>
          <cell r="E91">
            <v>50964.88</v>
          </cell>
        </row>
        <row r="92">
          <cell r="B92" t="str">
            <v>EMPLY.' BENEFITS-OTHS.</v>
          </cell>
          <cell r="C92">
            <v>1223</v>
          </cell>
          <cell r="D92">
            <v>3</v>
          </cell>
          <cell r="E92">
            <v>19213.68</v>
          </cell>
        </row>
        <row r="93">
          <cell r="B93" t="str">
            <v>EMPLY.' BENEFITS-OTHS.</v>
          </cell>
          <cell r="C93">
            <v>1223</v>
          </cell>
          <cell r="D93">
            <v>4</v>
          </cell>
          <cell r="E93">
            <v>54068.03</v>
          </cell>
        </row>
        <row r="94">
          <cell r="B94" t="str">
            <v>EMPLY.' BENEFITS-OTHS.</v>
          </cell>
          <cell r="C94">
            <v>1223</v>
          </cell>
          <cell r="D94">
            <v>5</v>
          </cell>
          <cell r="E94">
            <v>10738.6</v>
          </cell>
        </row>
        <row r="95">
          <cell r="B95" t="str">
            <v>EMPLY.' BENEFITS-OTHS.</v>
          </cell>
          <cell r="C95">
            <v>1223</v>
          </cell>
          <cell r="D95">
            <v>7</v>
          </cell>
          <cell r="E95">
            <v>10323.799999999999</v>
          </cell>
        </row>
        <row r="96">
          <cell r="B96" t="str">
            <v>EMPLY.' BENEFITS-OTHS.</v>
          </cell>
          <cell r="C96">
            <v>1223</v>
          </cell>
          <cell r="D96">
            <v>8</v>
          </cell>
          <cell r="E96">
            <v>114171.18</v>
          </cell>
        </row>
        <row r="97">
          <cell r="B97" t="str">
            <v>EMPLY.' BENEFITS-OTHS.</v>
          </cell>
          <cell r="C97">
            <v>1223</v>
          </cell>
          <cell r="D97">
            <v>9</v>
          </cell>
          <cell r="E97">
            <v>7040.68</v>
          </cell>
        </row>
        <row r="98">
          <cell r="B98" t="str">
            <v>EMPLY.' BENEFITS-OTHS.</v>
          </cell>
          <cell r="C98">
            <v>1224</v>
          </cell>
          <cell r="D98">
            <v>1</v>
          </cell>
          <cell r="E98">
            <v>-209.94</v>
          </cell>
        </row>
        <row r="99">
          <cell r="B99" t="str">
            <v>EMPLY.' BENEFITS-OTHS.</v>
          </cell>
          <cell r="C99">
            <v>1224</v>
          </cell>
          <cell r="D99">
            <v>2</v>
          </cell>
          <cell r="E99">
            <v>-629.79999999999995</v>
          </cell>
        </row>
        <row r="100">
          <cell r="B100" t="str">
            <v>EMPLY.' BENEFITS-OTHS.</v>
          </cell>
          <cell r="C100">
            <v>1224</v>
          </cell>
          <cell r="D100">
            <v>3</v>
          </cell>
          <cell r="E100">
            <v>-349.9</v>
          </cell>
        </row>
        <row r="101">
          <cell r="B101" t="str">
            <v>EMPLY.' BENEFITS-OTHS.</v>
          </cell>
          <cell r="C101">
            <v>1224</v>
          </cell>
          <cell r="D101">
            <v>4</v>
          </cell>
          <cell r="E101">
            <v>-807.1</v>
          </cell>
        </row>
        <row r="102">
          <cell r="B102" t="str">
            <v>EMPLY.' BENEFITS-OTHS.</v>
          </cell>
          <cell r="C102">
            <v>1224</v>
          </cell>
          <cell r="D102">
            <v>5</v>
          </cell>
          <cell r="E102">
            <v>-34.99</v>
          </cell>
        </row>
        <row r="103">
          <cell r="B103" t="str">
            <v>EMPLY.' BENEFITS-OTHS.</v>
          </cell>
          <cell r="C103">
            <v>1224</v>
          </cell>
          <cell r="D103">
            <v>6</v>
          </cell>
          <cell r="E103">
            <v>-1982.75</v>
          </cell>
        </row>
        <row r="104">
          <cell r="B104" t="str">
            <v>EMPLY.' BENEFITS-OTHS.</v>
          </cell>
          <cell r="C104">
            <v>1224</v>
          </cell>
          <cell r="D104">
            <v>8</v>
          </cell>
          <cell r="E104">
            <v>-1856.79</v>
          </cell>
        </row>
        <row r="105">
          <cell r="B105" t="str">
            <v>EMPLY.' BENEFITS-OTHS.</v>
          </cell>
          <cell r="C105">
            <v>1224</v>
          </cell>
          <cell r="D105">
            <v>9</v>
          </cell>
          <cell r="E105">
            <v>-559.82000000000005</v>
          </cell>
        </row>
        <row r="106">
          <cell r="B106" t="str">
            <v>EMPLY.' BENEFITS-OTHS.</v>
          </cell>
          <cell r="C106">
            <v>1225</v>
          </cell>
          <cell r="D106">
            <v>1</v>
          </cell>
          <cell r="E106">
            <v>8000</v>
          </cell>
        </row>
        <row r="107">
          <cell r="B107" t="str">
            <v>EMPLY.' BENEFITS-OTHS.</v>
          </cell>
          <cell r="C107">
            <v>1225</v>
          </cell>
          <cell r="D107">
            <v>2</v>
          </cell>
          <cell r="E107">
            <v>30325.08</v>
          </cell>
        </row>
        <row r="108">
          <cell r="B108" t="str">
            <v>EMPLY.' BENEFITS-OTHS.</v>
          </cell>
          <cell r="C108">
            <v>1225</v>
          </cell>
          <cell r="D108">
            <v>3</v>
          </cell>
          <cell r="E108">
            <v>18000</v>
          </cell>
        </row>
        <row r="109">
          <cell r="B109" t="str">
            <v>EMPLY.' BENEFITS-OTHS.</v>
          </cell>
          <cell r="C109">
            <v>1225</v>
          </cell>
          <cell r="D109">
            <v>4</v>
          </cell>
          <cell r="E109">
            <v>47200</v>
          </cell>
        </row>
        <row r="110">
          <cell r="B110" t="str">
            <v>EMPLY.' BENEFITS-OTHS.</v>
          </cell>
          <cell r="C110">
            <v>1225</v>
          </cell>
          <cell r="D110">
            <v>5</v>
          </cell>
          <cell r="E110">
            <v>1600</v>
          </cell>
        </row>
        <row r="111">
          <cell r="B111" t="str">
            <v>EMPLY.' BENEFITS-OTHS.</v>
          </cell>
          <cell r="C111">
            <v>1225</v>
          </cell>
          <cell r="D111">
            <v>6</v>
          </cell>
          <cell r="E111">
            <v>6400</v>
          </cell>
        </row>
        <row r="112">
          <cell r="B112" t="str">
            <v>EMPLY.' BENEFITS-OTHS.</v>
          </cell>
          <cell r="C112">
            <v>1225</v>
          </cell>
          <cell r="D112">
            <v>7</v>
          </cell>
          <cell r="E112">
            <v>0</v>
          </cell>
        </row>
        <row r="113">
          <cell r="B113" t="str">
            <v>EMPLY.' BENEFITS-OTHS.</v>
          </cell>
          <cell r="C113">
            <v>1225</v>
          </cell>
          <cell r="D113">
            <v>8</v>
          </cell>
          <cell r="E113">
            <v>110400</v>
          </cell>
        </row>
        <row r="114">
          <cell r="B114" t="str">
            <v>EMPLY.' BENEFITS-OTHS.</v>
          </cell>
          <cell r="C114">
            <v>1225</v>
          </cell>
          <cell r="D114">
            <v>9</v>
          </cell>
          <cell r="E114">
            <v>24800</v>
          </cell>
        </row>
        <row r="115">
          <cell r="B115" t="str">
            <v>EMPLY.' BENEFITS-OTHS.</v>
          </cell>
          <cell r="C115">
            <v>1225</v>
          </cell>
          <cell r="D115">
            <v>10</v>
          </cell>
          <cell r="E115">
            <v>0</v>
          </cell>
        </row>
        <row r="116">
          <cell r="B116" t="str">
            <v>EMPLY.' BENEFITS-OTHS.</v>
          </cell>
          <cell r="C116">
            <v>1227</v>
          </cell>
          <cell r="D116">
            <v>1</v>
          </cell>
          <cell r="E116">
            <v>3771.73</v>
          </cell>
        </row>
        <row r="117">
          <cell r="B117" t="str">
            <v>EMPLY.' BENEFITS-OTHS.</v>
          </cell>
          <cell r="C117">
            <v>1227</v>
          </cell>
          <cell r="D117">
            <v>2</v>
          </cell>
          <cell r="E117">
            <v>45532.12</v>
          </cell>
        </row>
        <row r="118">
          <cell r="B118" t="str">
            <v>EMPLY.' BENEFITS-OTHS.</v>
          </cell>
          <cell r="C118">
            <v>1227</v>
          </cell>
          <cell r="D118">
            <v>3</v>
          </cell>
          <cell r="E118">
            <v>18302.52</v>
          </cell>
        </row>
        <row r="119">
          <cell r="B119" t="str">
            <v>EMPLY.' BENEFITS-OTHS.</v>
          </cell>
          <cell r="C119">
            <v>1227</v>
          </cell>
          <cell r="D119">
            <v>4</v>
          </cell>
          <cell r="E119">
            <v>64496.54</v>
          </cell>
        </row>
        <row r="120">
          <cell r="B120" t="str">
            <v>EMPLY.' BENEFITS-OTHS.</v>
          </cell>
          <cell r="C120">
            <v>1227</v>
          </cell>
          <cell r="D120">
            <v>5</v>
          </cell>
          <cell r="E120">
            <v>7635.45</v>
          </cell>
        </row>
        <row r="121">
          <cell r="B121" t="str">
            <v>EMPLY.' BENEFITS-OTHS.</v>
          </cell>
          <cell r="C121">
            <v>1227</v>
          </cell>
          <cell r="D121">
            <v>6</v>
          </cell>
          <cell r="E121">
            <v>5356.97</v>
          </cell>
        </row>
        <row r="122">
          <cell r="B122" t="str">
            <v>EMPLY.' BENEFITS-OTHS.</v>
          </cell>
          <cell r="C122">
            <v>1227</v>
          </cell>
          <cell r="D122">
            <v>7</v>
          </cell>
          <cell r="E122">
            <v>2742.86</v>
          </cell>
        </row>
        <row r="123">
          <cell r="B123" t="str">
            <v>EMPLY.' BENEFITS-OTHS.</v>
          </cell>
          <cell r="C123">
            <v>1227</v>
          </cell>
          <cell r="D123">
            <v>8</v>
          </cell>
          <cell r="E123">
            <v>109178.28</v>
          </cell>
        </row>
        <row r="124">
          <cell r="B124" t="str">
            <v>EMPLY.' BENEFITS-OTHS.</v>
          </cell>
          <cell r="C124">
            <v>1227</v>
          </cell>
          <cell r="D124">
            <v>9</v>
          </cell>
          <cell r="E124">
            <v>31078.26</v>
          </cell>
        </row>
        <row r="125">
          <cell r="B125" t="str">
            <v>EMPLY.' BENEFITS-OTHS.</v>
          </cell>
          <cell r="C125">
            <v>1227</v>
          </cell>
          <cell r="D125">
            <v>10</v>
          </cell>
          <cell r="E125">
            <v>1784.2</v>
          </cell>
        </row>
        <row r="126">
          <cell r="B126" t="str">
            <v>EMPLY.' BENEFITS-OTHS.</v>
          </cell>
          <cell r="C126">
            <v>1227</v>
          </cell>
          <cell r="D126">
            <v>11</v>
          </cell>
          <cell r="E126">
            <v>36.14</v>
          </cell>
        </row>
        <row r="127">
          <cell r="B127" t="str">
            <v>EMPLY.' BENEFITS-OTHS.</v>
          </cell>
          <cell r="C127">
            <v>1228</v>
          </cell>
          <cell r="D127">
            <v>1</v>
          </cell>
          <cell r="E127">
            <v>4000</v>
          </cell>
        </row>
        <row r="128">
          <cell r="B128" t="str">
            <v>EMPLY.' BENEFITS-OTHS.</v>
          </cell>
          <cell r="C128">
            <v>1228</v>
          </cell>
          <cell r="D128">
            <v>2</v>
          </cell>
          <cell r="E128">
            <v>20000</v>
          </cell>
        </row>
        <row r="129">
          <cell r="B129" t="str">
            <v>EMPLY.' BENEFITS-OTHS.</v>
          </cell>
          <cell r="C129">
            <v>1228</v>
          </cell>
          <cell r="D129">
            <v>3</v>
          </cell>
          <cell r="E129">
            <v>16000</v>
          </cell>
        </row>
        <row r="130">
          <cell r="B130" t="str">
            <v>EMPLY.' BENEFITS-OTHS.</v>
          </cell>
          <cell r="C130">
            <v>1228</v>
          </cell>
          <cell r="D130">
            <v>4</v>
          </cell>
          <cell r="E130">
            <v>32000</v>
          </cell>
        </row>
        <row r="131">
          <cell r="B131" t="str">
            <v>EMPLY.' BENEFITS-OTHS.</v>
          </cell>
          <cell r="C131">
            <v>1228</v>
          </cell>
          <cell r="D131">
            <v>8</v>
          </cell>
          <cell r="E131">
            <v>24000</v>
          </cell>
        </row>
        <row r="132">
          <cell r="B132" t="str">
            <v>EMPLY.' BENEFITS-OTHS.</v>
          </cell>
          <cell r="C132">
            <v>1228</v>
          </cell>
          <cell r="D132">
            <v>9</v>
          </cell>
          <cell r="E132">
            <v>8000</v>
          </cell>
        </row>
        <row r="133">
          <cell r="B133" t="str">
            <v>EMPLY.' BENEFITS-OTHS.</v>
          </cell>
          <cell r="C133">
            <v>1229</v>
          </cell>
          <cell r="D133">
            <v>1</v>
          </cell>
          <cell r="E133">
            <v>46169.78</v>
          </cell>
        </row>
        <row r="134">
          <cell r="B134" t="str">
            <v>EMPLY.' BENEFITS-OTHS.</v>
          </cell>
          <cell r="C134">
            <v>1229</v>
          </cell>
          <cell r="D134">
            <v>2</v>
          </cell>
          <cell r="E134">
            <v>74305.320000000007</v>
          </cell>
        </row>
        <row r="135">
          <cell r="B135" t="str">
            <v>EMPLY.' BENEFITS-OTHS.</v>
          </cell>
          <cell r="C135">
            <v>1229</v>
          </cell>
          <cell r="D135">
            <v>3</v>
          </cell>
          <cell r="E135">
            <v>36948.04</v>
          </cell>
        </row>
        <row r="136">
          <cell r="B136" t="str">
            <v>EMPLY.' BENEFITS-OTHS.</v>
          </cell>
          <cell r="C136">
            <v>1229</v>
          </cell>
          <cell r="D136">
            <v>4</v>
          </cell>
          <cell r="E136">
            <v>102438.46</v>
          </cell>
        </row>
        <row r="137">
          <cell r="B137" t="str">
            <v>EMPLY.' BENEFITS-OTHS.</v>
          </cell>
          <cell r="C137">
            <v>1229</v>
          </cell>
          <cell r="D137">
            <v>5</v>
          </cell>
          <cell r="E137">
            <v>0</v>
          </cell>
        </row>
        <row r="138">
          <cell r="B138" t="str">
            <v>EMPLY.' BENEFITS-OTHS.</v>
          </cell>
          <cell r="C138">
            <v>1229</v>
          </cell>
          <cell r="D138">
            <v>7</v>
          </cell>
          <cell r="E138">
            <v>0</v>
          </cell>
        </row>
        <row r="139">
          <cell r="B139" t="str">
            <v>EMPLY.' BENEFITS-OTHS.</v>
          </cell>
          <cell r="C139">
            <v>1229</v>
          </cell>
          <cell r="D139">
            <v>8</v>
          </cell>
          <cell r="E139">
            <v>223789.52</v>
          </cell>
        </row>
        <row r="140">
          <cell r="B140" t="str">
            <v>EMPLY.' BENEFITS-OTHS.</v>
          </cell>
          <cell r="C140">
            <v>1229</v>
          </cell>
          <cell r="D140">
            <v>9</v>
          </cell>
          <cell r="E140">
            <v>67591.820000000007</v>
          </cell>
        </row>
        <row r="141">
          <cell r="B141" t="str">
            <v>EMPLY.' BENEFITS-OTHS.</v>
          </cell>
          <cell r="C141">
            <v>1230</v>
          </cell>
          <cell r="D141">
            <v>2</v>
          </cell>
          <cell r="E141">
            <v>0</v>
          </cell>
        </row>
        <row r="142">
          <cell r="B142" t="str">
            <v>EMPLY.' BENEFITS-OTHS.</v>
          </cell>
          <cell r="C142">
            <v>1230</v>
          </cell>
          <cell r="D142">
            <v>4</v>
          </cell>
          <cell r="E142">
            <v>0</v>
          </cell>
        </row>
        <row r="143">
          <cell r="B143" t="str">
            <v>EMPLY.' BENEFITS-OTHS.</v>
          </cell>
          <cell r="C143">
            <v>1230</v>
          </cell>
          <cell r="D143">
            <v>6</v>
          </cell>
          <cell r="E143">
            <v>0</v>
          </cell>
        </row>
        <row r="144">
          <cell r="B144" t="str">
            <v>EMPLY.' BENEFITS-OTHS.</v>
          </cell>
          <cell r="C144">
            <v>1231</v>
          </cell>
          <cell r="D144">
            <v>1</v>
          </cell>
          <cell r="E144">
            <v>2000</v>
          </cell>
        </row>
        <row r="145">
          <cell r="B145" t="str">
            <v>EMPLY.' BENEFITS-OTHS.</v>
          </cell>
          <cell r="C145">
            <v>1231</v>
          </cell>
          <cell r="D145">
            <v>2</v>
          </cell>
          <cell r="E145">
            <v>2727.27</v>
          </cell>
        </row>
        <row r="146">
          <cell r="B146" t="str">
            <v>EMPLY.' BENEFITS-OTHS.</v>
          </cell>
          <cell r="C146">
            <v>1231</v>
          </cell>
          <cell r="D146">
            <v>4</v>
          </cell>
          <cell r="E146">
            <v>9000</v>
          </cell>
        </row>
        <row r="147">
          <cell r="B147" t="str">
            <v>EMPLY.' BENEFITS-OTHS.</v>
          </cell>
          <cell r="C147">
            <v>1231</v>
          </cell>
          <cell r="D147">
            <v>8</v>
          </cell>
          <cell r="E147">
            <v>18000</v>
          </cell>
        </row>
        <row r="148">
          <cell r="B148" t="str">
            <v>EMPLY.' BENEFITS-OTHS.</v>
          </cell>
          <cell r="C148">
            <v>1233</v>
          </cell>
          <cell r="D148">
            <v>2</v>
          </cell>
          <cell r="E148">
            <v>10775.13</v>
          </cell>
        </row>
        <row r="149">
          <cell r="B149" t="str">
            <v>EMPLY.' BENEFITS-OTHS.</v>
          </cell>
          <cell r="C149">
            <v>1234</v>
          </cell>
          <cell r="D149">
            <v>2</v>
          </cell>
          <cell r="E149">
            <v>113747</v>
          </cell>
        </row>
        <row r="150">
          <cell r="B150" t="str">
            <v>SCHOLARSHIP &amp; TRAINING</v>
          </cell>
          <cell r="C150">
            <v>1235</v>
          </cell>
          <cell r="D150">
            <v>2</v>
          </cell>
          <cell r="E150">
            <v>195769.68</v>
          </cell>
        </row>
        <row r="151">
          <cell r="B151" t="str">
            <v>SCHOLARSHIP &amp; TRAINING</v>
          </cell>
          <cell r="C151">
            <v>1235</v>
          </cell>
          <cell r="D151">
            <v>8</v>
          </cell>
          <cell r="E151">
            <v>0</v>
          </cell>
        </row>
        <row r="152">
          <cell r="B152" t="str">
            <v>SPORTS - PERSONNEL</v>
          </cell>
          <cell r="C152">
            <v>1236</v>
          </cell>
          <cell r="D152">
            <v>1</v>
          </cell>
          <cell r="E152">
            <v>0</v>
          </cell>
        </row>
        <row r="153">
          <cell r="B153" t="str">
            <v>SPORTS - PERSONNEL</v>
          </cell>
          <cell r="C153">
            <v>1236</v>
          </cell>
          <cell r="D153">
            <v>2</v>
          </cell>
          <cell r="E153">
            <v>154871.67999999999</v>
          </cell>
        </row>
        <row r="154">
          <cell r="B154" t="str">
            <v>PROF. &amp; OTHER FEES</v>
          </cell>
          <cell r="C154">
            <v>1240</v>
          </cell>
          <cell r="D154">
            <v>1</v>
          </cell>
          <cell r="E154">
            <v>0</v>
          </cell>
        </row>
        <row r="155">
          <cell r="B155" t="str">
            <v>PROF. &amp; OTHER FEES</v>
          </cell>
          <cell r="C155">
            <v>1240</v>
          </cell>
          <cell r="D155">
            <v>2</v>
          </cell>
          <cell r="E155">
            <v>64962.16</v>
          </cell>
        </row>
        <row r="156">
          <cell r="B156" t="str">
            <v>PROF. &amp; OTHER FEES</v>
          </cell>
          <cell r="C156">
            <v>1240</v>
          </cell>
          <cell r="D156">
            <v>3</v>
          </cell>
          <cell r="E156">
            <v>0</v>
          </cell>
        </row>
        <row r="157">
          <cell r="B157" t="str">
            <v>PROF. &amp; OTHER FEES</v>
          </cell>
          <cell r="C157">
            <v>1240</v>
          </cell>
          <cell r="D157">
            <v>4</v>
          </cell>
          <cell r="E157">
            <v>47800</v>
          </cell>
        </row>
        <row r="158">
          <cell r="B158" t="str">
            <v>PROF. &amp; OTHER FEES</v>
          </cell>
          <cell r="C158">
            <v>1240</v>
          </cell>
          <cell r="D158">
            <v>5</v>
          </cell>
          <cell r="E158">
            <v>0</v>
          </cell>
        </row>
        <row r="159">
          <cell r="B159" t="str">
            <v>PROF. &amp; OTHER FEES</v>
          </cell>
          <cell r="C159">
            <v>1240</v>
          </cell>
          <cell r="D159">
            <v>8</v>
          </cell>
          <cell r="E159">
            <v>115</v>
          </cell>
        </row>
        <row r="160">
          <cell r="B160" t="str">
            <v>PROF. &amp; OTHER FEES</v>
          </cell>
          <cell r="C160">
            <v>1240</v>
          </cell>
          <cell r="D160">
            <v>9</v>
          </cell>
          <cell r="E160">
            <v>0</v>
          </cell>
        </row>
        <row r="161">
          <cell r="B161" t="str">
            <v>PROF. &amp; OTHER FEES</v>
          </cell>
          <cell r="C161">
            <v>1240</v>
          </cell>
          <cell r="D161">
            <v>11</v>
          </cell>
          <cell r="E161">
            <v>0</v>
          </cell>
        </row>
        <row r="162">
          <cell r="B162" t="str">
            <v>ADVERTISING &amp; PROMO.</v>
          </cell>
          <cell r="C162">
            <v>1245</v>
          </cell>
          <cell r="D162">
            <v>2</v>
          </cell>
          <cell r="E162">
            <v>104140</v>
          </cell>
        </row>
        <row r="163">
          <cell r="B163" t="str">
            <v>ORPHANAGE PROJECTS</v>
          </cell>
          <cell r="C163">
            <v>1245</v>
          </cell>
          <cell r="D163">
            <v>2</v>
          </cell>
          <cell r="E163">
            <v>21576.59</v>
          </cell>
        </row>
        <row r="164">
          <cell r="B164" t="str">
            <v>REPAIRS &amp; MAINT.</v>
          </cell>
          <cell r="C164">
            <v>1251</v>
          </cell>
          <cell r="D164">
            <v>2</v>
          </cell>
          <cell r="E164">
            <v>3541.92</v>
          </cell>
        </row>
        <row r="165">
          <cell r="B165" t="str">
            <v>REPAIRS &amp; MAINT.</v>
          </cell>
          <cell r="C165">
            <v>1251</v>
          </cell>
          <cell r="D165">
            <v>3</v>
          </cell>
          <cell r="E165">
            <v>0</v>
          </cell>
        </row>
        <row r="166">
          <cell r="B166" t="str">
            <v>REPAIRS &amp; MAINT.</v>
          </cell>
          <cell r="C166">
            <v>1251</v>
          </cell>
          <cell r="D166">
            <v>4</v>
          </cell>
          <cell r="E166">
            <v>27.27</v>
          </cell>
        </row>
        <row r="167">
          <cell r="B167" t="str">
            <v>REPAIRS &amp; MAINT.</v>
          </cell>
          <cell r="C167">
            <v>1251</v>
          </cell>
          <cell r="D167">
            <v>5</v>
          </cell>
          <cell r="E167">
            <v>0</v>
          </cell>
        </row>
        <row r="168">
          <cell r="B168" t="str">
            <v>REPAIRS &amp; MAINT.</v>
          </cell>
          <cell r="C168">
            <v>1251</v>
          </cell>
          <cell r="D168">
            <v>8</v>
          </cell>
          <cell r="E168">
            <v>27.27</v>
          </cell>
        </row>
        <row r="169">
          <cell r="B169" t="str">
            <v>REPAIRS &amp; MAINT.</v>
          </cell>
          <cell r="C169">
            <v>1252</v>
          </cell>
          <cell r="D169">
            <v>2</v>
          </cell>
          <cell r="E169">
            <v>36046.07</v>
          </cell>
        </row>
        <row r="170">
          <cell r="B170" t="str">
            <v>REPAIRS &amp; MAINT.</v>
          </cell>
          <cell r="C170">
            <v>1252</v>
          </cell>
          <cell r="D170">
            <v>3</v>
          </cell>
          <cell r="E170">
            <v>0</v>
          </cell>
        </row>
        <row r="171">
          <cell r="B171" t="str">
            <v>REPAIRS &amp; MAINT.</v>
          </cell>
          <cell r="C171">
            <v>1252</v>
          </cell>
          <cell r="D171">
            <v>4</v>
          </cell>
          <cell r="E171">
            <v>0</v>
          </cell>
        </row>
        <row r="172">
          <cell r="B172" t="str">
            <v>REPAIRS &amp; MAINT.</v>
          </cell>
          <cell r="C172">
            <v>1252</v>
          </cell>
          <cell r="D172">
            <v>8</v>
          </cell>
          <cell r="E172">
            <v>0</v>
          </cell>
        </row>
        <row r="173">
          <cell r="B173" t="str">
            <v>REPAIRS &amp; MAINT.</v>
          </cell>
          <cell r="C173">
            <v>1252</v>
          </cell>
          <cell r="D173">
            <v>9</v>
          </cell>
          <cell r="E173">
            <v>0</v>
          </cell>
        </row>
        <row r="174">
          <cell r="B174" t="str">
            <v>REPAIRS &amp; MAINT.</v>
          </cell>
          <cell r="C174">
            <v>1253</v>
          </cell>
          <cell r="D174">
            <v>8</v>
          </cell>
          <cell r="E174">
            <v>0</v>
          </cell>
        </row>
        <row r="175">
          <cell r="B175" t="str">
            <v>REPAIRS &amp; MAINT.</v>
          </cell>
          <cell r="C175">
            <v>1253</v>
          </cell>
          <cell r="D175">
            <v>9</v>
          </cell>
          <cell r="E175">
            <v>0</v>
          </cell>
        </row>
        <row r="176">
          <cell r="B176" t="str">
            <v>REPAIRS &amp; MAINT.</v>
          </cell>
          <cell r="C176">
            <v>1254</v>
          </cell>
          <cell r="D176">
            <v>2</v>
          </cell>
          <cell r="E176">
            <v>0</v>
          </cell>
        </row>
        <row r="177">
          <cell r="B177" t="str">
            <v>REPAIRS &amp; MAINT.</v>
          </cell>
          <cell r="C177">
            <v>1254</v>
          </cell>
          <cell r="D177">
            <v>9</v>
          </cell>
          <cell r="E177">
            <v>0</v>
          </cell>
        </row>
        <row r="178">
          <cell r="B178" t="str">
            <v>REPRESENTATION EXP.</v>
          </cell>
          <cell r="C178">
            <v>1255</v>
          </cell>
          <cell r="D178">
            <v>1</v>
          </cell>
          <cell r="E178">
            <v>94369.9</v>
          </cell>
        </row>
        <row r="179">
          <cell r="B179" t="str">
            <v>REPRESENTATION EXP.</v>
          </cell>
          <cell r="C179">
            <v>1255</v>
          </cell>
          <cell r="D179">
            <v>2</v>
          </cell>
          <cell r="E179">
            <v>49211</v>
          </cell>
        </row>
        <row r="180">
          <cell r="B180" t="str">
            <v>REPRESENTATION EXP.</v>
          </cell>
          <cell r="C180">
            <v>1255</v>
          </cell>
          <cell r="D180">
            <v>3</v>
          </cell>
          <cell r="E180">
            <v>2157.7800000000002</v>
          </cell>
        </row>
        <row r="181">
          <cell r="B181" t="str">
            <v>REPRESENTATION EXP.</v>
          </cell>
          <cell r="C181">
            <v>1255</v>
          </cell>
          <cell r="D181">
            <v>4</v>
          </cell>
          <cell r="E181">
            <v>50928.76</v>
          </cell>
        </row>
        <row r="182">
          <cell r="B182" t="str">
            <v>REPRESENTATION EXP.</v>
          </cell>
          <cell r="C182">
            <v>1255</v>
          </cell>
          <cell r="D182">
            <v>5</v>
          </cell>
          <cell r="E182">
            <v>18504.560000000001</v>
          </cell>
        </row>
        <row r="183">
          <cell r="B183" t="str">
            <v>REPRESENTATION EXP.</v>
          </cell>
          <cell r="C183">
            <v>1255</v>
          </cell>
          <cell r="D183">
            <v>8</v>
          </cell>
          <cell r="E183">
            <v>91616.9</v>
          </cell>
        </row>
        <row r="184">
          <cell r="B184" t="str">
            <v>REPRESENTATION EXP.</v>
          </cell>
          <cell r="C184">
            <v>1255</v>
          </cell>
          <cell r="D184">
            <v>9</v>
          </cell>
          <cell r="E184">
            <v>1974.92</v>
          </cell>
        </row>
        <row r="185">
          <cell r="B185" t="str">
            <v>REPRESENTATION EXP.</v>
          </cell>
          <cell r="C185">
            <v>1255</v>
          </cell>
          <cell r="D185">
            <v>10</v>
          </cell>
          <cell r="E185">
            <v>0</v>
          </cell>
        </row>
        <row r="186">
          <cell r="B186" t="str">
            <v>REPRESENTATION EXP.</v>
          </cell>
          <cell r="C186">
            <v>1255</v>
          </cell>
          <cell r="D186">
            <v>11</v>
          </cell>
          <cell r="E186">
            <v>20718.45</v>
          </cell>
        </row>
        <row r="187">
          <cell r="B187" t="str">
            <v>DUES AND FEES</v>
          </cell>
          <cell r="C187">
            <v>1260</v>
          </cell>
          <cell r="D187">
            <v>1</v>
          </cell>
          <cell r="E187">
            <v>18920</v>
          </cell>
        </row>
        <row r="188">
          <cell r="B188" t="str">
            <v>DUES AND FEES</v>
          </cell>
          <cell r="C188">
            <v>1260</v>
          </cell>
          <cell r="D188">
            <v>2</v>
          </cell>
          <cell r="E188">
            <v>8520</v>
          </cell>
        </row>
        <row r="189">
          <cell r="B189" t="str">
            <v>DUES AND FEES</v>
          </cell>
          <cell r="C189">
            <v>1260</v>
          </cell>
          <cell r="D189">
            <v>3</v>
          </cell>
          <cell r="E189">
            <v>4200</v>
          </cell>
        </row>
        <row r="190">
          <cell r="B190" t="str">
            <v>DUES AND FEES</v>
          </cell>
          <cell r="C190">
            <v>1260</v>
          </cell>
          <cell r="D190">
            <v>4</v>
          </cell>
          <cell r="E190">
            <v>2000</v>
          </cell>
        </row>
        <row r="191">
          <cell r="B191" t="str">
            <v>DUES AND FEES</v>
          </cell>
          <cell r="C191">
            <v>1260</v>
          </cell>
          <cell r="D191">
            <v>8</v>
          </cell>
          <cell r="E191">
            <v>600</v>
          </cell>
        </row>
        <row r="192">
          <cell r="B192" t="str">
            <v>DUES AND FEES</v>
          </cell>
          <cell r="C192">
            <v>1260</v>
          </cell>
          <cell r="D192">
            <v>9</v>
          </cell>
          <cell r="E192">
            <v>0</v>
          </cell>
        </row>
        <row r="193">
          <cell r="B193" t="str">
            <v>TAXES, LIC. &amp; PERMITS</v>
          </cell>
          <cell r="C193">
            <v>1270</v>
          </cell>
          <cell r="D193">
            <v>2</v>
          </cell>
          <cell r="E193">
            <v>34760</v>
          </cell>
        </row>
        <row r="194">
          <cell r="B194" t="str">
            <v>TAXES, LIC. &amp; PERMITS</v>
          </cell>
          <cell r="C194">
            <v>1270</v>
          </cell>
          <cell r="D194">
            <v>3</v>
          </cell>
          <cell r="E194">
            <v>0</v>
          </cell>
        </row>
        <row r="195">
          <cell r="B195" t="str">
            <v>TAXES, LIC. &amp; PERMITS</v>
          </cell>
          <cell r="C195">
            <v>1270</v>
          </cell>
          <cell r="D195">
            <v>4</v>
          </cell>
          <cell r="E195">
            <v>803855.63</v>
          </cell>
        </row>
        <row r="196">
          <cell r="B196" t="str">
            <v>TAXES, LIC. &amp; PERMITS</v>
          </cell>
          <cell r="C196">
            <v>1270</v>
          </cell>
          <cell r="D196">
            <v>5</v>
          </cell>
          <cell r="E196">
            <v>400</v>
          </cell>
        </row>
        <row r="197">
          <cell r="B197" t="str">
            <v>TAXES, LIC. &amp; PERMITS</v>
          </cell>
          <cell r="C197">
            <v>1270</v>
          </cell>
          <cell r="D197">
            <v>8</v>
          </cell>
          <cell r="E197">
            <v>1091</v>
          </cell>
        </row>
        <row r="198">
          <cell r="B198" t="str">
            <v>TAXES, LIC. &amp; PERMITS</v>
          </cell>
          <cell r="C198">
            <v>1270</v>
          </cell>
          <cell r="D198">
            <v>9</v>
          </cell>
          <cell r="E198">
            <v>0</v>
          </cell>
        </row>
        <row r="199">
          <cell r="B199" t="str">
            <v>TAXES, LIC. &amp; PERMITS</v>
          </cell>
          <cell r="C199">
            <v>1270</v>
          </cell>
          <cell r="D199">
            <v>10</v>
          </cell>
          <cell r="E199">
            <v>0</v>
          </cell>
        </row>
        <row r="200">
          <cell r="B200" t="str">
            <v>TAXES, LIC. &amp; PERMITS</v>
          </cell>
          <cell r="C200">
            <v>1270</v>
          </cell>
          <cell r="D200">
            <v>11</v>
          </cell>
          <cell r="E200">
            <v>0</v>
          </cell>
        </row>
        <row r="201">
          <cell r="B201" t="str">
            <v>TRANS. &amp; TRAVEL-B</v>
          </cell>
          <cell r="C201">
            <v>1280</v>
          </cell>
          <cell r="D201">
            <v>2</v>
          </cell>
          <cell r="E201">
            <v>172343.22</v>
          </cell>
        </row>
        <row r="202">
          <cell r="B202" t="str">
            <v>TRANS. &amp; TRAVEL-B</v>
          </cell>
          <cell r="C202">
            <v>1280</v>
          </cell>
          <cell r="D202">
            <v>3</v>
          </cell>
          <cell r="E202">
            <v>0</v>
          </cell>
        </row>
        <row r="203">
          <cell r="B203" t="str">
            <v>TRANS. &amp; TRAVEL-B</v>
          </cell>
          <cell r="C203">
            <v>1280</v>
          </cell>
          <cell r="D203">
            <v>4</v>
          </cell>
          <cell r="E203">
            <v>3986.5</v>
          </cell>
        </row>
        <row r="204">
          <cell r="B204" t="str">
            <v>TRANS. &amp; TRAVEL-B</v>
          </cell>
          <cell r="C204">
            <v>1280</v>
          </cell>
          <cell r="D204">
            <v>5</v>
          </cell>
          <cell r="E204">
            <v>871</v>
          </cell>
        </row>
        <row r="205">
          <cell r="B205" t="str">
            <v>TRANS. &amp; TRAVEL-B</v>
          </cell>
          <cell r="C205">
            <v>1280</v>
          </cell>
          <cell r="D205">
            <v>8</v>
          </cell>
          <cell r="E205">
            <v>25008.25</v>
          </cell>
        </row>
        <row r="206">
          <cell r="B206" t="str">
            <v>TRANS. &amp; TRAVEL-B</v>
          </cell>
          <cell r="C206">
            <v>1280</v>
          </cell>
          <cell r="D206">
            <v>9</v>
          </cell>
          <cell r="E206">
            <v>4050.5</v>
          </cell>
        </row>
        <row r="207">
          <cell r="B207" t="str">
            <v>TRANS. &amp; TRAVEL-B</v>
          </cell>
          <cell r="C207">
            <v>1280</v>
          </cell>
          <cell r="D207">
            <v>11</v>
          </cell>
          <cell r="E207">
            <v>0</v>
          </cell>
        </row>
        <row r="208">
          <cell r="B208" t="str">
            <v>TRANS. &amp; TRAVEL-B</v>
          </cell>
          <cell r="C208">
            <v>1285</v>
          </cell>
          <cell r="D208">
            <v>1</v>
          </cell>
          <cell r="E208">
            <v>216196.64</v>
          </cell>
        </row>
        <row r="209">
          <cell r="B209" t="str">
            <v>TRANS. &amp; TRAVEL-B</v>
          </cell>
          <cell r="C209">
            <v>1285</v>
          </cell>
          <cell r="D209">
            <v>8</v>
          </cell>
          <cell r="E209">
            <v>0</v>
          </cell>
        </row>
        <row r="210">
          <cell r="B210" t="str">
            <v>INSURANCE</v>
          </cell>
          <cell r="C210">
            <v>1290</v>
          </cell>
          <cell r="D210">
            <v>1</v>
          </cell>
          <cell r="E210">
            <v>12271</v>
          </cell>
        </row>
        <row r="211">
          <cell r="B211" t="str">
            <v>INSURANCE</v>
          </cell>
          <cell r="C211">
            <v>1290</v>
          </cell>
          <cell r="D211">
            <v>2</v>
          </cell>
          <cell r="E211">
            <v>0</v>
          </cell>
        </row>
        <row r="212">
          <cell r="B212" t="str">
            <v>INSURANCE</v>
          </cell>
          <cell r="C212">
            <v>1290</v>
          </cell>
          <cell r="D212">
            <v>3</v>
          </cell>
          <cell r="E212">
            <v>1304.06</v>
          </cell>
        </row>
        <row r="213">
          <cell r="B213" t="str">
            <v>INSURANCE</v>
          </cell>
          <cell r="C213">
            <v>1290</v>
          </cell>
          <cell r="D213">
            <v>4</v>
          </cell>
          <cell r="E213">
            <v>72702.66</v>
          </cell>
        </row>
        <row r="214">
          <cell r="B214" t="str">
            <v>INSURANCE</v>
          </cell>
          <cell r="C214">
            <v>1290</v>
          </cell>
          <cell r="D214">
            <v>5</v>
          </cell>
          <cell r="E214">
            <v>15804.8</v>
          </cell>
        </row>
        <row r="215">
          <cell r="B215" t="str">
            <v>INSURANCE</v>
          </cell>
          <cell r="C215">
            <v>1290</v>
          </cell>
          <cell r="D215">
            <v>6</v>
          </cell>
          <cell r="E215">
            <v>0</v>
          </cell>
        </row>
        <row r="216">
          <cell r="B216" t="str">
            <v>INSURANCE</v>
          </cell>
          <cell r="C216">
            <v>1290</v>
          </cell>
          <cell r="D216">
            <v>7</v>
          </cell>
          <cell r="E216">
            <v>0</v>
          </cell>
        </row>
        <row r="217">
          <cell r="B217" t="str">
            <v>INSURANCE</v>
          </cell>
          <cell r="C217">
            <v>1290</v>
          </cell>
          <cell r="D217">
            <v>8</v>
          </cell>
          <cell r="E217">
            <v>0</v>
          </cell>
        </row>
        <row r="218">
          <cell r="B218" t="str">
            <v>INSURANCE</v>
          </cell>
          <cell r="C218">
            <v>1290</v>
          </cell>
          <cell r="D218">
            <v>9</v>
          </cell>
          <cell r="E218">
            <v>6520.3</v>
          </cell>
        </row>
        <row r="219">
          <cell r="B219" t="str">
            <v>INSURANCE</v>
          </cell>
          <cell r="C219">
            <v>1290</v>
          </cell>
          <cell r="D219">
            <v>10</v>
          </cell>
          <cell r="E219">
            <v>0</v>
          </cell>
        </row>
        <row r="220">
          <cell r="B220" t="str">
            <v>INSURANCE</v>
          </cell>
          <cell r="C220">
            <v>1290</v>
          </cell>
          <cell r="D220">
            <v>11</v>
          </cell>
          <cell r="E220">
            <v>2430.14</v>
          </cell>
        </row>
        <row r="221">
          <cell r="B221" t="str">
            <v>SUPPLIES PURCHASED</v>
          </cell>
          <cell r="C221">
            <v>1301</v>
          </cell>
          <cell r="D221">
            <v>1</v>
          </cell>
          <cell r="E221">
            <v>4774.97</v>
          </cell>
        </row>
        <row r="222">
          <cell r="B222" t="str">
            <v>SUPPLIES PURCHASED</v>
          </cell>
          <cell r="C222">
            <v>1301</v>
          </cell>
          <cell r="D222">
            <v>2</v>
          </cell>
          <cell r="E222">
            <v>217427.05</v>
          </cell>
        </row>
        <row r="223">
          <cell r="B223" t="str">
            <v>SUPPLIES PURCHASED</v>
          </cell>
          <cell r="C223">
            <v>1301</v>
          </cell>
          <cell r="D223">
            <v>3</v>
          </cell>
          <cell r="E223">
            <v>25215.86</v>
          </cell>
        </row>
        <row r="224">
          <cell r="B224" t="str">
            <v>SUPPLIES PURCHASED</v>
          </cell>
          <cell r="C224">
            <v>1301</v>
          </cell>
          <cell r="D224">
            <v>4</v>
          </cell>
          <cell r="E224">
            <v>127567.28</v>
          </cell>
        </row>
        <row r="225">
          <cell r="B225" t="str">
            <v>SUPPLIES PURCHASED</v>
          </cell>
          <cell r="C225">
            <v>1301</v>
          </cell>
          <cell r="D225">
            <v>5</v>
          </cell>
          <cell r="E225">
            <v>8090.59</v>
          </cell>
        </row>
        <row r="226">
          <cell r="B226" t="str">
            <v>SUPPLIES PURCHASED</v>
          </cell>
          <cell r="C226">
            <v>1301</v>
          </cell>
          <cell r="D226">
            <v>6</v>
          </cell>
          <cell r="E226">
            <v>0</v>
          </cell>
        </row>
        <row r="227">
          <cell r="B227" t="str">
            <v>SUPPLIES PURCHASED</v>
          </cell>
          <cell r="C227">
            <v>1301</v>
          </cell>
          <cell r="D227">
            <v>7</v>
          </cell>
          <cell r="E227">
            <v>0</v>
          </cell>
        </row>
        <row r="228">
          <cell r="B228" t="str">
            <v>SUPPLIES PURCHASED</v>
          </cell>
          <cell r="C228">
            <v>1301</v>
          </cell>
          <cell r="D228">
            <v>8</v>
          </cell>
          <cell r="E228">
            <v>258953.06</v>
          </cell>
        </row>
        <row r="229">
          <cell r="B229" t="str">
            <v>SUPPLIES PURCHASED</v>
          </cell>
          <cell r="C229">
            <v>1301</v>
          </cell>
          <cell r="D229">
            <v>9</v>
          </cell>
          <cell r="E229">
            <v>33680.06</v>
          </cell>
        </row>
        <row r="230">
          <cell r="B230" t="str">
            <v>SUPPLIES PURCHASED</v>
          </cell>
          <cell r="C230">
            <v>1301</v>
          </cell>
          <cell r="D230">
            <v>11</v>
          </cell>
          <cell r="E230">
            <v>1921.86</v>
          </cell>
        </row>
        <row r="231">
          <cell r="B231" t="str">
            <v>SUPPLIES PURCHASED</v>
          </cell>
          <cell r="C231">
            <v>1303</v>
          </cell>
          <cell r="D231">
            <v>2</v>
          </cell>
          <cell r="E231">
            <v>3158.09</v>
          </cell>
        </row>
        <row r="232">
          <cell r="B232" t="str">
            <v>SUPPLIES PURCHASED</v>
          </cell>
          <cell r="C232">
            <v>1304</v>
          </cell>
          <cell r="D232">
            <v>2</v>
          </cell>
          <cell r="E232">
            <v>11703.64</v>
          </cell>
        </row>
        <row r="233">
          <cell r="B233" t="str">
            <v>SUPPLIES PURCHASED</v>
          </cell>
          <cell r="C233">
            <v>1304</v>
          </cell>
          <cell r="D233">
            <v>4</v>
          </cell>
          <cell r="E233">
            <v>2000</v>
          </cell>
        </row>
        <row r="234">
          <cell r="B234" t="str">
            <v>SUPPLIES PURCHASED</v>
          </cell>
          <cell r="C234">
            <v>1304</v>
          </cell>
          <cell r="D234">
            <v>8</v>
          </cell>
          <cell r="E234">
            <v>288.18</v>
          </cell>
        </row>
        <row r="235">
          <cell r="B235" t="str">
            <v>SUPPLIES PURCHASED</v>
          </cell>
          <cell r="C235">
            <v>1305</v>
          </cell>
          <cell r="D235">
            <v>2</v>
          </cell>
          <cell r="E235">
            <v>0</v>
          </cell>
        </row>
        <row r="236">
          <cell r="B236" t="str">
            <v>SUPPLIES PURCHASED</v>
          </cell>
          <cell r="C236">
            <v>1305</v>
          </cell>
          <cell r="D236">
            <v>11</v>
          </cell>
          <cell r="E236">
            <v>1662.12</v>
          </cell>
        </row>
        <row r="237">
          <cell r="B237" t="str">
            <v>OFFICE &amp; OTHER SERV.</v>
          </cell>
          <cell r="C237">
            <v>1310</v>
          </cell>
          <cell r="D237">
            <v>1</v>
          </cell>
          <cell r="E237">
            <v>-30.66</v>
          </cell>
        </row>
        <row r="238">
          <cell r="B238" t="str">
            <v>OFFICE &amp; OTHER SERV.</v>
          </cell>
          <cell r="C238">
            <v>1310</v>
          </cell>
          <cell r="D238">
            <v>2</v>
          </cell>
          <cell r="E238">
            <v>687623.63</v>
          </cell>
        </row>
        <row r="239">
          <cell r="B239" t="str">
            <v>OFFICE &amp; OTHER SERV.</v>
          </cell>
          <cell r="C239">
            <v>1310</v>
          </cell>
          <cell r="D239">
            <v>3</v>
          </cell>
          <cell r="E239">
            <v>0</v>
          </cell>
        </row>
        <row r="240">
          <cell r="B240" t="str">
            <v>OFFICE &amp; OTHER SERV.</v>
          </cell>
          <cell r="C240">
            <v>1310</v>
          </cell>
          <cell r="D240">
            <v>4</v>
          </cell>
          <cell r="E240">
            <v>9350.34</v>
          </cell>
        </row>
        <row r="241">
          <cell r="B241" t="str">
            <v>OFFICE &amp; OTHER SERV.</v>
          </cell>
          <cell r="C241">
            <v>1310</v>
          </cell>
          <cell r="D241">
            <v>5</v>
          </cell>
          <cell r="E241">
            <v>0</v>
          </cell>
        </row>
        <row r="242">
          <cell r="B242" t="str">
            <v>OFFICE &amp; OTHER SERV.</v>
          </cell>
          <cell r="C242">
            <v>1310</v>
          </cell>
          <cell r="D242">
            <v>6</v>
          </cell>
          <cell r="E242">
            <v>0</v>
          </cell>
        </row>
        <row r="243">
          <cell r="B243" t="str">
            <v>OFFICE &amp; OTHER SERV.</v>
          </cell>
          <cell r="C243">
            <v>1310</v>
          </cell>
          <cell r="D243">
            <v>7</v>
          </cell>
          <cell r="E243">
            <v>0</v>
          </cell>
        </row>
        <row r="244">
          <cell r="B244" t="str">
            <v>OFFICE &amp; OTHER SERV.</v>
          </cell>
          <cell r="C244">
            <v>1310</v>
          </cell>
          <cell r="D244">
            <v>8</v>
          </cell>
          <cell r="E244">
            <v>-4100.82</v>
          </cell>
        </row>
        <row r="245">
          <cell r="B245" t="str">
            <v>OFFICE &amp; OTHER SERV.</v>
          </cell>
          <cell r="C245">
            <v>1310</v>
          </cell>
          <cell r="D245">
            <v>9</v>
          </cell>
          <cell r="E245">
            <v>20063.5</v>
          </cell>
        </row>
        <row r="246">
          <cell r="B246" t="str">
            <v>OFFICE &amp; OTHER SERV.</v>
          </cell>
          <cell r="C246">
            <v>1311</v>
          </cell>
          <cell r="D246">
            <v>2</v>
          </cell>
          <cell r="E246">
            <v>657521.13</v>
          </cell>
        </row>
        <row r="247">
          <cell r="B247" t="str">
            <v>OFFICE &amp; OTHER SERV.</v>
          </cell>
          <cell r="C247">
            <v>1311</v>
          </cell>
          <cell r="D247">
            <v>2</v>
          </cell>
          <cell r="E247">
            <v>0</v>
          </cell>
        </row>
        <row r="248">
          <cell r="B248" t="str">
            <v>OFFICE &amp; OTHER SERV.</v>
          </cell>
          <cell r="C248">
            <v>1366</v>
          </cell>
          <cell r="D248">
            <v>2</v>
          </cell>
          <cell r="E248">
            <v>181194.33</v>
          </cell>
        </row>
        <row r="249">
          <cell r="B249" t="str">
            <v>TEL., TEL. &amp; POST.</v>
          </cell>
          <cell r="C249">
            <v>1315</v>
          </cell>
          <cell r="D249">
            <v>1</v>
          </cell>
          <cell r="E249">
            <v>34731.74</v>
          </cell>
        </row>
        <row r="250">
          <cell r="B250" t="str">
            <v>TEL., TEL. &amp; POST.</v>
          </cell>
          <cell r="C250">
            <v>1315</v>
          </cell>
          <cell r="D250">
            <v>2</v>
          </cell>
          <cell r="E250">
            <v>189185.71</v>
          </cell>
        </row>
        <row r="251">
          <cell r="B251" t="str">
            <v>TEL., TEL. &amp; POST.</v>
          </cell>
          <cell r="C251">
            <v>1315</v>
          </cell>
          <cell r="D251">
            <v>3</v>
          </cell>
          <cell r="E251">
            <v>15118.44</v>
          </cell>
        </row>
        <row r="252">
          <cell r="B252" t="str">
            <v>TEL., TEL. &amp; POST.</v>
          </cell>
          <cell r="C252">
            <v>1315</v>
          </cell>
          <cell r="D252">
            <v>4</v>
          </cell>
          <cell r="E252">
            <v>4548.99</v>
          </cell>
        </row>
        <row r="253">
          <cell r="B253" t="str">
            <v>TEL., TEL. &amp; POST.</v>
          </cell>
          <cell r="C253">
            <v>1315</v>
          </cell>
          <cell r="D253">
            <v>5</v>
          </cell>
          <cell r="E253">
            <v>10242.68</v>
          </cell>
        </row>
        <row r="254">
          <cell r="B254" t="str">
            <v>TEL., TEL. &amp; POST.</v>
          </cell>
          <cell r="C254">
            <v>1315</v>
          </cell>
          <cell r="D254">
            <v>8</v>
          </cell>
          <cell r="E254">
            <v>20408.25</v>
          </cell>
        </row>
        <row r="255">
          <cell r="B255" t="str">
            <v>TEL., TEL. &amp; POST.</v>
          </cell>
          <cell r="C255">
            <v>1315</v>
          </cell>
          <cell r="D255">
            <v>9</v>
          </cell>
          <cell r="E255">
            <v>0</v>
          </cell>
        </row>
        <row r="256">
          <cell r="B256" t="str">
            <v>TEL., TEL. &amp; POST.</v>
          </cell>
          <cell r="C256">
            <v>1315</v>
          </cell>
          <cell r="D256">
            <v>10</v>
          </cell>
          <cell r="E256">
            <v>0</v>
          </cell>
        </row>
        <row r="257">
          <cell r="B257" t="str">
            <v>TEL., TEL. &amp; POST.</v>
          </cell>
          <cell r="C257">
            <v>1315</v>
          </cell>
          <cell r="D257">
            <v>11</v>
          </cell>
          <cell r="E257">
            <v>11393.5</v>
          </cell>
        </row>
        <row r="258">
          <cell r="B258" t="str">
            <v>LIGHT, POWER &amp; WATER</v>
          </cell>
          <cell r="C258">
            <v>1320</v>
          </cell>
          <cell r="D258">
            <v>1</v>
          </cell>
          <cell r="E258">
            <v>0</v>
          </cell>
        </row>
        <row r="259">
          <cell r="B259" t="str">
            <v>LIGHT, POWER &amp; WATER</v>
          </cell>
          <cell r="C259">
            <v>1320</v>
          </cell>
          <cell r="D259">
            <v>2</v>
          </cell>
          <cell r="E259">
            <v>496059.83</v>
          </cell>
        </row>
        <row r="260">
          <cell r="B260" t="str">
            <v>LIGHT, POWER &amp; WATER</v>
          </cell>
          <cell r="C260">
            <v>1320</v>
          </cell>
          <cell r="D260">
            <v>3</v>
          </cell>
          <cell r="E260">
            <v>0</v>
          </cell>
        </row>
        <row r="261">
          <cell r="B261" t="str">
            <v>LIGHT, POWER &amp; WATER</v>
          </cell>
          <cell r="C261">
            <v>1320</v>
          </cell>
          <cell r="D261">
            <v>4</v>
          </cell>
          <cell r="E261">
            <v>0</v>
          </cell>
        </row>
        <row r="262">
          <cell r="B262" t="str">
            <v>LIGHT, POWER &amp; WATER</v>
          </cell>
          <cell r="C262">
            <v>1320</v>
          </cell>
          <cell r="D262">
            <v>8</v>
          </cell>
          <cell r="E262">
            <v>0</v>
          </cell>
        </row>
        <row r="263">
          <cell r="B263" t="str">
            <v>RENTALS</v>
          </cell>
          <cell r="C263">
            <v>1330</v>
          </cell>
          <cell r="D263">
            <v>1</v>
          </cell>
          <cell r="E263">
            <v>89015.56</v>
          </cell>
        </row>
        <row r="264">
          <cell r="B264" t="str">
            <v>RENTALS</v>
          </cell>
          <cell r="C264">
            <v>1330</v>
          </cell>
          <cell r="D264">
            <v>2</v>
          </cell>
          <cell r="E264">
            <v>585343.94999999995</v>
          </cell>
        </row>
        <row r="265">
          <cell r="B265" t="str">
            <v>RENTALS</v>
          </cell>
          <cell r="C265">
            <v>1330</v>
          </cell>
          <cell r="D265">
            <v>3</v>
          </cell>
          <cell r="E265">
            <v>179252.91</v>
          </cell>
        </row>
        <row r="266">
          <cell r="B266" t="str">
            <v>RENTALS</v>
          </cell>
          <cell r="C266">
            <v>1330</v>
          </cell>
          <cell r="D266">
            <v>4</v>
          </cell>
          <cell r="E266">
            <v>217491.71</v>
          </cell>
        </row>
        <row r="267">
          <cell r="B267" t="str">
            <v>RENTALS</v>
          </cell>
          <cell r="C267">
            <v>1330</v>
          </cell>
          <cell r="D267">
            <v>5</v>
          </cell>
          <cell r="E267">
            <v>28990.23</v>
          </cell>
        </row>
        <row r="268">
          <cell r="B268" t="str">
            <v>RENTALS</v>
          </cell>
          <cell r="C268">
            <v>1330</v>
          </cell>
          <cell r="D268">
            <v>8</v>
          </cell>
          <cell r="E268">
            <v>360442.86</v>
          </cell>
        </row>
        <row r="269">
          <cell r="B269" t="str">
            <v>RENTALS</v>
          </cell>
          <cell r="C269">
            <v>1330</v>
          </cell>
          <cell r="D269">
            <v>9</v>
          </cell>
          <cell r="E269">
            <v>182762.93</v>
          </cell>
        </row>
        <row r="270">
          <cell r="B270" t="str">
            <v>RENTALS</v>
          </cell>
          <cell r="C270">
            <v>1330</v>
          </cell>
          <cell r="D270">
            <v>11</v>
          </cell>
          <cell r="E270">
            <v>36270.28</v>
          </cell>
        </row>
        <row r="271">
          <cell r="B271" t="str">
            <v>FUEL AND LUBRICANTS</v>
          </cell>
          <cell r="C271">
            <v>1340</v>
          </cell>
          <cell r="D271">
            <v>8</v>
          </cell>
          <cell r="E271">
            <v>0</v>
          </cell>
        </row>
        <row r="272">
          <cell r="B272" t="str">
            <v>PROJECT DEV'T.</v>
          </cell>
          <cell r="C272">
            <v>1350</v>
          </cell>
          <cell r="D272">
            <v>5</v>
          </cell>
          <cell r="E272">
            <v>60123.14</v>
          </cell>
        </row>
        <row r="273">
          <cell r="B273" t="str">
            <v>PROJECT DEV'T.</v>
          </cell>
          <cell r="C273">
            <v>1350</v>
          </cell>
          <cell r="D273">
            <v>8</v>
          </cell>
          <cell r="E273">
            <v>0</v>
          </cell>
        </row>
        <row r="274">
          <cell r="B274" t="str">
            <v>PROJECT DEV'T.</v>
          </cell>
          <cell r="C274">
            <v>1350</v>
          </cell>
          <cell r="D274">
            <v>11</v>
          </cell>
          <cell r="E274">
            <v>21731.71</v>
          </cell>
        </row>
        <row r="275">
          <cell r="B275" t="str">
            <v>DEPRECIATION</v>
          </cell>
          <cell r="C275">
            <v>1360</v>
          </cell>
          <cell r="D275">
            <v>1</v>
          </cell>
          <cell r="E275">
            <v>110676.28</v>
          </cell>
        </row>
        <row r="276">
          <cell r="B276" t="str">
            <v>DEPRECIATION</v>
          </cell>
          <cell r="C276">
            <v>1360</v>
          </cell>
          <cell r="D276">
            <v>2</v>
          </cell>
          <cell r="E276">
            <v>169336.21</v>
          </cell>
        </row>
        <row r="277">
          <cell r="B277" t="str">
            <v>DEPRECIATION</v>
          </cell>
          <cell r="C277">
            <v>1360</v>
          </cell>
          <cell r="D277">
            <v>3</v>
          </cell>
          <cell r="E277">
            <v>40376.03</v>
          </cell>
        </row>
        <row r="278">
          <cell r="B278" t="str">
            <v>DEPRECIATION</v>
          </cell>
          <cell r="C278">
            <v>1360</v>
          </cell>
          <cell r="D278">
            <v>4</v>
          </cell>
          <cell r="E278">
            <v>495601.4</v>
          </cell>
        </row>
        <row r="279">
          <cell r="B279" t="str">
            <v>DEPRECIATION</v>
          </cell>
          <cell r="C279">
            <v>1360</v>
          </cell>
          <cell r="D279">
            <v>5</v>
          </cell>
          <cell r="E279">
            <v>10416.66</v>
          </cell>
        </row>
        <row r="280">
          <cell r="B280" t="str">
            <v>DEPRECIATION</v>
          </cell>
          <cell r="C280">
            <v>1360</v>
          </cell>
          <cell r="D280">
            <v>8</v>
          </cell>
          <cell r="E280">
            <v>638481.79</v>
          </cell>
        </row>
        <row r="281">
          <cell r="B281" t="str">
            <v>DEPRECIATION</v>
          </cell>
          <cell r="C281">
            <v>1360</v>
          </cell>
          <cell r="D281">
            <v>9</v>
          </cell>
          <cell r="E281">
            <v>507998.91</v>
          </cell>
        </row>
        <row r="282">
          <cell r="B282" t="str">
            <v>DEPRECIATION</v>
          </cell>
          <cell r="C282">
            <v>1360</v>
          </cell>
          <cell r="D282">
            <v>11</v>
          </cell>
          <cell r="E282">
            <v>88290.880000000005</v>
          </cell>
        </row>
        <row r="283">
          <cell r="B283" t="str">
            <v>INT.&amp; OTHER FINANCING CHARGES</v>
          </cell>
          <cell r="C283">
            <v>1375</v>
          </cell>
          <cell r="D283">
            <v>9</v>
          </cell>
          <cell r="E283">
            <v>14449.82</v>
          </cell>
        </row>
        <row r="284">
          <cell r="B284" t="str">
            <v>MISCELLANEOUS EXP.</v>
          </cell>
          <cell r="C284">
            <v>1380</v>
          </cell>
          <cell r="D284">
            <v>1</v>
          </cell>
          <cell r="E284">
            <v>1530</v>
          </cell>
        </row>
        <row r="285">
          <cell r="B285" t="str">
            <v>MISCELLANEOUS EXP.</v>
          </cell>
          <cell r="C285">
            <v>1380</v>
          </cell>
          <cell r="D285">
            <v>2</v>
          </cell>
          <cell r="E285">
            <v>3346.11</v>
          </cell>
        </row>
        <row r="286">
          <cell r="B286" t="str">
            <v>MISCELLANEOUS EXP.</v>
          </cell>
          <cell r="C286">
            <v>1380</v>
          </cell>
          <cell r="D286">
            <v>3</v>
          </cell>
          <cell r="E286">
            <v>2705.91</v>
          </cell>
        </row>
        <row r="287">
          <cell r="B287" t="str">
            <v>MISCELLANEOUS EXP.</v>
          </cell>
          <cell r="C287">
            <v>1380</v>
          </cell>
          <cell r="D287">
            <v>4</v>
          </cell>
          <cell r="E287">
            <v>10529.2</v>
          </cell>
        </row>
        <row r="288">
          <cell r="B288" t="str">
            <v>MISCELLANEOUS EXP.</v>
          </cell>
          <cell r="C288">
            <v>1380</v>
          </cell>
          <cell r="D288">
            <v>5</v>
          </cell>
          <cell r="E288">
            <v>0</v>
          </cell>
        </row>
        <row r="289">
          <cell r="B289" t="str">
            <v>MISCELLANEOUS EXP.</v>
          </cell>
          <cell r="C289">
            <v>1380</v>
          </cell>
          <cell r="D289">
            <v>6</v>
          </cell>
          <cell r="E289">
            <v>-36.96</v>
          </cell>
        </row>
        <row r="290">
          <cell r="B290" t="str">
            <v>MISCELLANEOUS EXP.</v>
          </cell>
          <cell r="C290">
            <v>1380</v>
          </cell>
          <cell r="D290">
            <v>7</v>
          </cell>
          <cell r="E290">
            <v>1120.01</v>
          </cell>
        </row>
        <row r="291">
          <cell r="B291" t="str">
            <v>MISCELLANEOUS EXP.</v>
          </cell>
          <cell r="C291">
            <v>1380</v>
          </cell>
          <cell r="D291">
            <v>8</v>
          </cell>
          <cell r="E291">
            <v>12178.45</v>
          </cell>
        </row>
        <row r="292">
          <cell r="B292" t="str">
            <v>MISCELLANEOUS EXP.</v>
          </cell>
          <cell r="C292">
            <v>1380</v>
          </cell>
          <cell r="D292">
            <v>9</v>
          </cell>
          <cell r="E292">
            <v>360.36</v>
          </cell>
        </row>
        <row r="293">
          <cell r="B293" t="str">
            <v>MISCELLANEOUS EXP.</v>
          </cell>
          <cell r="C293">
            <v>1380</v>
          </cell>
          <cell r="D293">
            <v>11</v>
          </cell>
          <cell r="E293">
            <v>4753</v>
          </cell>
        </row>
        <row r="294">
          <cell r="B294" t="str">
            <v>MEDICAL EXPENSES</v>
          </cell>
          <cell r="C294">
            <v>1390</v>
          </cell>
          <cell r="D294">
            <v>2</v>
          </cell>
          <cell r="E294">
            <v>18679.099999999999</v>
          </cell>
        </row>
        <row r="295">
          <cell r="B295" t="str">
            <v>MEDICAL EXPENSES</v>
          </cell>
          <cell r="C295">
            <v>1390</v>
          </cell>
          <cell r="D295">
            <v>3</v>
          </cell>
          <cell r="E295">
            <v>19198.79</v>
          </cell>
        </row>
        <row r="296">
          <cell r="B296" t="str">
            <v>MEDICAL EXPENSES</v>
          </cell>
          <cell r="C296">
            <v>1390</v>
          </cell>
          <cell r="D296">
            <v>4</v>
          </cell>
          <cell r="E296">
            <v>0</v>
          </cell>
        </row>
        <row r="297">
          <cell r="B297" t="str">
            <v>MEDICAL EXPENSES</v>
          </cell>
          <cell r="C297">
            <v>1390</v>
          </cell>
          <cell r="D297">
            <v>6</v>
          </cell>
          <cell r="E297">
            <v>0</v>
          </cell>
        </row>
        <row r="298">
          <cell r="A298" t="str">
            <v xml:space="preserve"> </v>
          </cell>
          <cell r="B298" t="str">
            <v>MEDICAL EXPENSES</v>
          </cell>
          <cell r="C298">
            <v>1390</v>
          </cell>
          <cell r="D298">
            <v>8</v>
          </cell>
          <cell r="E298">
            <v>0</v>
          </cell>
        </row>
        <row r="299">
          <cell r="A299" t="str">
            <v xml:space="preserve"> </v>
          </cell>
          <cell r="B299" t="str">
            <v>MEDICAL EXPENSES</v>
          </cell>
          <cell r="C299">
            <v>1390</v>
          </cell>
          <cell r="D299">
            <v>9</v>
          </cell>
          <cell r="E299">
            <v>0</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loans"/>
      <sheetName val="summary"/>
    </sheetNames>
    <sheetDataSet>
      <sheetData sheetId="0" refreshError="1">
        <row r="7">
          <cell r="D7">
            <v>0</v>
          </cell>
        </row>
        <row r="8">
          <cell r="D8" t="str">
            <v>Board of Directors</v>
          </cell>
        </row>
        <row r="9">
          <cell r="D9" t="str">
            <v>Board of Directors</v>
          </cell>
        </row>
        <row r="10">
          <cell r="D10" t="str">
            <v>OCEO</v>
          </cell>
        </row>
        <row r="11">
          <cell r="D11" t="str">
            <v>OCOO</v>
          </cell>
        </row>
        <row r="12">
          <cell r="D12" t="str">
            <v>OCOO</v>
          </cell>
        </row>
        <row r="13">
          <cell r="D13" t="str">
            <v>OCOO</v>
          </cell>
        </row>
        <row r="14">
          <cell r="D14" t="str">
            <v>OCRO</v>
          </cell>
        </row>
        <row r="15">
          <cell r="D15" t="str">
            <v>OCRO</v>
          </cell>
        </row>
        <row r="16">
          <cell r="D16" t="str">
            <v>OCRO</v>
          </cell>
        </row>
        <row r="17">
          <cell r="D17" t="str">
            <v>OCRO</v>
          </cell>
        </row>
        <row r="18">
          <cell r="D18" t="str">
            <v>OCRO</v>
          </cell>
        </row>
        <row r="19">
          <cell r="D19" t="str">
            <v>OCRO</v>
          </cell>
        </row>
        <row r="20">
          <cell r="D20" t="str">
            <v>OCRO</v>
          </cell>
        </row>
        <row r="21">
          <cell r="D21" t="str">
            <v>OCRO</v>
          </cell>
        </row>
        <row r="22">
          <cell r="D22" t="str">
            <v>OCFO</v>
          </cell>
        </row>
        <row r="23">
          <cell r="D23" t="str">
            <v>OCFO</v>
          </cell>
        </row>
        <row r="24">
          <cell r="D24" t="str">
            <v>OCFO</v>
          </cell>
        </row>
        <row r="25">
          <cell r="D25" t="str">
            <v>OCFO</v>
          </cell>
        </row>
        <row r="26">
          <cell r="D26" t="str">
            <v>OCFO</v>
          </cell>
        </row>
        <row r="27">
          <cell r="D27" t="str">
            <v>OCFO</v>
          </cell>
        </row>
        <row r="28">
          <cell r="D28" t="str">
            <v>OCFO</v>
          </cell>
        </row>
        <row r="29">
          <cell r="D29" t="str">
            <v>OCMO</v>
          </cell>
        </row>
        <row r="30">
          <cell r="D30" t="str">
            <v>OCMO</v>
          </cell>
        </row>
        <row r="31">
          <cell r="D31" t="str">
            <v>OCMO</v>
          </cell>
        </row>
        <row r="32">
          <cell r="D32" t="str">
            <v>OCMO</v>
          </cell>
        </row>
        <row r="33">
          <cell r="D33" t="str">
            <v>OCMO</v>
          </cell>
        </row>
        <row r="34">
          <cell r="D34" t="str">
            <v>OCMO</v>
          </cell>
        </row>
        <row r="35">
          <cell r="D35" t="str">
            <v>Leisure &amp; Resorts (Common)</v>
          </cell>
        </row>
        <row r="36">
          <cell r="D36" t="str">
            <v>Leisure &amp; Resorts (Common)</v>
          </cell>
        </row>
        <row r="37">
          <cell r="D37" t="str">
            <v>Leisure &amp; Resorts (Common)</v>
          </cell>
        </row>
        <row r="38">
          <cell r="D38" t="str">
            <v>Peninsula de Punta Fuego</v>
          </cell>
        </row>
        <row r="39">
          <cell r="D39" t="str">
            <v>Amara en Terrazas</v>
          </cell>
        </row>
        <row r="40">
          <cell r="D40" t="str">
            <v>Amara en Terrazas</v>
          </cell>
        </row>
        <row r="41">
          <cell r="D41" t="str">
            <v>Amara en Terrazas</v>
          </cell>
        </row>
        <row r="42">
          <cell r="D42" t="str">
            <v>Terrazas de Punta Fuego</v>
          </cell>
        </row>
        <row r="43">
          <cell r="D43" t="str">
            <v>Terrazas de Punta Fuego</v>
          </cell>
        </row>
        <row r="44">
          <cell r="D44" t="str">
            <v>Terrazas de Punta Fuego</v>
          </cell>
        </row>
        <row r="45">
          <cell r="D45" t="str">
            <v>Playa Calatagan Residential</v>
          </cell>
        </row>
        <row r="46">
          <cell r="D46" t="str">
            <v>Playa Calatagan Residential</v>
          </cell>
        </row>
        <row r="47">
          <cell r="D47" t="str">
            <v>Playa Calatagan Residential</v>
          </cell>
        </row>
        <row r="48">
          <cell r="D48" t="str">
            <v>Playa Calatagan Commercial</v>
          </cell>
        </row>
        <row r="49">
          <cell r="D49" t="str">
            <v>Playa Calatagan Commercial</v>
          </cell>
        </row>
        <row r="50">
          <cell r="D50" t="str">
            <v>Playa Calatagan Commercial</v>
          </cell>
        </row>
        <row r="51">
          <cell r="D51" t="str">
            <v>Club Punta Fuego Shares</v>
          </cell>
        </row>
        <row r="52">
          <cell r="D52" t="str">
            <v>Club Punta Fuego Shares</v>
          </cell>
        </row>
        <row r="53">
          <cell r="D53" t="str">
            <v>Leisure Farms</v>
          </cell>
        </row>
        <row r="54">
          <cell r="D54" t="str">
            <v>Leisure Farms</v>
          </cell>
        </row>
        <row r="55">
          <cell r="D55" t="str">
            <v>Leisure Farms</v>
          </cell>
        </row>
        <row r="56">
          <cell r="D56" t="str">
            <v>Leisure Farms</v>
          </cell>
        </row>
        <row r="57">
          <cell r="D57" t="str">
            <v>Ponderosa Leisure Farms</v>
          </cell>
        </row>
        <row r="58">
          <cell r="D58" t="str">
            <v>Ponderosa Leisure Farms</v>
          </cell>
        </row>
        <row r="59">
          <cell r="D59" t="str">
            <v>Ponderosa Leisure Farms</v>
          </cell>
        </row>
        <row r="60">
          <cell r="D60" t="str">
            <v>Playa Laiya Residential</v>
          </cell>
        </row>
        <row r="61">
          <cell r="D61" t="str">
            <v>Playa Laiya Residential</v>
          </cell>
        </row>
        <row r="62">
          <cell r="D62" t="str">
            <v>Playa Laiya Residential</v>
          </cell>
        </row>
        <row r="63">
          <cell r="D63" t="str">
            <v>Playa Laiya Commercial</v>
          </cell>
        </row>
        <row r="64">
          <cell r="D64" t="str">
            <v>Playa Laiya Commercial</v>
          </cell>
        </row>
        <row r="65">
          <cell r="D65" t="str">
            <v>Playa Laiya Commercial</v>
          </cell>
        </row>
        <row r="66">
          <cell r="D66" t="str">
            <v>Hacienda Escudero Residential</v>
          </cell>
        </row>
        <row r="67">
          <cell r="D67" t="str">
            <v>Hacienda Escudero Residential</v>
          </cell>
        </row>
        <row r="68">
          <cell r="D68" t="str">
            <v>Hacienda Escudero Residential</v>
          </cell>
        </row>
        <row r="69">
          <cell r="D69" t="str">
            <v>Hacienda Escudero Commercial</v>
          </cell>
        </row>
        <row r="70">
          <cell r="D70" t="str">
            <v>Hacienda Escudero Commercial</v>
          </cell>
        </row>
        <row r="71">
          <cell r="D71" t="str">
            <v>Hacienda Escudero Commercial</v>
          </cell>
        </row>
        <row r="72">
          <cell r="D72" t="str">
            <v>Fuego Hotels</v>
          </cell>
        </row>
        <row r="73">
          <cell r="D73" t="str">
            <v>Leisure Tourism</v>
          </cell>
        </row>
        <row r="74">
          <cell r="D74" t="str">
            <v>Leisure Tourism</v>
          </cell>
        </row>
        <row r="75">
          <cell r="D75" t="str">
            <v>Playa Calatagan Beach Resort</v>
          </cell>
        </row>
        <row r="76">
          <cell r="D76" t="str">
            <v>Playa Calatagan Hotel</v>
          </cell>
        </row>
        <row r="77">
          <cell r="D77" t="str">
            <v>Hacienda Escudero WaterPark</v>
          </cell>
        </row>
        <row r="78">
          <cell r="D78" t="str">
            <v>Hacienda Escudero Agritainment</v>
          </cell>
        </row>
        <row r="79">
          <cell r="D79" t="str">
            <v>Hacienda Escudero Hotel</v>
          </cell>
        </row>
        <row r="80">
          <cell r="D80" t="str">
            <v>Playa Laiya Beach Resort</v>
          </cell>
        </row>
        <row r="81">
          <cell r="D81" t="str">
            <v>Playa Laiya Hotel</v>
          </cell>
        </row>
        <row r="82">
          <cell r="D82" t="str">
            <v>Hometown Communities (Common)</v>
          </cell>
        </row>
        <row r="83">
          <cell r="D83" t="str">
            <v>Hometown Communities (Common)</v>
          </cell>
        </row>
        <row r="84">
          <cell r="D84" t="str">
            <v>Hometown Communities (Common)</v>
          </cell>
        </row>
        <row r="85">
          <cell r="D85" t="str">
            <v>Hometown Communities (Common)</v>
          </cell>
        </row>
        <row r="86">
          <cell r="D86" t="str">
            <v>MonteLago</v>
          </cell>
        </row>
        <row r="87">
          <cell r="D87" t="str">
            <v>MonteLago</v>
          </cell>
        </row>
        <row r="88">
          <cell r="D88" t="str">
            <v>MonteLago</v>
          </cell>
        </row>
        <row r="89">
          <cell r="D89" t="str">
            <v>MonteLago</v>
          </cell>
        </row>
        <row r="90">
          <cell r="D90" t="str">
            <v>MonteLago</v>
          </cell>
        </row>
        <row r="91">
          <cell r="D91" t="str">
            <v>Waterwood</v>
          </cell>
        </row>
        <row r="92">
          <cell r="D92" t="str">
            <v>Waterwood</v>
          </cell>
        </row>
        <row r="93">
          <cell r="D93" t="str">
            <v>Waterwood</v>
          </cell>
        </row>
        <row r="94">
          <cell r="D94" t="str">
            <v>Waterwood</v>
          </cell>
        </row>
        <row r="95">
          <cell r="D95" t="str">
            <v>Waterwood</v>
          </cell>
        </row>
        <row r="96">
          <cell r="D96" t="str">
            <v>Waterwood</v>
          </cell>
        </row>
        <row r="97">
          <cell r="D97" t="str">
            <v>Waterwood</v>
          </cell>
        </row>
        <row r="98">
          <cell r="D98" t="str">
            <v>Woodgroove (San Fernando)</v>
          </cell>
        </row>
        <row r="99">
          <cell r="D99" t="str">
            <v>Woodgroove (San Fernando)</v>
          </cell>
        </row>
        <row r="100">
          <cell r="D100" t="str">
            <v>Woodgroove (San Fernando)</v>
          </cell>
        </row>
        <row r="101">
          <cell r="D101" t="str">
            <v>Woodgroove (San Fernando)</v>
          </cell>
        </row>
        <row r="102">
          <cell r="D102" t="str">
            <v>Woodgroove (San Fernando)</v>
          </cell>
        </row>
        <row r="103">
          <cell r="D103" t="str">
            <v>Zamboanga</v>
          </cell>
        </row>
        <row r="104">
          <cell r="D104" t="str">
            <v>Zamboanga</v>
          </cell>
        </row>
        <row r="105">
          <cell r="D105" t="str">
            <v>Zamboanga</v>
          </cell>
        </row>
        <row r="106">
          <cell r="D106" t="str">
            <v>Zamboanga</v>
          </cell>
        </row>
        <row r="107">
          <cell r="D107" t="str">
            <v>Zamboanga</v>
          </cell>
        </row>
        <row r="108">
          <cell r="D108" t="str">
            <v>Woodside Garden</v>
          </cell>
        </row>
        <row r="109">
          <cell r="D109" t="str">
            <v>Woodside Garden</v>
          </cell>
        </row>
        <row r="110">
          <cell r="D110" t="str">
            <v>Woodside Garden</v>
          </cell>
        </row>
        <row r="111">
          <cell r="D111" t="str">
            <v>Woodside Park</v>
          </cell>
        </row>
        <row r="112">
          <cell r="D112" t="str">
            <v>Woodside Park</v>
          </cell>
        </row>
        <row r="113">
          <cell r="D113" t="str">
            <v>Woodside Park</v>
          </cell>
        </row>
        <row r="114">
          <cell r="D114" t="str">
            <v>Woodside Park</v>
          </cell>
        </row>
        <row r="115">
          <cell r="D115" t="str">
            <v>Woodside Park</v>
          </cell>
        </row>
        <row r="116">
          <cell r="D116" t="str">
            <v>Lakewood</v>
          </cell>
        </row>
        <row r="117">
          <cell r="D117" t="str">
            <v>Lakewood</v>
          </cell>
        </row>
        <row r="118">
          <cell r="D118" t="str">
            <v>Lakewood</v>
          </cell>
        </row>
        <row r="119">
          <cell r="D119" t="str">
            <v xml:space="preserve">Courtyard @ Lakewood </v>
          </cell>
        </row>
        <row r="120">
          <cell r="D120" t="str">
            <v xml:space="preserve">Courtyard @ Lakewood </v>
          </cell>
        </row>
        <row r="121">
          <cell r="D121" t="str">
            <v xml:space="preserve">Courtyard @ Lakewood </v>
          </cell>
        </row>
        <row r="122">
          <cell r="D122" t="str">
            <v xml:space="preserve">Courtyard @ Lakewood </v>
          </cell>
        </row>
        <row r="123">
          <cell r="D123" t="str">
            <v xml:space="preserve">Courtyard @ Lakewood </v>
          </cell>
        </row>
        <row r="124">
          <cell r="D124" t="str">
            <v xml:space="preserve">Courtyard @ Lakewood </v>
          </cell>
        </row>
        <row r="125">
          <cell r="D125" t="str">
            <v>Pacific Heights</v>
          </cell>
        </row>
        <row r="126">
          <cell r="D126" t="str">
            <v>Ridgewood</v>
          </cell>
        </row>
        <row r="127">
          <cell r="D127" t="str">
            <v>Ridgewood</v>
          </cell>
        </row>
        <row r="128">
          <cell r="D128" t="str">
            <v>Urban Communities (Common)</v>
          </cell>
        </row>
        <row r="129">
          <cell r="D129" t="str">
            <v>Urban Communities (Common)</v>
          </cell>
        </row>
        <row r="130">
          <cell r="D130" t="str">
            <v>Urban Communities (Common)</v>
          </cell>
        </row>
        <row r="131">
          <cell r="D131" t="str">
            <v>Urban Communities (Common)</v>
          </cell>
        </row>
        <row r="132">
          <cell r="D132" t="str">
            <v>Tribeca</v>
          </cell>
        </row>
        <row r="133">
          <cell r="D133" t="str">
            <v>Tribeca</v>
          </cell>
        </row>
        <row r="134">
          <cell r="D134" t="str">
            <v>Tribeca</v>
          </cell>
        </row>
        <row r="135">
          <cell r="D135" t="str">
            <v>Tribeca</v>
          </cell>
        </row>
        <row r="136">
          <cell r="D136" t="str">
            <v>Tribeca</v>
          </cell>
        </row>
        <row r="137">
          <cell r="D137" t="str">
            <v>Stonecrest</v>
          </cell>
        </row>
        <row r="138">
          <cell r="D138" t="str">
            <v>Stonecrest</v>
          </cell>
        </row>
        <row r="139">
          <cell r="D139" t="str">
            <v>Stonecrest</v>
          </cell>
        </row>
        <row r="140">
          <cell r="D140" t="str">
            <v>VisMin (Common)</v>
          </cell>
        </row>
        <row r="141">
          <cell r="D141" t="str">
            <v>VisMin (Common)</v>
          </cell>
        </row>
        <row r="142">
          <cell r="D142" t="str">
            <v>VisMin (Common)</v>
          </cell>
        </row>
        <row r="143">
          <cell r="D143" t="str">
            <v>VisMin (Common)</v>
          </cell>
        </row>
        <row r="144">
          <cell r="D144" t="str">
            <v>Monterrazas de Cebu</v>
          </cell>
        </row>
        <row r="145">
          <cell r="D145" t="str">
            <v>Monterrazas de Cebu</v>
          </cell>
        </row>
        <row r="146">
          <cell r="D146" t="str">
            <v>Monterrazas de Cebu</v>
          </cell>
        </row>
        <row r="147">
          <cell r="D147" t="str">
            <v>Monterrazas de Cebu</v>
          </cell>
        </row>
        <row r="148">
          <cell r="D148" t="str">
            <v>Monterrazas de Cebu</v>
          </cell>
        </row>
        <row r="149">
          <cell r="D149" t="str">
            <v>Mall Management (LPCI Common)</v>
          </cell>
        </row>
        <row r="150">
          <cell r="D150" t="str">
            <v>Mall Management (LPCI Common)</v>
          </cell>
        </row>
        <row r="151">
          <cell r="D151" t="str">
            <v>Mall Management (LPCI Common)</v>
          </cell>
        </row>
        <row r="152">
          <cell r="D152" t="str">
            <v>NE Pacific</v>
          </cell>
        </row>
        <row r="153">
          <cell r="D153" t="str">
            <v>PM Lucena</v>
          </cell>
        </row>
        <row r="154">
          <cell r="D154" t="str">
            <v>PM Legazpi</v>
          </cell>
        </row>
        <row r="155">
          <cell r="D155" t="str">
            <v>CBD Legazpi</v>
          </cell>
        </row>
        <row r="156">
          <cell r="D156" t="str">
            <v>LCC Davao</v>
          </cell>
        </row>
        <row r="157">
          <cell r="D157" t="str">
            <v>Forest Lake Management</v>
          </cell>
        </row>
        <row r="158">
          <cell r="D158" t="str">
            <v>Forest Lake Management</v>
          </cell>
        </row>
        <row r="159">
          <cell r="D159" t="str">
            <v>Forest Lake Management</v>
          </cell>
        </row>
        <row r="160">
          <cell r="D160" t="str">
            <v>Forest Lake Management</v>
          </cell>
        </row>
        <row r="161">
          <cell r="D161" t="str">
            <v>Forest Lake Management</v>
          </cell>
        </row>
        <row r="162">
          <cell r="D162" t="str">
            <v>Forest Lake Management</v>
          </cell>
        </row>
        <row r="163">
          <cell r="D163" t="str">
            <v>Forest Lake Management</v>
          </cell>
        </row>
        <row r="164">
          <cell r="D164" t="str">
            <v>Forest Lake Iloilo</v>
          </cell>
        </row>
        <row r="165">
          <cell r="D165" t="str">
            <v>Forest Lake Iloilo</v>
          </cell>
        </row>
        <row r="166">
          <cell r="D166" t="str">
            <v>Forest Lake Iloilo</v>
          </cell>
        </row>
        <row r="167">
          <cell r="D167" t="str">
            <v>Forest Lake Iloilo</v>
          </cell>
        </row>
        <row r="168">
          <cell r="D168" t="str">
            <v>Forest Lake Zambo</v>
          </cell>
        </row>
        <row r="169">
          <cell r="D169" t="str">
            <v>Forest Lake Zambo</v>
          </cell>
        </row>
        <row r="170">
          <cell r="D170" t="str">
            <v>Forest Lake Zambo</v>
          </cell>
        </row>
        <row r="171">
          <cell r="D171" t="str">
            <v>Forest Lake Zambo</v>
          </cell>
        </row>
        <row r="172">
          <cell r="D172" t="str">
            <v>Forest Lake Davao</v>
          </cell>
        </row>
        <row r="173">
          <cell r="D173" t="str">
            <v>Forest Lake Davao</v>
          </cell>
        </row>
        <row r="174">
          <cell r="D174" t="str">
            <v>Forest Lake Davao</v>
          </cell>
        </row>
        <row r="175">
          <cell r="D175" t="str">
            <v>Forest Lake Davao</v>
          </cell>
        </row>
        <row r="176">
          <cell r="D176" t="str">
            <v>Forest Lake San Pedro</v>
          </cell>
        </row>
        <row r="177">
          <cell r="D177" t="str">
            <v>Forest Lake La Union</v>
          </cell>
        </row>
        <row r="178">
          <cell r="D178" t="str">
            <v>Forest Lake La Union</v>
          </cell>
        </row>
        <row r="179">
          <cell r="D179" t="str">
            <v>Forest Lake La Union</v>
          </cell>
        </row>
        <row r="180">
          <cell r="D180" t="str">
            <v>Forest Lake La Union</v>
          </cell>
        </row>
        <row r="181">
          <cell r="D181" t="str">
            <v>Forest Lake CDO</v>
          </cell>
        </row>
        <row r="182">
          <cell r="D182" t="str">
            <v>Forest Lake CDO</v>
          </cell>
        </row>
        <row r="183">
          <cell r="D183" t="str">
            <v>Forest Lake CDO</v>
          </cell>
        </row>
        <row r="184">
          <cell r="D184" t="str">
            <v>Forest Lake CDO</v>
          </cell>
        </row>
        <row r="185">
          <cell r="D185" t="str">
            <v>Forest Lake Binan</v>
          </cell>
        </row>
        <row r="186">
          <cell r="D186" t="str">
            <v>Forest Lake General Santos</v>
          </cell>
        </row>
        <row r="187">
          <cell r="D187" t="str">
            <v>Forest Lake East Zambo</v>
          </cell>
        </row>
        <row r="188">
          <cell r="D188" t="str">
            <v>Forest Lake East Zambo</v>
          </cell>
        </row>
        <row r="189">
          <cell r="D189" t="str">
            <v>Forest Lake East Zambo</v>
          </cell>
        </row>
        <row r="190">
          <cell r="D190" t="str">
            <v>Forest Lake East Zambo</v>
          </cell>
        </row>
      </sheetData>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amp; TOC"/>
      <sheetName val="Assumption Sheet"/>
      <sheetName val="Sales"/>
      <sheetName val="dbase"/>
      <sheetName val="RC list"/>
      <sheetName val="Info_Sheet_&amp;_TOC"/>
      <sheetName val="Assumption_Sheet"/>
      <sheetName val="RC_list"/>
      <sheetName val="E330_Lakeside Fairways"/>
    </sheetNames>
    <sheetDataSet>
      <sheetData sheetId="0" refreshError="1"/>
      <sheetData sheetId="1" refreshError="1"/>
      <sheetData sheetId="2" refreshError="1"/>
      <sheetData sheetId="3" refreshError="1">
        <row r="7">
          <cell r="B7" t="str">
            <v>Jan</v>
          </cell>
        </row>
        <row r="8">
          <cell r="B8" t="str">
            <v>Feb</v>
          </cell>
        </row>
        <row r="9">
          <cell r="B9" t="str">
            <v>Mar</v>
          </cell>
        </row>
        <row r="10">
          <cell r="B10" t="str">
            <v>Apr</v>
          </cell>
        </row>
        <row r="11">
          <cell r="B11" t="str">
            <v>May</v>
          </cell>
        </row>
        <row r="12">
          <cell r="B12" t="str">
            <v>Jun</v>
          </cell>
        </row>
        <row r="13">
          <cell r="B13" t="str">
            <v>Jul</v>
          </cell>
        </row>
        <row r="14">
          <cell r="B14" t="str">
            <v>Aug</v>
          </cell>
        </row>
        <row r="15">
          <cell r="B15" t="str">
            <v>Sep</v>
          </cell>
        </row>
        <row r="16">
          <cell r="B16" t="str">
            <v>Oct</v>
          </cell>
        </row>
        <row r="17">
          <cell r="B17" t="str">
            <v>Nov</v>
          </cell>
        </row>
        <row r="18">
          <cell r="B18" t="str">
            <v>Dec</v>
          </cell>
        </row>
        <row r="22">
          <cell r="B22">
            <v>2007</v>
          </cell>
        </row>
        <row r="23">
          <cell r="B23">
            <v>2008</v>
          </cell>
        </row>
        <row r="24">
          <cell r="B24">
            <v>2009</v>
          </cell>
        </row>
        <row r="25">
          <cell r="B25">
            <v>2010</v>
          </cell>
        </row>
        <row r="26">
          <cell r="B26">
            <v>2011</v>
          </cell>
        </row>
        <row r="27">
          <cell r="B27">
            <v>2012</v>
          </cell>
        </row>
      </sheetData>
      <sheetData sheetId="4" refreshError="1"/>
      <sheetData sheetId="5"/>
      <sheetData sheetId="6"/>
      <sheetData sheetId="7"/>
      <sheetData sheetId="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comp"/>
      <sheetName val="cashflowcomp (2)"/>
      <sheetName val="working papers"/>
      <sheetName val="Interim --&gt; Top"/>
    </sheetNames>
    <sheetDataSet>
      <sheetData sheetId="0">
        <row r="3">
          <cell r="D3" t="str">
            <v>GAS DISTRICT COOLING (PJ) SDN. BHD.</v>
          </cell>
        </row>
        <row r="4">
          <cell r="D4" t="str">
            <v>( Incorporated in Malaysia)</v>
          </cell>
        </row>
        <row r="7">
          <cell r="D7" t="str">
            <v xml:space="preserve"> CASH FLOW STATEMENT </v>
          </cell>
        </row>
        <row r="8">
          <cell r="D8" t="str">
            <v>FOR THE YEAR ENDED 31 MARCH , 2001</v>
          </cell>
        </row>
        <row r="10">
          <cell r="I10" t="str">
            <v>2001</v>
          </cell>
          <cell r="J10" t="str">
            <v>2000</v>
          </cell>
        </row>
        <row r="11">
          <cell r="D11" t="str">
            <v>CASH FLOWS FROM OPERATING ACTIVITIES</v>
          </cell>
          <cell r="I11" t="str">
            <v>RM</v>
          </cell>
          <cell r="J11" t="str">
            <v>RM</v>
          </cell>
        </row>
        <row r="13">
          <cell r="D13" t="str">
            <v>Cash receipts from customers</v>
          </cell>
          <cell r="I13">
            <v>3697160.66</v>
          </cell>
          <cell r="J13">
            <v>716427</v>
          </cell>
        </row>
        <row r="14">
          <cell r="D14" t="str">
            <v>Cash paid to suppliers and employees</v>
          </cell>
          <cell r="I14">
            <v>-21667502.68</v>
          </cell>
          <cell r="J14">
            <v>-5367923</v>
          </cell>
        </row>
        <row r="15">
          <cell r="I15">
            <v>-17970342.02</v>
          </cell>
          <cell r="J15">
            <v>-4651496</v>
          </cell>
        </row>
        <row r="16">
          <cell r="D16" t="str">
            <v>Interest Income from fund investments  (in respect</v>
          </cell>
          <cell r="J16" t="str">
            <v>-</v>
          </cell>
        </row>
        <row r="17">
          <cell r="D17" t="str">
            <v>of operating activities only)</v>
          </cell>
        </row>
        <row r="18">
          <cell r="D18" t="str">
            <v>Interest Expenses(in respect of operating activities only)</v>
          </cell>
        </row>
        <row r="19">
          <cell r="D19" t="str">
            <v>Taxation paid</v>
          </cell>
          <cell r="J19">
            <v>-28700</v>
          </cell>
        </row>
        <row r="21">
          <cell r="D21" t="str">
            <v>Net cash generated from operating activities</v>
          </cell>
          <cell r="I21">
            <v>-17970342.02</v>
          </cell>
          <cell r="J21">
            <v>-4680196</v>
          </cell>
        </row>
        <row r="23">
          <cell r="D23" t="str">
            <v>CASH FLOWS FROM INVESTING ACTIVITIES</v>
          </cell>
        </row>
        <row r="25">
          <cell r="D25" t="str">
            <v>Investment in subsidiary/ies</v>
          </cell>
        </row>
        <row r="26">
          <cell r="D26" t="str">
            <v>Proceeds from partial disposal of investment in subsiadiary/ies</v>
          </cell>
        </row>
        <row r="27">
          <cell r="D27" t="str">
            <v>Interest Income from fund investments</v>
          </cell>
          <cell r="I27">
            <v>10269.969999999999</v>
          </cell>
        </row>
        <row r="28">
          <cell r="D28" t="str">
            <v>Purchase of property, plant and equipment</v>
          </cell>
          <cell r="I28">
            <v>-8539614.5199999996</v>
          </cell>
          <cell r="J28">
            <v>-38429521</v>
          </cell>
        </row>
        <row r="29">
          <cell r="D29" t="str">
            <v>Proceeds from sale of property, plant and equipment</v>
          </cell>
          <cell r="J29" t="str">
            <v>-</v>
          </cell>
        </row>
        <row r="30">
          <cell r="D30" t="str">
            <v>Redemption of loan stocks</v>
          </cell>
          <cell r="J30" t="str">
            <v>-</v>
          </cell>
        </row>
        <row r="31">
          <cell r="D31" t="str">
            <v>Dividends received</v>
          </cell>
          <cell r="J31" t="str">
            <v>-</v>
          </cell>
        </row>
        <row r="32">
          <cell r="D32" t="str">
            <v>Long Term receivables</v>
          </cell>
          <cell r="J32" t="str">
            <v>-</v>
          </cell>
        </row>
        <row r="33">
          <cell r="D33" t="str">
            <v>Investment in Associates</v>
          </cell>
          <cell r="J33" t="str">
            <v>-</v>
          </cell>
        </row>
        <row r="34">
          <cell r="D34" t="str">
            <v>Purchase of other investments</v>
          </cell>
          <cell r="J34" t="str">
            <v>-</v>
          </cell>
        </row>
        <row r="35">
          <cell r="D35" t="str">
            <v>Exp c/f</v>
          </cell>
          <cell r="J35">
            <v>-2961</v>
          </cell>
        </row>
        <row r="37">
          <cell r="D37" t="str">
            <v>Net cash used in investing activities</v>
          </cell>
          <cell r="I37">
            <v>-8529344.5499999989</v>
          </cell>
          <cell r="J37">
            <v>-38432482</v>
          </cell>
        </row>
        <row r="40">
          <cell r="D40" t="str">
            <v>CASH FLOWS FROM FINANCING ACTIVITIES</v>
          </cell>
        </row>
        <row r="42">
          <cell r="D42" t="str">
            <v>Drawdown of Murabahah Note Issuance facilities and</v>
          </cell>
        </row>
        <row r="43">
          <cell r="D43" t="str">
            <v>Al Bai'bithaman Ajil long term facility</v>
          </cell>
        </row>
        <row r="44">
          <cell r="D44" t="str">
            <v xml:space="preserve">Repayment of Murabahah Note Issuance facilities and </v>
          </cell>
        </row>
        <row r="45">
          <cell r="D45" t="str">
            <v>Redeemable Islamic Debt Securities</v>
          </cell>
        </row>
        <row r="46">
          <cell r="D46" t="str">
            <v>Repayment of term loans</v>
          </cell>
        </row>
        <row r="47">
          <cell r="D47" t="str">
            <v>Interest expenses paid</v>
          </cell>
        </row>
        <row r="48">
          <cell r="D48" t="str">
            <v>Drawdown of term loans</v>
          </cell>
        </row>
        <row r="49">
          <cell r="D49" t="str">
            <v>Payment of finance lease /hire purchase liabilities</v>
          </cell>
        </row>
        <row r="50">
          <cell r="D50" t="str">
            <v>Interco Loan Drawdown</v>
          </cell>
          <cell r="I50">
            <v>28740000</v>
          </cell>
          <cell r="J50">
            <v>126262800</v>
          </cell>
        </row>
        <row r="51">
          <cell r="D51" t="str">
            <v>Interco Interest Expense</v>
          </cell>
          <cell r="J51">
            <v>-83231800</v>
          </cell>
        </row>
        <row r="53">
          <cell r="D53" t="str">
            <v>Net cash (used in)/generated from financing activities</v>
          </cell>
          <cell r="I53">
            <v>28740000</v>
          </cell>
          <cell r="J53">
            <v>43031000</v>
          </cell>
        </row>
        <row r="55">
          <cell r="D55" t="str">
            <v>NET INCREASE/(DECREASE) IN CASH AND CASH EQUIVALENTS</v>
          </cell>
          <cell r="I55">
            <v>2240313.4300000034</v>
          </cell>
          <cell r="J55">
            <v>-81678</v>
          </cell>
        </row>
        <row r="56">
          <cell r="D56" t="str">
            <v>CASH AND CASH EQUIVALENTS AT BEGINNING OF THE YEAR</v>
          </cell>
          <cell r="I56">
            <v>87335</v>
          </cell>
          <cell r="J56">
            <v>169013</v>
          </cell>
        </row>
        <row r="57">
          <cell r="I57">
            <v>2327648.4300000034</v>
          </cell>
          <cell r="J57">
            <v>87335</v>
          </cell>
        </row>
        <row r="59">
          <cell r="D59" t="str">
            <v>CASH AND CASH EQUIVALENTS AT END OF THE YEAR</v>
          </cell>
          <cell r="I59">
            <v>2327648.4300000034</v>
          </cell>
          <cell r="J59">
            <v>87335</v>
          </cell>
        </row>
        <row r="62">
          <cell r="D62" t="str">
            <v>CASH AND CASH EQUIVALENTS AT END OF THE YEAR</v>
          </cell>
        </row>
        <row r="64">
          <cell r="D64" t="str">
            <v>Cash and bank balances</v>
          </cell>
          <cell r="I64">
            <v>53648</v>
          </cell>
          <cell r="J64">
            <v>87335</v>
          </cell>
        </row>
        <row r="65">
          <cell r="D65" t="str">
            <v>Deposits</v>
          </cell>
          <cell r="I65">
            <v>2274000</v>
          </cell>
        </row>
        <row r="66">
          <cell r="D66" t="str">
            <v>Bank overdrafts</v>
          </cell>
        </row>
        <row r="67">
          <cell r="I67">
            <v>2327648</v>
          </cell>
          <cell r="J67">
            <v>87335</v>
          </cell>
        </row>
      </sheetData>
      <sheetData sheetId="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XXX0"/>
      <sheetName val="XXX1"/>
      <sheetName val="XXX2"/>
      <sheetName val="opi"/>
      <sheetName val="Sheet1"/>
      <sheetName val="CFREV"/>
      <sheetName val="BS"/>
      <sheetName val="RCFS"/>
      <sheetName val="lapsing"/>
      <sheetName val="guarantee"/>
      <sheetName val="perf"/>
      <sheetName val="surety"/>
      <sheetName val="subcon"/>
      <sheetName val="aging"/>
      <sheetName val="revenue"/>
      <sheetName val="p&amp;l-sstruct"/>
      <sheetName val="p&amp;l-excav"/>
      <sheetName val="p&amp;l-demo"/>
      <sheetName val="p&amp;l-conso"/>
      <sheetName val="dtb"/>
      <sheetName val="afis"/>
      <sheetName val="sl-1"/>
      <sheetName val="gl"/>
      <sheetName val="jv12-adj"/>
      <sheetName val="jv11-adj"/>
      <sheetName val="jv10-adj"/>
      <sheetName val="jv09-accrual"/>
      <sheetName val="jv08-cip"/>
      <sheetName val="jv07-ho"/>
      <sheetName val="jv06-amort"/>
      <sheetName val="jv05-depr"/>
      <sheetName val="jv04-apv"/>
      <sheetName val="jv03-mrr"/>
      <sheetName val="jv02-rev"/>
      <sheetName val="jv01-sa"/>
      <sheetName val="apv"/>
      <sheetName val="mrr"/>
      <sheetName val="input"/>
      <sheetName val="cip"/>
      <sheetName val="ho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LIST"/>
      <sheetName val="TOC"/>
      <sheetName val="BALANCE SHEET"/>
      <sheetName val="Receivables"/>
      <sheetName val="Invty &amp; Real Estate for Sale"/>
      <sheetName val="Due (to) From Related Parties"/>
      <sheetName val="Other Current Assets"/>
      <sheetName val="Investments"/>
      <sheetName val="PPE"/>
      <sheetName val="Investment Properties"/>
      <sheetName val="Other Noncurrent Assets"/>
      <sheetName val="Accrued Expense &amp; Other CL"/>
      <sheetName val="Movements"/>
      <sheetName val="SALES BY STATUS"/>
      <sheetName val="List"/>
      <sheetName val="RC_LIST"/>
      <sheetName val="BALANCE_SHEET"/>
      <sheetName val="Invty_&amp;_Real_Estate_for_Sale"/>
      <sheetName val="Due_(to)_From_Related_Parties"/>
      <sheetName val="Other_Current_Assets"/>
      <sheetName val="Investment_Properties"/>
      <sheetName val="Other_Noncurrent_Assets"/>
      <sheetName val="Accrued_Expense_&amp;_Other_CL"/>
      <sheetName val="SALES_BY_STATUS"/>
      <sheetName val="E1"/>
      <sheetName val="O1"/>
    </sheetNames>
    <sheetDataSet>
      <sheetData sheetId="0" refreshError="1">
        <row r="7">
          <cell r="E7">
            <v>0</v>
          </cell>
        </row>
        <row r="8">
          <cell r="E8" t="str">
            <v>Landco Pacific Corporation</v>
          </cell>
        </row>
        <row r="9">
          <cell r="E9" t="str">
            <v>Landco Pacific Corporation</v>
          </cell>
        </row>
        <row r="10">
          <cell r="E10" t="str">
            <v>Fuego Land Corporation</v>
          </cell>
        </row>
        <row r="11">
          <cell r="E11" t="str">
            <v>Fuego Land Corporation</v>
          </cell>
        </row>
        <row r="12">
          <cell r="E12" t="str">
            <v>Landco Pacific Corporation</v>
          </cell>
        </row>
        <row r="13">
          <cell r="E13" t="str">
            <v>Fuego Development Corporation</v>
          </cell>
        </row>
        <row r="14">
          <cell r="E14" t="str">
            <v>Landco Pacific Corporation</v>
          </cell>
        </row>
        <row r="15">
          <cell r="E15" t="str">
            <v>Leisure Farms Tagaytay, Inc.</v>
          </cell>
        </row>
        <row r="16">
          <cell r="E16" t="str">
            <v>Landco Leisure Development, Inc.</v>
          </cell>
        </row>
        <row r="17">
          <cell r="E17" t="str">
            <v>Landco Pacific Corporation</v>
          </cell>
        </row>
        <row r="18">
          <cell r="E18" t="str">
            <v>Landco Pacific Corporation</v>
          </cell>
        </row>
        <row r="19">
          <cell r="E19" t="str">
            <v>Fuego Hotels &amp; Property Mgmt. Inc.</v>
          </cell>
        </row>
        <row r="20">
          <cell r="E20" t="str">
            <v>Landco Pacific Corporation</v>
          </cell>
        </row>
        <row r="21">
          <cell r="E21" t="str">
            <v>Landco Pacific Corporation</v>
          </cell>
        </row>
        <row r="22">
          <cell r="E22" t="str">
            <v>Landco Pacific Corporation</v>
          </cell>
        </row>
        <row r="23">
          <cell r="E23" t="str">
            <v>Landco Pacific Corporation</v>
          </cell>
        </row>
        <row r="24">
          <cell r="E24" t="str">
            <v>Landco Pacific Corporation</v>
          </cell>
        </row>
        <row r="25">
          <cell r="E25" t="str">
            <v>Landco Pacific Corporation</v>
          </cell>
        </row>
        <row r="26">
          <cell r="E26" t="str">
            <v>Landco Pacific Corporation</v>
          </cell>
        </row>
        <row r="27">
          <cell r="E27" t="str">
            <v>Landco Pacific Corporation</v>
          </cell>
        </row>
        <row r="28">
          <cell r="E28" t="str">
            <v>Landco Pacific Corporation</v>
          </cell>
        </row>
        <row r="29">
          <cell r="E29" t="str">
            <v>Landco Pacific Corporation</v>
          </cell>
        </row>
        <row r="30">
          <cell r="E30" t="str">
            <v>Waterwood Land Incorporated</v>
          </cell>
        </row>
        <row r="31">
          <cell r="E31" t="str">
            <v>Landco Bulacan Properties Inc.</v>
          </cell>
        </row>
        <row r="32">
          <cell r="E32" t="str">
            <v>Landco Pacific Corporation</v>
          </cell>
        </row>
        <row r="33">
          <cell r="E33" t="str">
            <v>Landco Pacific Corporation</v>
          </cell>
        </row>
        <row r="34">
          <cell r="E34" t="str">
            <v>Landco Urdaneta Properties, Inc.</v>
          </cell>
        </row>
        <row r="35">
          <cell r="E35" t="str">
            <v>Landco NE Resources Ventures, Inc.</v>
          </cell>
        </row>
        <row r="36">
          <cell r="E36" t="str">
            <v>Nueva Ecija Land Co., Inc.</v>
          </cell>
        </row>
        <row r="37">
          <cell r="E37" t="str">
            <v>Nueva Ecija Land Co., Inc.</v>
          </cell>
        </row>
        <row r="38">
          <cell r="E38" t="str">
            <v>Landco Pacific Corporation</v>
          </cell>
        </row>
        <row r="39">
          <cell r="E39" t="str">
            <v>First Pacific Cebu Land Co., Inc.</v>
          </cell>
        </row>
        <row r="40">
          <cell r="E40" t="str">
            <v>Landco Pacific Corporation</v>
          </cell>
        </row>
        <row r="41">
          <cell r="E41" t="str">
            <v>Lucena Land Corporation</v>
          </cell>
        </row>
        <row r="42">
          <cell r="E42" t="str">
            <v>Landco Pacific Corporation</v>
          </cell>
        </row>
        <row r="43">
          <cell r="E43" t="str">
            <v>Landco Pacific Corporation</v>
          </cell>
        </row>
        <row r="44">
          <cell r="E44" t="str">
            <v>Landco Pacific Corporation</v>
          </cell>
        </row>
        <row r="45">
          <cell r="E45" t="str">
            <v>Landco Pacific Centers, Inc.</v>
          </cell>
        </row>
        <row r="46">
          <cell r="E46" t="str">
            <v>NE Pacific Shopping Centers Corp.</v>
          </cell>
        </row>
        <row r="47">
          <cell r="E47" t="str">
            <v>Pacific Mall Corporation</v>
          </cell>
        </row>
        <row r="48">
          <cell r="E48" t="str">
            <v>Pacific Mall Corporation</v>
          </cell>
        </row>
        <row r="49">
          <cell r="E49" t="str">
            <v>Landco Pacific Corporation</v>
          </cell>
        </row>
        <row r="50">
          <cell r="E50" t="str">
            <v>Landco Corporate Center, Inc.</v>
          </cell>
        </row>
        <row r="51">
          <cell r="E51" t="str">
            <v>FL Memorial Parks, Inc.</v>
          </cell>
        </row>
        <row r="52">
          <cell r="E52" t="str">
            <v>Forest Lake Development, Inc.</v>
          </cell>
        </row>
        <row r="53">
          <cell r="E53" t="str">
            <v>Forest Lake Development, Inc.</v>
          </cell>
        </row>
        <row r="54">
          <cell r="E54" t="str">
            <v>Forest Lake Development, Inc.</v>
          </cell>
        </row>
        <row r="55">
          <cell r="E55" t="str">
            <v>Forest Lake San Pedro, Inc.</v>
          </cell>
        </row>
        <row r="56">
          <cell r="E56" t="str">
            <v>FL Memorial Parks, Inc.</v>
          </cell>
        </row>
        <row r="57">
          <cell r="E57" t="str">
            <v>FL Memorial Parks, Inc.</v>
          </cell>
        </row>
        <row r="58">
          <cell r="E58" t="str">
            <v>Forest Lake Manila South, Inc.</v>
          </cell>
        </row>
        <row r="59">
          <cell r="E59" t="str">
            <v>Forest Lake General Santos, Inc.</v>
          </cell>
        </row>
        <row r="60">
          <cell r="E60" t="str">
            <v>Zambopark Ventures,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database"/>
      <sheetName val="RC info sheet"/>
      <sheetName val="ToC"/>
      <sheetName val="Proj Specs"/>
      <sheetName val="Pricing"/>
      <sheetName val="Sales Velocity"/>
      <sheetName val="Terms"/>
      <sheetName val="DB.Cash (Def) Open Lots"/>
      <sheetName val="DB.Cash (Def) H&amp;L"/>
      <sheetName val="DB.Install (2) Open Lots"/>
      <sheetName val="Sales Dist (PhP)"/>
      <sheetName val="DB.Mktg (Open Lots)"/>
      <sheetName val="DB.Mktg (H&amp;L)"/>
      <sheetName val="Sales Dist (Units)"/>
      <sheetName val="TCP"/>
      <sheetName val="Cash"/>
      <sheetName val="Cash(Deferred)"/>
      <sheetName val="Installments"/>
      <sheetName val="VAT (Install)"/>
      <sheetName val="VAT (Cash)"/>
      <sheetName val="VAT (Deferred)"/>
      <sheetName val="Install (1)"/>
      <sheetName val="Install (2)"/>
      <sheetName val="Marketing"/>
      <sheetName val="Install (3)"/>
      <sheetName val="Fin Summary"/>
      <sheetName val="DB.Install (1) Open Lots"/>
      <sheetName val="DB.Cash (Spot) H&amp;L"/>
      <sheetName val="DB.Cash (Spot) Open Lots"/>
      <sheetName val="DB.Install (3) Open Lots"/>
      <sheetName val="DB.Install (1) H&amp;L"/>
      <sheetName val="DB.Install (2) H&amp;L"/>
      <sheetName val="DB.Install (3) H&amp;L"/>
      <sheetName val="SALES BY STATUS"/>
      <sheetName val="SALES PER MONTH (2008)"/>
      <sheetName val="dbase"/>
      <sheetName val="RC_database"/>
      <sheetName val="RC_info_sheet"/>
      <sheetName val="Proj_Specs"/>
      <sheetName val="Sales_Velocity"/>
      <sheetName val="DB_Cash_(Def)_Open_Lots"/>
      <sheetName val="DB_Cash_(Def)_H&amp;L"/>
      <sheetName val="DB_Install_(2)_Open_Lots"/>
      <sheetName val="Sales_Dist_(PhP)"/>
      <sheetName val="DB_Mktg_(Open_Lots)"/>
      <sheetName val="DB_Mktg_(H&amp;L)"/>
      <sheetName val="Sales_Dist_(Units)"/>
      <sheetName val="VAT_(Install)"/>
      <sheetName val="VAT_(Cash)"/>
      <sheetName val="VAT_(Deferred)"/>
      <sheetName val="Install_(1)"/>
      <sheetName val="Install_(2)"/>
      <sheetName val="Install_(3)"/>
      <sheetName val="Fin_Summary"/>
      <sheetName val="DB_Install_(1)_Open_Lots"/>
      <sheetName val="DB_Cash_(Spot)_H&amp;L"/>
      <sheetName val="DB_Cash_(Spot)_Open_Lots"/>
      <sheetName val="DB_Install_(3)_Open_Lots"/>
      <sheetName val="DB_Install_(1)_H&amp;L"/>
      <sheetName val="DB_Install_(2)_H&amp;L"/>
      <sheetName val="DB_Install_(3)_H&amp;L"/>
      <sheetName val="SALES_BY_STATUS"/>
      <sheetName val="SALES_PER_MONTH_(2008)"/>
      <sheetName val="E330_Lakeside Fairways"/>
    </sheetNames>
    <sheetDataSet>
      <sheetData sheetId="0" refreshError="1">
        <row r="7">
          <cell r="B7">
            <v>0</v>
          </cell>
        </row>
        <row r="8">
          <cell r="B8" t="str">
            <v>Board of Directors</v>
          </cell>
        </row>
        <row r="9">
          <cell r="B9" t="str">
            <v>OCEO</v>
          </cell>
        </row>
        <row r="10">
          <cell r="B10" t="str">
            <v>HROD</v>
          </cell>
        </row>
        <row r="11">
          <cell r="B11" t="str">
            <v>OCOO</v>
          </cell>
        </row>
        <row r="12">
          <cell r="B12" t="str">
            <v>Corporate Business Devt</v>
          </cell>
        </row>
        <row r="13">
          <cell r="B13" t="str">
            <v>Landco Homes</v>
          </cell>
        </row>
        <row r="14">
          <cell r="B14" t="str">
            <v>Property Management/Operations</v>
          </cell>
        </row>
        <row r="15">
          <cell r="B15" t="str">
            <v>Corporate Technical</v>
          </cell>
        </row>
        <row r="16">
          <cell r="B16" t="str">
            <v>OCFO</v>
          </cell>
        </row>
        <row r="17">
          <cell r="B17" t="str">
            <v>Treasury</v>
          </cell>
        </row>
        <row r="18">
          <cell r="B18" t="str">
            <v>Corporate Finance</v>
          </cell>
        </row>
        <row r="19">
          <cell r="B19" t="str">
            <v>General Accounting</v>
          </cell>
        </row>
        <row r="20">
          <cell r="B20" t="str">
            <v>Systems &amp; Process</v>
          </cell>
        </row>
        <row r="21">
          <cell r="B21" t="str">
            <v>Corporate IT</v>
          </cell>
        </row>
        <row r="22">
          <cell r="B22" t="str">
            <v>Tax Planning &amp; Compliance</v>
          </cell>
        </row>
        <row r="23">
          <cell r="B23" t="str">
            <v>Purchasing &amp; Admin</v>
          </cell>
        </row>
        <row r="24">
          <cell r="B24" t="str">
            <v>Sales Administration</v>
          </cell>
        </row>
        <row r="25">
          <cell r="B25" t="str">
            <v>OCMO</v>
          </cell>
        </row>
        <row r="26">
          <cell r="B26" t="str">
            <v>Corporate Communications</v>
          </cell>
        </row>
        <row r="27">
          <cell r="B27" t="str">
            <v>Marketing Services</v>
          </cell>
        </row>
        <row r="28">
          <cell r="B28" t="str">
            <v>Sales In-house</v>
          </cell>
        </row>
        <row r="29">
          <cell r="B29" t="str">
            <v>Sales Elite</v>
          </cell>
        </row>
        <row r="30">
          <cell r="B30" t="str">
            <v>Sales Allied</v>
          </cell>
        </row>
        <row r="31">
          <cell r="B31" t="str">
            <v>Sales International</v>
          </cell>
        </row>
        <row r="32">
          <cell r="B32" t="str">
            <v>Residential Resorts (Common)</v>
          </cell>
        </row>
        <row r="38">
          <cell r="B38" t="str">
            <v>Punta Fuego</v>
          </cell>
        </row>
        <row r="43">
          <cell r="B43" t="str">
            <v>Amara</v>
          </cell>
        </row>
        <row r="48">
          <cell r="B48" t="str">
            <v>Terrazas (Common)</v>
          </cell>
        </row>
        <row r="53">
          <cell r="B53" t="str">
            <v>Terrazas 1a (Peace)</v>
          </cell>
        </row>
        <row r="58">
          <cell r="B58" t="str">
            <v>Terrazas 2 (MB)</v>
          </cell>
        </row>
        <row r="63">
          <cell r="B63" t="str">
            <v>Terrazas 1b (Lhuillier)</v>
          </cell>
        </row>
        <row r="68">
          <cell r="B68" t="str">
            <v>Terrazas 3 (Angara/SR)</v>
          </cell>
        </row>
        <row r="73">
          <cell r="B73" t="str">
            <v>Terrazas 1c (Angara/SR/Lhuillier)</v>
          </cell>
        </row>
        <row r="78">
          <cell r="B78" t="str">
            <v>Playa Residential</v>
          </cell>
        </row>
        <row r="83">
          <cell r="B83" t="str">
            <v>Playa Commercial</v>
          </cell>
        </row>
        <row r="88">
          <cell r="B88" t="str">
            <v>PF Shares</v>
          </cell>
        </row>
        <row r="93">
          <cell r="B93" t="str">
            <v>Leisure Farms</v>
          </cell>
        </row>
        <row r="98">
          <cell r="B98" t="str">
            <v>Ponderosa (Common)</v>
          </cell>
        </row>
        <row r="103">
          <cell r="B103" t="str">
            <v>Ponderosa 1</v>
          </cell>
        </row>
        <row r="108">
          <cell r="B108" t="str">
            <v>Ponderosa 2</v>
          </cell>
        </row>
        <row r="113">
          <cell r="B113" t="str">
            <v>Ponderosa Heights</v>
          </cell>
        </row>
        <row r="118">
          <cell r="B118" t="str">
            <v>Fuego Hotels</v>
          </cell>
        </row>
        <row r="119">
          <cell r="B119" t="str">
            <v>FHP Common</v>
          </cell>
        </row>
        <row r="126">
          <cell r="B126" t="str">
            <v>Waterwood (Common)</v>
          </cell>
        </row>
        <row r="132">
          <cell r="B132" t="str">
            <v>Waterwood 1</v>
          </cell>
        </row>
        <row r="138">
          <cell r="B138" t="str">
            <v>Waterwood 2a</v>
          </cell>
        </row>
        <row r="144">
          <cell r="B144" t="str">
            <v>Waterwood 2b</v>
          </cell>
        </row>
        <row r="150">
          <cell r="B150" t="str">
            <v>Waterwood 2c</v>
          </cell>
        </row>
        <row r="156">
          <cell r="B156" t="str">
            <v>Waterwood 1 LO</v>
          </cell>
        </row>
        <row r="157">
          <cell r="B157" t="str">
            <v>Waterwood 2a LO</v>
          </cell>
        </row>
        <row r="158">
          <cell r="B158" t="str">
            <v>Waterwood 2b LO</v>
          </cell>
        </row>
        <row r="159">
          <cell r="B159" t="str">
            <v>Woodside Gdn</v>
          </cell>
        </row>
        <row r="165">
          <cell r="B165" t="str">
            <v>Woodside Park</v>
          </cell>
        </row>
        <row r="171">
          <cell r="B171" t="str">
            <v>Lakewood (Common)</v>
          </cell>
        </row>
        <row r="177">
          <cell r="B177" t="str">
            <v>Lakewood 1</v>
          </cell>
        </row>
        <row r="183">
          <cell r="B183" t="str">
            <v>Lakewood Exp</v>
          </cell>
        </row>
        <row r="189">
          <cell r="B189" t="str">
            <v>Pacific Heights</v>
          </cell>
        </row>
        <row r="195">
          <cell r="B195" t="str">
            <v>Ridgewood</v>
          </cell>
        </row>
        <row r="202">
          <cell r="B202" t="str">
            <v>FH South MM  (Common)</v>
          </cell>
        </row>
        <row r="208">
          <cell r="B208" t="str">
            <v>Stonecrest</v>
          </cell>
        </row>
        <row r="213">
          <cell r="B213" t="str">
            <v>MonteLago</v>
          </cell>
        </row>
        <row r="220">
          <cell r="B220" t="str">
            <v>Escudero</v>
          </cell>
        </row>
        <row r="225">
          <cell r="B225" t="str">
            <v>NEQC</v>
          </cell>
        </row>
        <row r="231">
          <cell r="B231" t="str">
            <v>Mall Management (LPCI Common)</v>
          </cell>
        </row>
        <row r="239">
          <cell r="B239" t="str">
            <v>NE Pacific</v>
          </cell>
        </row>
        <row r="246">
          <cell r="B246" t="str">
            <v>PM Lucena</v>
          </cell>
        </row>
        <row r="253">
          <cell r="B253" t="str">
            <v>PM Legazpi</v>
          </cell>
        </row>
        <row r="260">
          <cell r="B260" t="str">
            <v>CBD Legazpi</v>
          </cell>
        </row>
        <row r="265">
          <cell r="B265" t="str">
            <v>LCC Davao</v>
          </cell>
        </row>
        <row r="268">
          <cell r="B268" t="str">
            <v>MP Management (Common)</v>
          </cell>
        </row>
        <row r="277">
          <cell r="B277" t="str">
            <v>FL Iloilo</v>
          </cell>
        </row>
        <row r="284">
          <cell r="B284" t="str">
            <v xml:space="preserve">FL Zambo </v>
          </cell>
        </row>
        <row r="291">
          <cell r="B291" t="str">
            <v>FL Davao</v>
          </cell>
        </row>
        <row r="301">
          <cell r="B301" t="str">
            <v>FL La Union</v>
          </cell>
        </row>
        <row r="308">
          <cell r="B308" t="str">
            <v>FL CDO</v>
          </cell>
        </row>
        <row r="315">
          <cell r="B315" t="str">
            <v>FL Binan</v>
          </cell>
        </row>
        <row r="322">
          <cell r="B322" t="str">
            <v>FL GenSan</v>
          </cell>
        </row>
        <row r="329">
          <cell r="B329" t="str">
            <v>FL East Zambo</v>
          </cell>
        </row>
        <row r="336">
          <cell r="B336" t="str">
            <v>Cebu</v>
          </cell>
        </row>
        <row r="342">
          <cell r="B342" t="str">
            <v>FH Condo</v>
          </cell>
        </row>
        <row r="348">
          <cell r="B348" t="str">
            <v>Leisure Tourism</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ACCT2"/>
      <sheetName val="RCLIST1"/>
      <sheetName val="P&amp;L"/>
      <sheetName val="RC LIST"/>
      <sheetName val="RC_LIST"/>
      <sheetName val="RC database"/>
    </sheetNames>
    <sheetDataSet>
      <sheetData sheetId="0" refreshError="1"/>
      <sheetData sheetId="1" refreshError="1"/>
      <sheetData sheetId="2" refreshError="1">
        <row r="7">
          <cell r="B7">
            <v>0</v>
          </cell>
        </row>
        <row r="8">
          <cell r="B8" t="str">
            <v>Office of the Chief Marketing Officer (OCMO)</v>
          </cell>
        </row>
        <row r="9">
          <cell r="B9" t="str">
            <v>Peninsula de Punta Fuego</v>
          </cell>
        </row>
        <row r="10">
          <cell r="B10" t="str">
            <v>Amara en Terrazas - Case del Mar</v>
          </cell>
        </row>
        <row r="11">
          <cell r="B11" t="str">
            <v>Amara en Terrazas - Case de Amor</v>
          </cell>
        </row>
        <row r="12">
          <cell r="B12" t="str">
            <v>Terrazas de Punta Fuego Phase 1 (Peace)</v>
          </cell>
        </row>
        <row r="13">
          <cell r="B13" t="str">
            <v>Terrazas de Punta Fuego Phase 1 (Tamesis)</v>
          </cell>
        </row>
        <row r="14">
          <cell r="B14" t="str">
            <v>Terrazas de Punta Fuego Phase 2 (Munting Buhangin)</v>
          </cell>
        </row>
        <row r="15">
          <cell r="B15" t="str">
            <v>Terrazas de Punta Fuego Phase 2 (GMA)</v>
          </cell>
        </row>
        <row r="16">
          <cell r="B16" t="str">
            <v>Terrazas de Punta Fuego Phase 1B (The Peak)</v>
          </cell>
        </row>
        <row r="17">
          <cell r="B17" t="str">
            <v>Terrazas de Punta Fuego Phase 3 (The Ridge)</v>
          </cell>
        </row>
        <row r="18">
          <cell r="B18" t="str">
            <v>Playa Calatagan Residential 1</v>
          </cell>
        </row>
        <row r="19">
          <cell r="B19" t="str">
            <v>Playa Calatagan Residential 2a</v>
          </cell>
        </row>
        <row r="20">
          <cell r="B20" t="str">
            <v>Playa Calatagan Residential 2b</v>
          </cell>
        </row>
        <row r="21">
          <cell r="B21" t="str">
            <v>Playa Calatagan Residential 2c</v>
          </cell>
        </row>
        <row r="22">
          <cell r="B22" t="str">
            <v>Playa Calatagan Residential 3</v>
          </cell>
        </row>
        <row r="23">
          <cell r="B23" t="str">
            <v>Playa Calatagan Residential 4</v>
          </cell>
        </row>
        <row r="24">
          <cell r="B24" t="str">
            <v>Playa Calatagan Commercial (Sale)</v>
          </cell>
        </row>
        <row r="25">
          <cell r="B25" t="str">
            <v>Playa Calatagan Commercial (Lease)</v>
          </cell>
        </row>
        <row r="26">
          <cell r="B26" t="str">
            <v>Punta Fuego Shares (Sale)</v>
          </cell>
        </row>
        <row r="27">
          <cell r="B27" t="str">
            <v>Punta Fuego Shares (Assignment Fee)</v>
          </cell>
        </row>
        <row r="28">
          <cell r="B28" t="str">
            <v>Leisure Farms 1 &amp; 2</v>
          </cell>
        </row>
        <row r="29">
          <cell r="B29" t="str">
            <v>Leisure Farms 3</v>
          </cell>
        </row>
        <row r="30">
          <cell r="B30" t="str">
            <v>LFTI</v>
          </cell>
        </row>
        <row r="31">
          <cell r="B31" t="str">
            <v>Ponderosa 1</v>
          </cell>
        </row>
        <row r="32">
          <cell r="B32" t="str">
            <v>Ponderosa 2</v>
          </cell>
        </row>
        <row r="33">
          <cell r="B33" t="str">
            <v>Ponderosa 3A</v>
          </cell>
        </row>
        <row r="34">
          <cell r="B34" t="str">
            <v>Ponderosa 3B</v>
          </cell>
        </row>
        <row r="35">
          <cell r="B35" t="str">
            <v>Hacienda Escudero Residential 1A</v>
          </cell>
        </row>
        <row r="36">
          <cell r="B36" t="str">
            <v>Hacienda Escudero Residential 1B</v>
          </cell>
        </row>
        <row r="37">
          <cell r="B37" t="str">
            <v>Playa Laiya Residential</v>
          </cell>
        </row>
        <row r="38">
          <cell r="B38" t="str">
            <v>Fuego Hotels</v>
          </cell>
        </row>
        <row r="39">
          <cell r="B39" t="str">
            <v>Playa Calatagan Beach Resort</v>
          </cell>
        </row>
        <row r="40">
          <cell r="B40" t="str">
            <v>Playa Calatagan Hotel</v>
          </cell>
        </row>
        <row r="41">
          <cell r="B41" t="str">
            <v>Hacienda Escudero WaterPark</v>
          </cell>
        </row>
        <row r="42">
          <cell r="B42" t="str">
            <v>Hacienda Escudero Agritainment</v>
          </cell>
        </row>
        <row r="43">
          <cell r="B43" t="str">
            <v>Hacienda Escudero Hotel</v>
          </cell>
        </row>
        <row r="44">
          <cell r="B44" t="str">
            <v>Playa Laiya Beach Resort</v>
          </cell>
        </row>
        <row r="45">
          <cell r="B45" t="str">
            <v>Playa Laiya Hotel</v>
          </cell>
        </row>
        <row r="46">
          <cell r="B46" t="str">
            <v>Hometown Communities (Common)</v>
          </cell>
        </row>
        <row r="47">
          <cell r="B47" t="str">
            <v>MonteLago</v>
          </cell>
        </row>
        <row r="48">
          <cell r="B48" t="str">
            <v>Waterwood</v>
          </cell>
        </row>
        <row r="49">
          <cell r="B49" t="str">
            <v>Waterwood -  Landowner WLI</v>
          </cell>
        </row>
        <row r="50">
          <cell r="B50" t="str">
            <v>Waterwood -  Landowner LBPI</v>
          </cell>
        </row>
        <row r="51">
          <cell r="B51" t="str">
            <v>Woodgroove (San Fernando)</v>
          </cell>
        </row>
        <row r="52">
          <cell r="B52" t="str">
            <v>Zamboanga</v>
          </cell>
        </row>
        <row r="53">
          <cell r="B53" t="str">
            <v>Woodside Garden</v>
          </cell>
        </row>
        <row r="54">
          <cell r="B54" t="str">
            <v xml:space="preserve">Woodside Park </v>
          </cell>
        </row>
        <row r="55">
          <cell r="B55" t="str">
            <v>Lakewood</v>
          </cell>
        </row>
        <row r="56">
          <cell r="B56" t="str">
            <v>Courtyard -  Landowner</v>
          </cell>
        </row>
        <row r="57">
          <cell r="B57" t="str">
            <v>Courtyard -  Developer</v>
          </cell>
        </row>
        <row r="58">
          <cell r="B58" t="str">
            <v>Pacific Heights</v>
          </cell>
        </row>
        <row r="59">
          <cell r="B59" t="str">
            <v>Ridgewood - Developer</v>
          </cell>
        </row>
        <row r="60">
          <cell r="B60" t="str">
            <v>Ridgewood -  Landowner</v>
          </cell>
        </row>
        <row r="61">
          <cell r="B61" t="str">
            <v>Tribeca</v>
          </cell>
        </row>
        <row r="62">
          <cell r="B62" t="str">
            <v>Stonecrest</v>
          </cell>
        </row>
        <row r="63">
          <cell r="B63" t="str">
            <v>Monterrazas</v>
          </cell>
        </row>
        <row r="64">
          <cell r="B64" t="str">
            <v>LPCI</v>
          </cell>
        </row>
        <row r="65">
          <cell r="B65" t="str">
            <v>NE Pacific Mall</v>
          </cell>
        </row>
        <row r="66">
          <cell r="B66" t="str">
            <v>Pacific Mall Lucena</v>
          </cell>
        </row>
        <row r="67">
          <cell r="B67" t="str">
            <v>Pacific Mall Legazpi</v>
          </cell>
        </row>
        <row r="68">
          <cell r="B68" t="str">
            <v>Landco Business Park (Legazpi)</v>
          </cell>
        </row>
        <row r="69">
          <cell r="B69" t="str">
            <v>Landco Corporate Center (Davao)</v>
          </cell>
        </row>
        <row r="70">
          <cell r="B70" t="str">
            <v>Memorial Parks Management</v>
          </cell>
        </row>
        <row r="71">
          <cell r="B71" t="str">
            <v>Forest Lake Iloilo</v>
          </cell>
        </row>
        <row r="72">
          <cell r="B72" t="str">
            <v>Forest Lake Zambo</v>
          </cell>
        </row>
        <row r="73">
          <cell r="B73" t="str">
            <v>Forest Lake Davao</v>
          </cell>
        </row>
        <row r="74">
          <cell r="B74" t="str">
            <v>Forest Lake San Pedro</v>
          </cell>
        </row>
        <row r="75">
          <cell r="B75" t="str">
            <v>Forest Lake La Union</v>
          </cell>
        </row>
        <row r="76">
          <cell r="B76" t="str">
            <v xml:space="preserve">Forest Lake CDO </v>
          </cell>
        </row>
        <row r="77">
          <cell r="B77" t="str">
            <v>Forest Lake Binan</v>
          </cell>
        </row>
        <row r="78">
          <cell r="B78" t="str">
            <v>Forest Lake General Santos</v>
          </cell>
        </row>
        <row r="79">
          <cell r="B79" t="str">
            <v xml:space="preserve">Forest Lake East Zambo </v>
          </cell>
        </row>
      </sheetData>
      <sheetData sheetId="3" refreshError="1"/>
      <sheetData sheetId="4" refreshError="1"/>
      <sheetData sheetId="5"/>
      <sheetData sheetId="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0"/>
      <sheetName val="B"/>
      <sheetName val="Interim --&gt; Top"/>
      <sheetName val="actg"/>
      <sheetName val="2006"/>
      <sheetName val="QTD297EXP"/>
      <sheetName val="REVENUE PIVOT"/>
      <sheetName val="UNITS PIVOT"/>
      <sheetName val="SEP"/>
      <sheetName val="MCMD95"/>
      <sheetName val="CA99"/>
      <sheetName val="TC"/>
      <sheetName val="P&amp;L"/>
      <sheetName val="ADD"/>
      <sheetName val="SCH"/>
      <sheetName val="Macro1"/>
      <sheetName val="FF-21(a)"/>
      <sheetName val="Adjust"/>
      <sheetName val="Menu"/>
      <sheetName val="10"/>
      <sheetName val="4 Analysis"/>
      <sheetName val="SCH 2"/>
      <sheetName val="Dirlist"/>
      <sheetName val="1A TaxComp (pi)"/>
      <sheetName val="FF-1"/>
      <sheetName val="P12.4"/>
      <sheetName val="U"/>
      <sheetName val="CA Sheet"/>
      <sheetName val="CP5"/>
      <sheetName val="Section B"/>
      <sheetName val="Cover"/>
      <sheetName val="Adm97"/>
      <sheetName val="C"/>
      <sheetName val="CA"/>
      <sheetName val="1 LeadSchedule"/>
      <sheetName val="exchange Rate"/>
      <sheetName val="Interim_--&gt;_Top"/>
      <sheetName val="4_Analysis"/>
      <sheetName val="SCH_2"/>
      <sheetName val="1A_TaxComp_(pi)"/>
      <sheetName val="P12_4"/>
      <sheetName val="CA_Sheet"/>
      <sheetName val="Section_B"/>
      <sheetName val="1_LeadSchedule"/>
      <sheetName val="A-1"/>
      <sheetName val="FF-21"/>
      <sheetName val="C1"/>
      <sheetName val="U10|20"/>
      <sheetName val="D"/>
      <sheetName val="FF-6"/>
      <sheetName val="F-4l5"/>
      <sheetName val="BS"/>
      <sheetName val="Entity Data"/>
      <sheetName val="BPR"/>
      <sheetName val="DIL"/>
      <sheetName val="gl"/>
      <sheetName val="CBO0497"/>
      <sheetName val="Farm1"/>
      <sheetName val="in0"/>
      <sheetName val="in1"/>
      <sheetName val="Assumptions"/>
      <sheetName val="COM"/>
      <sheetName val="Lists"/>
      <sheetName val="12017000"/>
      <sheetName val="Manual Adjustments"/>
      <sheetName val="Conversion Date"/>
      <sheetName val="Inventory"/>
      <sheetName val="BPCOR DETAILS"/>
      <sheetName val="BPMKT DETAILS"/>
      <sheetName val="K1-1 Addn"/>
      <sheetName val="Action Items"/>
      <sheetName val="Back Charges"/>
      <sheetName val="Project Status Overview"/>
      <sheetName val="Variances Month"/>
      <sheetName val="Closeout"/>
      <sheetName val="Commissioning Dates"/>
      <sheetName val="Contingency"/>
      <sheetName val="Contract"/>
      <sheetName val="Contract Dates"/>
      <sheetName val="Fab Subcont Cost"/>
      <sheetName val="Health Check List"/>
      <sheetName val="Cover Page"/>
      <sheetName val="Formatting examples"/>
      <sheetName val="Major Equip Dates"/>
      <sheetName val="R and O"/>
      <sheetName val="Marine Status"/>
      <sheetName val="Cost Summary"/>
      <sheetName val="Procure Mat Cost"/>
      <sheetName val="PSI"/>
      <sheetName val="Safety"/>
      <sheetName val="Varainces CTD"/>
      <sheetName val="Varainces QTR"/>
      <sheetName val="Interim_--&gt;_Top1"/>
      <sheetName val="CA_Sheet1"/>
      <sheetName val="Section_B1"/>
      <sheetName val="P12_41"/>
      <sheetName val="4_Analysis1"/>
      <sheetName val="SCH_21"/>
      <sheetName val="1A_TaxComp_(pi)1"/>
      <sheetName val="1_LeadSchedule1"/>
      <sheetName val="exchange_Rate"/>
      <sheetName val="Entity_Data"/>
      <sheetName val="Company Info"/>
      <sheetName val="B1"/>
      <sheetName val="PnL"/>
      <sheetName val="FF-2"/>
      <sheetName val="Hp"/>
      <sheetName val="tax-ss"/>
      <sheetName val="Interim_--&gt;_Top2"/>
      <sheetName val="4_Analysis2"/>
      <sheetName val="SCH_22"/>
      <sheetName val="1A_TaxComp_(pi)2"/>
      <sheetName val="P12_42"/>
      <sheetName val="CA_Sheet2"/>
      <sheetName val="Section_B2"/>
      <sheetName val="exchange_Rate1"/>
      <sheetName val="1_LeadSchedule2"/>
      <sheetName val="Entity_Data1"/>
      <sheetName val="BPCOR_DETAILS"/>
      <sheetName val="BPMKT_DETAILS"/>
      <sheetName val="Manual_Adjustments"/>
      <sheetName val="Conversion_Date"/>
      <sheetName val="K1-1_Addn"/>
      <sheetName val="Action_Items"/>
      <sheetName val="Back_Charges"/>
      <sheetName val="Project_Status_Overview"/>
      <sheetName val="Variances_Month"/>
      <sheetName val="Commissioning_Dates"/>
      <sheetName val="Contract_Dates"/>
      <sheetName val="Fab_Subcont_Cost"/>
      <sheetName val="Health_Check_List"/>
      <sheetName val="Cover_Page"/>
      <sheetName val="Formatting_examples"/>
      <sheetName val="Major_Equip_Dates"/>
      <sheetName val="R_and_O"/>
      <sheetName val="Marine_Status"/>
      <sheetName val="Cost_Summary"/>
      <sheetName val="Procure_Mat_Cost"/>
      <sheetName val="Varainces_CTD"/>
      <sheetName val="Varainces_QTR"/>
      <sheetName val="Company_Info"/>
      <sheetName val="0110"/>
      <sheetName val="J"/>
      <sheetName val="M_Maincomp"/>
      <sheetName val="U2 - Sales"/>
      <sheetName val="Approfit Zinc AWP 03"/>
      <sheetName val="itc"/>
      <sheetName val="Actual"/>
      <sheetName val="invadditions"/>
      <sheetName val="Op.Exp.(Input)"/>
      <sheetName val="tax comp"/>
      <sheetName val="NSMALJUN"/>
      <sheetName val="Actuals98"/>
      <sheetName val="Actuals99"/>
      <sheetName val="Acc"/>
      <sheetName val="A3-1"/>
      <sheetName val="Config sheet"/>
      <sheetName val="AFA"/>
      <sheetName val="REVENUE"/>
      <sheetName val="Bldg Brkdown"/>
      <sheetName val="Authorisation"/>
      <sheetName val="BI"/>
      <sheetName val="CC Infrastructure"/>
      <sheetName val="Operations"/>
      <sheetName val="DETAILS"/>
      <sheetName val="Act_vs_budg"/>
      <sheetName val="IS"/>
      <sheetName val="1997_vs_1998"/>
      <sheetName val="Cum.91-93"/>
      <sheetName val="Dec 94"/>
      <sheetName val="Sheet2"/>
      <sheetName val="PL"/>
      <sheetName val="PL3"/>
      <sheetName val="adj"/>
      <sheetName val="structure"/>
      <sheetName val="income"/>
      <sheetName val="data"/>
      <sheetName val="instruction"/>
      <sheetName val="pg3"/>
      <sheetName val="Customize Your Loan Manager"/>
      <sheetName val="Loan Amortization Table"/>
      <sheetName val="GM"/>
      <sheetName val="HR"/>
      <sheetName val="1.SAP GR55 ZCOS (2)"/>
      <sheetName val="2.PV (2)"/>
      <sheetName val="1.SAP GR55 ZCOS"/>
      <sheetName val="MK Summary"/>
      <sheetName val="AD Summary"/>
      <sheetName val="HR Summary"/>
      <sheetName val="2.PV"/>
      <sheetName val="LOCAL HR"/>
      <sheetName val="LOCAL ADMIN"/>
      <sheetName val="SALESFORCE"/>
      <sheetName val="CUST MARKETING"/>
      <sheetName val="ADMIN"/>
      <sheetName val="Sheet1"/>
      <sheetName val="Map"/>
      <sheetName val="BPC Code"/>
      <sheetName val="CC"/>
      <sheetName val="GR55-2015"/>
      <sheetName val="GR55"/>
      <sheetName val="Sheet4"/>
      <sheetName val="A2"/>
      <sheetName val="A"/>
      <sheetName val="A2.1"/>
      <sheetName val="A2(60F)"/>
      <sheetName val="B2"/>
      <sheetName val="A3.1"/>
      <sheetName val="Index"/>
      <sheetName val="A4.2"/>
      <sheetName val="B3"/>
      <sheetName val="A1"/>
      <sheetName val="FA2"/>
      <sheetName val="DFA"/>
      <sheetName val="Interim_--&gt;_Top3"/>
      <sheetName val="SCH_23"/>
      <sheetName val="1A_TaxComp_(pi)3"/>
      <sheetName val="4_Analysis3"/>
      <sheetName val="P12_43"/>
      <sheetName val="1_LeadSchedule3"/>
      <sheetName val="CA_Sheet3"/>
      <sheetName val="Section_B3"/>
      <sheetName val="exchange_Rate2"/>
      <sheetName val="Entity_Data2"/>
      <sheetName val="BPCOR_DETAILS1"/>
      <sheetName val="BPMKT_DETAILS1"/>
      <sheetName val="Manual_Adjustments1"/>
      <sheetName val="Conversion_Date1"/>
      <sheetName val="K1-1_Addn1"/>
      <sheetName val="Action_Items1"/>
      <sheetName val="Back_Charges1"/>
      <sheetName val="Project_Status_Overview1"/>
      <sheetName val="Variances_Month1"/>
      <sheetName val="Commissioning_Dates1"/>
      <sheetName val="Contract_Dates1"/>
      <sheetName val="Fab_Subcont_Cost1"/>
      <sheetName val="Health_Check_List1"/>
      <sheetName val="Cover_Page1"/>
      <sheetName val="Formatting_examples1"/>
      <sheetName val="Major_Equip_Dates1"/>
      <sheetName val="R_and_O1"/>
      <sheetName val="Marine_Status1"/>
      <sheetName val="Cost_Summary1"/>
      <sheetName val="Procure_Mat_Cost1"/>
      <sheetName val="Varainces_CTD1"/>
      <sheetName val="Varainces_QTR1"/>
      <sheetName val="Company_Info1"/>
      <sheetName val="Config_sheet"/>
      <sheetName val="tax_comp"/>
      <sheetName val="Op_Exp_(Input)"/>
      <sheetName val="Approfit_Zinc_AWP_03"/>
      <sheetName val="Atth CC"/>
    </sheetNames>
    <sheetDataSet>
      <sheetData sheetId="0" refreshError="1">
        <row r="2">
          <cell r="A2" t="str">
            <v>COUNTRY : 341 MALAYSIA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list"/>
      <sheetName val="CRC list"/>
      <sheetName val="COMPANY"/>
      <sheetName val="ACCOUNT"/>
      <sheetName val="SBU&amp; Projects"/>
      <sheetName val="dbase"/>
      <sheetName val="Sheet4"/>
      <sheetName val="RC_list"/>
      <sheetName val="CRC_list"/>
      <sheetName val="SBU&amp;_Projects"/>
      <sheetName val="table"/>
    </sheetNames>
    <sheetDataSet>
      <sheetData sheetId="0"/>
      <sheetData sheetId="1"/>
      <sheetData sheetId="2"/>
      <sheetData sheetId="3"/>
      <sheetData sheetId="4"/>
      <sheetData sheetId="5" refreshError="1">
        <row r="5">
          <cell r="C5" t="str">
            <v>Y</v>
          </cell>
        </row>
        <row r="6">
          <cell r="C6" t="str">
            <v>N</v>
          </cell>
        </row>
        <row r="16">
          <cell r="E16" t="str">
            <v>AXB</v>
          </cell>
        </row>
        <row r="17">
          <cell r="E17" t="str">
            <v>FVC</v>
          </cell>
        </row>
        <row r="18">
          <cell r="E18" t="str">
            <v>AGM</v>
          </cell>
        </row>
        <row r="19">
          <cell r="E19" t="str">
            <v>PAV</v>
          </cell>
        </row>
        <row r="20">
          <cell r="E20" t="str">
            <v>AXBIII</v>
          </cell>
        </row>
        <row r="21">
          <cell r="E21" t="str">
            <v>MGR</v>
          </cell>
        </row>
        <row r="22">
          <cell r="E22" t="str">
            <v>EBM</v>
          </cell>
        </row>
        <row r="23">
          <cell r="E23" t="str">
            <v>CMZ</v>
          </cell>
        </row>
        <row r="24">
          <cell r="E24" t="str">
            <v>MRR</v>
          </cell>
        </row>
        <row r="25">
          <cell r="E25" t="str">
            <v>JAXB</v>
          </cell>
        </row>
        <row r="26">
          <cell r="E26" t="str">
            <v>GCM</v>
          </cell>
        </row>
        <row r="27">
          <cell r="E27" t="str">
            <v>SLS</v>
          </cell>
        </row>
      </sheetData>
      <sheetData sheetId="6"/>
      <sheetData sheetId="7"/>
      <sheetData sheetId="8"/>
      <sheetData sheetId="9"/>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ke-Up"/>
      <sheetName val="data"/>
      <sheetName val="GAE8'97"/>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HILLSIDE"/>
      <sheetName val="PUEBLO REAL"/>
      <sheetName val="SIERRA LAGO"/>
      <sheetName val="MAHOGANY"/>
      <sheetName val="WOODLANDS POINT"/>
      <sheetName val="HORIZON"/>
      <sheetName val="WOODRIDGE PLACE"/>
      <sheetName val="LAKEVIEW"/>
      <sheetName val="ALTA MIRA"/>
      <sheetName val="ASPENHILLS"/>
      <sheetName val="LINDEN"/>
      <sheetName val="BELLEVIEW"/>
      <sheetName val="REPORTS"/>
      <sheetName val="CANCELLED"/>
      <sheetName val="table"/>
      <sheetName val="Sheet1"/>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FOR PREPARATION</v>
          </cell>
          <cell r="C2" t="str">
            <v>PATERNAL CO-OWNERSHIIP</v>
          </cell>
        </row>
        <row r="3">
          <cell r="A3" t="str">
            <v>OUT TO BUYER</v>
          </cell>
          <cell r="C3" t="str">
            <v>SPOUSES</v>
          </cell>
        </row>
        <row r="4">
          <cell r="A4" t="str">
            <v>C/O SIGNATORY</v>
          </cell>
          <cell r="C4" t="str">
            <v>CORPORATION</v>
          </cell>
        </row>
        <row r="5">
          <cell r="A5" t="str">
            <v>FOR NOTARIZATION</v>
          </cell>
          <cell r="C5" t="str">
            <v>MATERNAL CO-OWNERSHIP</v>
          </cell>
        </row>
        <row r="6">
          <cell r="A6" t="str">
            <v>NOTARIZED</v>
          </cell>
          <cell r="C6" t="str">
            <v>INDIVIDUAL</v>
          </cell>
        </row>
        <row r="7">
          <cell r="A7" t="str">
            <v>WITH ISSUE</v>
          </cell>
          <cell r="C7" t="str">
            <v>CO-OWNERS</v>
          </cell>
        </row>
        <row r="8">
          <cell r="C8" t="str">
            <v>SIBLINGS CO-OWNERSHIP</v>
          </cell>
        </row>
      </sheetData>
      <sheetData sheetId="16"/>
      <sheetData sheetId="17"/>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summary"/>
      <sheetName val="sec1"/>
      <sheetName val="sec2"/>
      <sheetName val="sec3"/>
      <sheetName val="sec4"/>
      <sheetName val="sec5"/>
      <sheetName val="sec6"/>
      <sheetName val="sec7"/>
      <sheetName val="area tabulation"/>
      <sheetName val="land use summary"/>
      <sheetName val="lot summary"/>
    </sheetNames>
    <sheetDataSet>
      <sheetData sheetId="0"/>
      <sheetData sheetId="1"/>
      <sheetData sheetId="2"/>
      <sheetData sheetId="3"/>
      <sheetData sheetId="4"/>
      <sheetData sheetId="5"/>
      <sheetData sheetId="6"/>
      <sheetData sheetId="7"/>
      <sheetData sheetId="8"/>
      <sheetData sheetId="9"/>
      <sheetData sheetId="10"/>
      <sheetData sheetId="11">
        <row r="1">
          <cell r="F1" t="str">
            <v>count</v>
          </cell>
          <cell r="G1" t="str">
            <v>saleable</v>
          </cell>
          <cell r="H1" t="str">
            <v>block</v>
          </cell>
          <cell r="I1" t="str">
            <v>lot</v>
          </cell>
          <cell r="J1" t="str">
            <v>area</v>
          </cell>
        </row>
        <row r="2">
          <cell r="F2">
            <v>1</v>
          </cell>
          <cell r="G2">
            <v>1</v>
          </cell>
          <cell r="H2">
            <v>1</v>
          </cell>
          <cell r="I2">
            <v>1</v>
          </cell>
          <cell r="J2">
            <v>282</v>
          </cell>
        </row>
        <row r="3">
          <cell r="F3">
            <v>2</v>
          </cell>
          <cell r="G3">
            <v>1</v>
          </cell>
          <cell r="H3">
            <v>1</v>
          </cell>
          <cell r="I3">
            <v>2</v>
          </cell>
          <cell r="J3">
            <v>264</v>
          </cell>
        </row>
        <row r="4">
          <cell r="F4">
            <v>3</v>
          </cell>
          <cell r="G4">
            <v>1</v>
          </cell>
          <cell r="H4">
            <v>1</v>
          </cell>
          <cell r="I4">
            <v>3</v>
          </cell>
          <cell r="J4">
            <v>264</v>
          </cell>
        </row>
        <row r="5">
          <cell r="F5">
            <v>0</v>
          </cell>
          <cell r="G5">
            <v>0</v>
          </cell>
          <cell r="H5">
            <v>0</v>
          </cell>
          <cell r="I5">
            <v>0</v>
          </cell>
          <cell r="J5">
            <v>0</v>
          </cell>
        </row>
        <row r="6">
          <cell r="F6">
            <v>4</v>
          </cell>
          <cell r="G6">
            <v>1</v>
          </cell>
          <cell r="H6">
            <v>1</v>
          </cell>
          <cell r="I6">
            <v>5</v>
          </cell>
          <cell r="J6">
            <v>264</v>
          </cell>
        </row>
        <row r="7">
          <cell r="F7">
            <v>5</v>
          </cell>
          <cell r="G7">
            <v>1</v>
          </cell>
          <cell r="H7">
            <v>1</v>
          </cell>
          <cell r="I7">
            <v>6</v>
          </cell>
          <cell r="J7">
            <v>264</v>
          </cell>
        </row>
        <row r="8">
          <cell r="F8">
            <v>6</v>
          </cell>
          <cell r="G8">
            <v>1</v>
          </cell>
          <cell r="H8">
            <v>1</v>
          </cell>
          <cell r="I8">
            <v>7</v>
          </cell>
          <cell r="J8">
            <v>264</v>
          </cell>
        </row>
        <row r="9">
          <cell r="F9">
            <v>7</v>
          </cell>
          <cell r="G9">
            <v>1</v>
          </cell>
          <cell r="H9">
            <v>1</v>
          </cell>
          <cell r="I9">
            <v>8</v>
          </cell>
          <cell r="J9">
            <v>257</v>
          </cell>
        </row>
        <row r="10">
          <cell r="F10">
            <v>8</v>
          </cell>
          <cell r="G10">
            <v>1</v>
          </cell>
          <cell r="H10">
            <v>1</v>
          </cell>
          <cell r="I10">
            <v>9</v>
          </cell>
          <cell r="J10">
            <v>256</v>
          </cell>
        </row>
        <row r="11">
          <cell r="F11">
            <v>9</v>
          </cell>
          <cell r="G11">
            <v>1</v>
          </cell>
          <cell r="H11">
            <v>1</v>
          </cell>
          <cell r="I11">
            <v>10</v>
          </cell>
          <cell r="J11">
            <v>255</v>
          </cell>
        </row>
        <row r="12">
          <cell r="F12">
            <v>10</v>
          </cell>
          <cell r="G12">
            <v>1</v>
          </cell>
          <cell r="H12">
            <v>1</v>
          </cell>
          <cell r="I12">
            <v>11</v>
          </cell>
          <cell r="J12">
            <v>507</v>
          </cell>
        </row>
        <row r="13">
          <cell r="F13">
            <v>11</v>
          </cell>
          <cell r="G13">
            <v>1</v>
          </cell>
          <cell r="H13">
            <v>1</v>
          </cell>
          <cell r="I13">
            <v>12</v>
          </cell>
          <cell r="J13">
            <v>299</v>
          </cell>
        </row>
        <row r="14">
          <cell r="F14">
            <v>0</v>
          </cell>
          <cell r="G14">
            <v>0</v>
          </cell>
          <cell r="H14">
            <v>0</v>
          </cell>
          <cell r="I14">
            <v>0</v>
          </cell>
          <cell r="J14">
            <v>0</v>
          </cell>
        </row>
        <row r="15">
          <cell r="F15">
            <v>12</v>
          </cell>
          <cell r="G15">
            <v>1</v>
          </cell>
          <cell r="H15">
            <v>1</v>
          </cell>
          <cell r="I15">
            <v>15</v>
          </cell>
          <cell r="J15">
            <v>251</v>
          </cell>
        </row>
        <row r="16">
          <cell r="F16">
            <v>13</v>
          </cell>
          <cell r="G16">
            <v>1</v>
          </cell>
          <cell r="H16">
            <v>1</v>
          </cell>
          <cell r="I16">
            <v>16</v>
          </cell>
          <cell r="J16">
            <v>248</v>
          </cell>
        </row>
        <row r="17">
          <cell r="F17">
            <v>14</v>
          </cell>
          <cell r="G17">
            <v>1</v>
          </cell>
          <cell r="H17">
            <v>1</v>
          </cell>
          <cell r="I17">
            <v>17</v>
          </cell>
          <cell r="J17">
            <v>250</v>
          </cell>
        </row>
        <row r="18">
          <cell r="F18">
            <v>15</v>
          </cell>
          <cell r="G18">
            <v>1</v>
          </cell>
          <cell r="H18">
            <v>1</v>
          </cell>
          <cell r="I18">
            <v>18</v>
          </cell>
          <cell r="J18">
            <v>250</v>
          </cell>
        </row>
        <row r="19">
          <cell r="F19">
            <v>16</v>
          </cell>
          <cell r="G19">
            <v>1</v>
          </cell>
          <cell r="H19">
            <v>1</v>
          </cell>
          <cell r="I19">
            <v>19</v>
          </cell>
          <cell r="J19">
            <v>252</v>
          </cell>
        </row>
        <row r="20">
          <cell r="F20">
            <v>17</v>
          </cell>
          <cell r="G20">
            <v>1</v>
          </cell>
          <cell r="H20">
            <v>1</v>
          </cell>
          <cell r="I20">
            <v>20</v>
          </cell>
          <cell r="J20">
            <v>286</v>
          </cell>
        </row>
        <row r="21">
          <cell r="F21">
            <v>18</v>
          </cell>
          <cell r="G21">
            <v>1</v>
          </cell>
          <cell r="H21">
            <v>2</v>
          </cell>
          <cell r="I21">
            <v>1</v>
          </cell>
          <cell r="J21">
            <v>288</v>
          </cell>
        </row>
        <row r="22">
          <cell r="F22">
            <v>19</v>
          </cell>
          <cell r="G22">
            <v>1</v>
          </cell>
          <cell r="H22">
            <v>2</v>
          </cell>
          <cell r="I22">
            <v>2</v>
          </cell>
          <cell r="J22">
            <v>278</v>
          </cell>
        </row>
        <row r="23">
          <cell r="F23">
            <v>20</v>
          </cell>
          <cell r="G23">
            <v>1</v>
          </cell>
          <cell r="H23">
            <v>2</v>
          </cell>
          <cell r="I23">
            <v>3</v>
          </cell>
          <cell r="J23">
            <v>267</v>
          </cell>
        </row>
        <row r="24">
          <cell r="F24">
            <v>21</v>
          </cell>
          <cell r="G24">
            <v>1</v>
          </cell>
          <cell r="H24">
            <v>2</v>
          </cell>
          <cell r="I24">
            <v>5</v>
          </cell>
          <cell r="J24">
            <v>297</v>
          </cell>
        </row>
        <row r="25">
          <cell r="F25">
            <v>22</v>
          </cell>
          <cell r="G25">
            <v>1</v>
          </cell>
          <cell r="H25">
            <v>2</v>
          </cell>
          <cell r="I25">
            <v>6</v>
          </cell>
          <cell r="J25">
            <v>301</v>
          </cell>
        </row>
        <row r="26">
          <cell r="F26">
            <v>23</v>
          </cell>
          <cell r="G26">
            <v>1</v>
          </cell>
          <cell r="H26">
            <v>2</v>
          </cell>
          <cell r="I26">
            <v>7</v>
          </cell>
          <cell r="J26">
            <v>289</v>
          </cell>
        </row>
        <row r="27">
          <cell r="F27">
            <v>24</v>
          </cell>
          <cell r="G27">
            <v>1</v>
          </cell>
          <cell r="H27">
            <v>2</v>
          </cell>
          <cell r="I27">
            <v>8</v>
          </cell>
          <cell r="J27">
            <v>297</v>
          </cell>
        </row>
        <row r="28">
          <cell r="F28">
            <v>25</v>
          </cell>
          <cell r="G28">
            <v>1</v>
          </cell>
          <cell r="H28">
            <v>2</v>
          </cell>
          <cell r="I28">
            <v>9</v>
          </cell>
          <cell r="J28">
            <v>266</v>
          </cell>
        </row>
        <row r="29">
          <cell r="F29">
            <v>26</v>
          </cell>
          <cell r="G29">
            <v>1</v>
          </cell>
          <cell r="H29">
            <v>2</v>
          </cell>
          <cell r="I29">
            <v>10</v>
          </cell>
          <cell r="J29">
            <v>272</v>
          </cell>
        </row>
        <row r="30">
          <cell r="F30">
            <v>27</v>
          </cell>
          <cell r="G30">
            <v>1</v>
          </cell>
          <cell r="H30">
            <v>2</v>
          </cell>
          <cell r="I30">
            <v>11</v>
          </cell>
          <cell r="J30">
            <v>254</v>
          </cell>
        </row>
        <row r="31">
          <cell r="F31">
            <v>28</v>
          </cell>
          <cell r="G31">
            <v>1</v>
          </cell>
          <cell r="H31">
            <v>2</v>
          </cell>
          <cell r="I31">
            <v>12</v>
          </cell>
          <cell r="J31">
            <v>356</v>
          </cell>
        </row>
        <row r="32">
          <cell r="F32">
            <v>29</v>
          </cell>
          <cell r="G32">
            <v>1</v>
          </cell>
          <cell r="H32">
            <v>2</v>
          </cell>
          <cell r="I32">
            <v>15</v>
          </cell>
          <cell r="J32">
            <v>303</v>
          </cell>
        </row>
        <row r="33">
          <cell r="F33">
            <v>30</v>
          </cell>
          <cell r="G33">
            <v>1</v>
          </cell>
          <cell r="H33">
            <v>3</v>
          </cell>
          <cell r="I33">
            <v>1</v>
          </cell>
          <cell r="J33">
            <v>273</v>
          </cell>
        </row>
        <row r="34">
          <cell r="F34">
            <v>31</v>
          </cell>
          <cell r="G34">
            <v>1</v>
          </cell>
          <cell r="H34">
            <v>3</v>
          </cell>
          <cell r="I34">
            <v>2</v>
          </cell>
          <cell r="J34">
            <v>281</v>
          </cell>
        </row>
        <row r="35">
          <cell r="F35">
            <v>32</v>
          </cell>
          <cell r="G35">
            <v>1</v>
          </cell>
          <cell r="H35">
            <v>3</v>
          </cell>
          <cell r="I35">
            <v>3</v>
          </cell>
          <cell r="J35">
            <v>238</v>
          </cell>
        </row>
        <row r="36">
          <cell r="F36">
            <v>33</v>
          </cell>
          <cell r="G36">
            <v>1</v>
          </cell>
          <cell r="H36">
            <v>3</v>
          </cell>
          <cell r="I36">
            <v>5</v>
          </cell>
          <cell r="J36">
            <v>238</v>
          </cell>
        </row>
        <row r="37">
          <cell r="F37">
            <v>34</v>
          </cell>
          <cell r="G37">
            <v>1</v>
          </cell>
          <cell r="H37">
            <v>3</v>
          </cell>
          <cell r="I37">
            <v>6</v>
          </cell>
          <cell r="J37">
            <v>252</v>
          </cell>
        </row>
        <row r="38">
          <cell r="F38">
            <v>35</v>
          </cell>
          <cell r="G38">
            <v>1</v>
          </cell>
          <cell r="H38">
            <v>3</v>
          </cell>
          <cell r="I38">
            <v>7</v>
          </cell>
          <cell r="J38">
            <v>238</v>
          </cell>
        </row>
        <row r="39">
          <cell r="F39">
            <v>36</v>
          </cell>
          <cell r="G39">
            <v>1</v>
          </cell>
          <cell r="H39">
            <v>3</v>
          </cell>
          <cell r="I39">
            <v>8</v>
          </cell>
          <cell r="J39">
            <v>252</v>
          </cell>
        </row>
        <row r="40">
          <cell r="F40">
            <v>37</v>
          </cell>
          <cell r="G40">
            <v>1</v>
          </cell>
          <cell r="H40">
            <v>3</v>
          </cell>
          <cell r="I40">
            <v>9</v>
          </cell>
          <cell r="J40">
            <v>238</v>
          </cell>
        </row>
        <row r="41">
          <cell r="F41">
            <v>38</v>
          </cell>
          <cell r="G41">
            <v>1</v>
          </cell>
          <cell r="H41">
            <v>3</v>
          </cell>
          <cell r="I41">
            <v>10</v>
          </cell>
          <cell r="J41">
            <v>252</v>
          </cell>
        </row>
        <row r="42">
          <cell r="F42">
            <v>39</v>
          </cell>
          <cell r="G42">
            <v>1</v>
          </cell>
          <cell r="H42">
            <v>3</v>
          </cell>
          <cell r="I42">
            <v>11</v>
          </cell>
          <cell r="J42">
            <v>238</v>
          </cell>
        </row>
        <row r="43">
          <cell r="F43">
            <v>40</v>
          </cell>
          <cell r="G43">
            <v>1</v>
          </cell>
          <cell r="H43">
            <v>3</v>
          </cell>
          <cell r="I43">
            <v>12</v>
          </cell>
          <cell r="J43">
            <v>252</v>
          </cell>
        </row>
        <row r="44">
          <cell r="F44">
            <v>0</v>
          </cell>
          <cell r="G44">
            <v>0</v>
          </cell>
          <cell r="H44">
            <v>0</v>
          </cell>
          <cell r="I44">
            <v>0</v>
          </cell>
          <cell r="J44">
            <v>0</v>
          </cell>
        </row>
        <row r="45">
          <cell r="F45">
            <v>41</v>
          </cell>
          <cell r="G45">
            <v>1</v>
          </cell>
          <cell r="H45">
            <v>3</v>
          </cell>
          <cell r="I45">
            <v>15</v>
          </cell>
          <cell r="J45">
            <v>232</v>
          </cell>
        </row>
        <row r="46">
          <cell r="F46">
            <v>42</v>
          </cell>
          <cell r="G46">
            <v>1</v>
          </cell>
          <cell r="H46">
            <v>3</v>
          </cell>
          <cell r="I46">
            <v>16</v>
          </cell>
          <cell r="J46">
            <v>267</v>
          </cell>
        </row>
        <row r="47">
          <cell r="F47">
            <v>43</v>
          </cell>
          <cell r="G47">
            <v>1</v>
          </cell>
          <cell r="H47">
            <v>3</v>
          </cell>
          <cell r="I47">
            <v>17</v>
          </cell>
          <cell r="J47">
            <v>218</v>
          </cell>
        </row>
        <row r="48">
          <cell r="F48">
            <v>44</v>
          </cell>
          <cell r="G48">
            <v>1</v>
          </cell>
          <cell r="H48">
            <v>3</v>
          </cell>
          <cell r="I48">
            <v>18</v>
          </cell>
          <cell r="J48">
            <v>351</v>
          </cell>
        </row>
        <row r="49">
          <cell r="F49">
            <v>45</v>
          </cell>
          <cell r="G49">
            <v>1</v>
          </cell>
          <cell r="H49">
            <v>3</v>
          </cell>
          <cell r="I49">
            <v>19</v>
          </cell>
          <cell r="J49">
            <v>262</v>
          </cell>
        </row>
        <row r="50">
          <cell r="F50">
            <v>46</v>
          </cell>
          <cell r="G50">
            <v>1</v>
          </cell>
          <cell r="H50">
            <v>3</v>
          </cell>
          <cell r="I50">
            <v>20</v>
          </cell>
          <cell r="J50">
            <v>297</v>
          </cell>
        </row>
        <row r="51">
          <cell r="F51">
            <v>47</v>
          </cell>
          <cell r="G51">
            <v>1</v>
          </cell>
          <cell r="H51">
            <v>3</v>
          </cell>
          <cell r="I51">
            <v>21</v>
          </cell>
          <cell r="J51">
            <v>221</v>
          </cell>
        </row>
        <row r="52">
          <cell r="F52">
            <v>48</v>
          </cell>
          <cell r="G52">
            <v>1</v>
          </cell>
          <cell r="H52">
            <v>3</v>
          </cell>
          <cell r="I52">
            <v>22</v>
          </cell>
          <cell r="J52">
            <v>257</v>
          </cell>
        </row>
        <row r="53">
          <cell r="F53">
            <v>49</v>
          </cell>
          <cell r="G53">
            <v>1</v>
          </cell>
          <cell r="H53">
            <v>3</v>
          </cell>
          <cell r="I53">
            <v>23</v>
          </cell>
          <cell r="J53">
            <v>219</v>
          </cell>
        </row>
        <row r="54">
          <cell r="F54">
            <v>50</v>
          </cell>
          <cell r="G54">
            <v>1</v>
          </cell>
          <cell r="H54">
            <v>3</v>
          </cell>
          <cell r="I54">
            <v>25</v>
          </cell>
          <cell r="J54">
            <v>257</v>
          </cell>
        </row>
        <row r="55">
          <cell r="F55">
            <v>51</v>
          </cell>
          <cell r="G55">
            <v>1</v>
          </cell>
          <cell r="H55">
            <v>3</v>
          </cell>
          <cell r="I55">
            <v>26</v>
          </cell>
          <cell r="J55">
            <v>308</v>
          </cell>
        </row>
        <row r="56">
          <cell r="F56">
            <v>52</v>
          </cell>
          <cell r="G56">
            <v>1</v>
          </cell>
          <cell r="H56">
            <v>3</v>
          </cell>
          <cell r="I56">
            <v>27</v>
          </cell>
          <cell r="J56">
            <v>253</v>
          </cell>
        </row>
        <row r="57">
          <cell r="F57">
            <v>53</v>
          </cell>
          <cell r="G57">
            <v>1</v>
          </cell>
          <cell r="H57">
            <v>3</v>
          </cell>
          <cell r="I57">
            <v>28</v>
          </cell>
          <cell r="J57">
            <v>318</v>
          </cell>
        </row>
        <row r="58">
          <cell r="F58">
            <v>0</v>
          </cell>
          <cell r="G58">
            <v>0</v>
          </cell>
          <cell r="H58">
            <v>0</v>
          </cell>
          <cell r="I58">
            <v>0</v>
          </cell>
          <cell r="J58">
            <v>0</v>
          </cell>
        </row>
        <row r="59">
          <cell r="F59">
            <v>54</v>
          </cell>
          <cell r="G59">
            <v>1</v>
          </cell>
          <cell r="H59">
            <v>5</v>
          </cell>
          <cell r="I59">
            <v>1</v>
          </cell>
          <cell r="J59">
            <v>255</v>
          </cell>
        </row>
        <row r="60">
          <cell r="F60">
            <v>55</v>
          </cell>
          <cell r="G60">
            <v>1</v>
          </cell>
          <cell r="H60">
            <v>5</v>
          </cell>
          <cell r="I60">
            <v>2</v>
          </cell>
          <cell r="J60">
            <v>268</v>
          </cell>
        </row>
        <row r="61">
          <cell r="F61">
            <v>56</v>
          </cell>
          <cell r="G61">
            <v>1</v>
          </cell>
          <cell r="H61">
            <v>5</v>
          </cell>
          <cell r="I61">
            <v>3</v>
          </cell>
          <cell r="J61">
            <v>244</v>
          </cell>
        </row>
        <row r="62">
          <cell r="F62">
            <v>57</v>
          </cell>
          <cell r="G62">
            <v>1</v>
          </cell>
          <cell r="H62">
            <v>5</v>
          </cell>
          <cell r="I62">
            <v>5</v>
          </cell>
          <cell r="J62">
            <v>244</v>
          </cell>
        </row>
        <row r="63">
          <cell r="F63">
            <v>58</v>
          </cell>
          <cell r="G63">
            <v>1</v>
          </cell>
          <cell r="H63">
            <v>5</v>
          </cell>
          <cell r="I63">
            <v>6</v>
          </cell>
          <cell r="J63">
            <v>258</v>
          </cell>
        </row>
        <row r="64">
          <cell r="F64">
            <v>59</v>
          </cell>
          <cell r="G64">
            <v>1</v>
          </cell>
          <cell r="H64">
            <v>5</v>
          </cell>
          <cell r="I64">
            <v>7</v>
          </cell>
          <cell r="J64">
            <v>244</v>
          </cell>
        </row>
        <row r="65">
          <cell r="F65">
            <v>60</v>
          </cell>
          <cell r="G65">
            <v>1</v>
          </cell>
          <cell r="H65">
            <v>5</v>
          </cell>
          <cell r="I65">
            <v>8</v>
          </cell>
          <cell r="J65">
            <v>256</v>
          </cell>
        </row>
        <row r="66">
          <cell r="F66">
            <v>61</v>
          </cell>
          <cell r="G66">
            <v>1</v>
          </cell>
          <cell r="H66">
            <v>5</v>
          </cell>
          <cell r="I66">
            <v>9</v>
          </cell>
          <cell r="J66">
            <v>244</v>
          </cell>
        </row>
        <row r="67">
          <cell r="F67">
            <v>62</v>
          </cell>
          <cell r="G67">
            <v>1</v>
          </cell>
          <cell r="H67">
            <v>5</v>
          </cell>
          <cell r="I67">
            <v>10</v>
          </cell>
          <cell r="J67">
            <v>255</v>
          </cell>
        </row>
        <row r="68">
          <cell r="F68">
            <v>63</v>
          </cell>
          <cell r="G68">
            <v>1</v>
          </cell>
          <cell r="H68">
            <v>5</v>
          </cell>
          <cell r="I68">
            <v>11</v>
          </cell>
          <cell r="J68">
            <v>244</v>
          </cell>
        </row>
        <row r="69">
          <cell r="F69">
            <v>64</v>
          </cell>
          <cell r="G69">
            <v>1</v>
          </cell>
          <cell r="H69">
            <v>5</v>
          </cell>
          <cell r="I69">
            <v>12</v>
          </cell>
          <cell r="J69">
            <v>252</v>
          </cell>
        </row>
        <row r="70">
          <cell r="F70">
            <v>65</v>
          </cell>
          <cell r="G70">
            <v>1</v>
          </cell>
          <cell r="H70">
            <v>5</v>
          </cell>
          <cell r="I70">
            <v>15</v>
          </cell>
          <cell r="J70">
            <v>244</v>
          </cell>
        </row>
        <row r="71">
          <cell r="F71">
            <v>66</v>
          </cell>
          <cell r="G71">
            <v>1</v>
          </cell>
          <cell r="H71">
            <v>5</v>
          </cell>
          <cell r="I71">
            <v>16</v>
          </cell>
          <cell r="J71">
            <v>250</v>
          </cell>
        </row>
        <row r="72">
          <cell r="F72">
            <v>67</v>
          </cell>
          <cell r="G72">
            <v>1</v>
          </cell>
          <cell r="H72">
            <v>5</v>
          </cell>
          <cell r="I72">
            <v>17</v>
          </cell>
          <cell r="J72">
            <v>244</v>
          </cell>
        </row>
        <row r="73">
          <cell r="F73">
            <v>68</v>
          </cell>
          <cell r="G73">
            <v>1</v>
          </cell>
          <cell r="H73">
            <v>5</v>
          </cell>
          <cell r="I73">
            <v>18</v>
          </cell>
          <cell r="J73">
            <v>252</v>
          </cell>
        </row>
        <row r="74">
          <cell r="F74">
            <v>69</v>
          </cell>
          <cell r="G74">
            <v>1</v>
          </cell>
          <cell r="H74">
            <v>5</v>
          </cell>
          <cell r="I74">
            <v>19</v>
          </cell>
          <cell r="J74">
            <v>244</v>
          </cell>
        </row>
        <row r="75">
          <cell r="F75">
            <v>70</v>
          </cell>
          <cell r="G75">
            <v>1</v>
          </cell>
          <cell r="H75">
            <v>5</v>
          </cell>
          <cell r="I75">
            <v>20</v>
          </cell>
          <cell r="J75">
            <v>261</v>
          </cell>
        </row>
        <row r="76">
          <cell r="F76">
            <v>71</v>
          </cell>
          <cell r="G76">
            <v>1</v>
          </cell>
          <cell r="H76">
            <v>5</v>
          </cell>
          <cell r="I76">
            <v>21</v>
          </cell>
          <cell r="J76">
            <v>242</v>
          </cell>
        </row>
        <row r="77">
          <cell r="F77">
            <v>72</v>
          </cell>
          <cell r="G77">
            <v>1</v>
          </cell>
          <cell r="H77">
            <v>5</v>
          </cell>
          <cell r="I77">
            <v>22</v>
          </cell>
          <cell r="J77">
            <v>312</v>
          </cell>
        </row>
        <row r="78">
          <cell r="F78">
            <v>73</v>
          </cell>
          <cell r="G78">
            <v>1</v>
          </cell>
          <cell r="H78">
            <v>5</v>
          </cell>
          <cell r="I78">
            <v>23</v>
          </cell>
          <cell r="J78">
            <v>307</v>
          </cell>
        </row>
        <row r="79">
          <cell r="F79">
            <v>0</v>
          </cell>
          <cell r="G79">
            <v>0</v>
          </cell>
          <cell r="H79">
            <v>0</v>
          </cell>
          <cell r="I79">
            <v>0</v>
          </cell>
          <cell r="J79">
            <v>0</v>
          </cell>
        </row>
        <row r="80">
          <cell r="F80">
            <v>74</v>
          </cell>
          <cell r="G80">
            <v>1</v>
          </cell>
          <cell r="H80">
            <v>5</v>
          </cell>
          <cell r="I80">
            <v>25</v>
          </cell>
          <cell r="J80">
            <v>276</v>
          </cell>
        </row>
        <row r="81">
          <cell r="F81">
            <v>75</v>
          </cell>
          <cell r="G81">
            <v>1</v>
          </cell>
          <cell r="H81">
            <v>5</v>
          </cell>
          <cell r="I81">
            <v>26</v>
          </cell>
          <cell r="J81">
            <v>228</v>
          </cell>
        </row>
        <row r="82">
          <cell r="F82">
            <v>76</v>
          </cell>
          <cell r="G82">
            <v>1</v>
          </cell>
          <cell r="H82">
            <v>5</v>
          </cell>
          <cell r="I82">
            <v>27</v>
          </cell>
          <cell r="J82">
            <v>244</v>
          </cell>
        </row>
        <row r="83">
          <cell r="F83">
            <v>77</v>
          </cell>
          <cell r="G83">
            <v>1</v>
          </cell>
          <cell r="H83">
            <v>5</v>
          </cell>
          <cell r="I83">
            <v>28</v>
          </cell>
          <cell r="J83">
            <v>241</v>
          </cell>
        </row>
        <row r="84">
          <cell r="F84">
            <v>78</v>
          </cell>
          <cell r="G84">
            <v>1</v>
          </cell>
          <cell r="H84">
            <v>5</v>
          </cell>
          <cell r="I84">
            <v>29</v>
          </cell>
          <cell r="J84">
            <v>277</v>
          </cell>
        </row>
        <row r="85">
          <cell r="F85">
            <v>79</v>
          </cell>
          <cell r="G85">
            <v>1</v>
          </cell>
          <cell r="H85">
            <v>5</v>
          </cell>
          <cell r="I85">
            <v>30</v>
          </cell>
          <cell r="J85">
            <v>242</v>
          </cell>
        </row>
        <row r="86">
          <cell r="F86">
            <v>80</v>
          </cell>
          <cell r="G86">
            <v>1</v>
          </cell>
          <cell r="H86">
            <v>5</v>
          </cell>
          <cell r="I86">
            <v>31</v>
          </cell>
          <cell r="J86">
            <v>243</v>
          </cell>
        </row>
        <row r="87">
          <cell r="F87">
            <v>81</v>
          </cell>
          <cell r="G87">
            <v>1</v>
          </cell>
          <cell r="H87">
            <v>5</v>
          </cell>
          <cell r="I87">
            <v>32</v>
          </cell>
          <cell r="J87">
            <v>271</v>
          </cell>
        </row>
        <row r="88">
          <cell r="F88">
            <v>82</v>
          </cell>
          <cell r="G88">
            <v>1</v>
          </cell>
          <cell r="H88">
            <v>5</v>
          </cell>
          <cell r="I88">
            <v>33</v>
          </cell>
          <cell r="J88">
            <v>243</v>
          </cell>
        </row>
        <row r="89">
          <cell r="F89">
            <v>0</v>
          </cell>
          <cell r="G89">
            <v>0</v>
          </cell>
          <cell r="H89">
            <v>0</v>
          </cell>
          <cell r="I89">
            <v>0</v>
          </cell>
          <cell r="J89">
            <v>0</v>
          </cell>
        </row>
        <row r="90">
          <cell r="F90">
            <v>83</v>
          </cell>
          <cell r="G90">
            <v>1</v>
          </cell>
          <cell r="H90">
            <v>5</v>
          </cell>
          <cell r="I90">
            <v>35</v>
          </cell>
          <cell r="J90">
            <v>270</v>
          </cell>
        </row>
        <row r="91">
          <cell r="F91">
            <v>84</v>
          </cell>
          <cell r="G91">
            <v>1</v>
          </cell>
          <cell r="H91">
            <v>5</v>
          </cell>
          <cell r="I91">
            <v>36</v>
          </cell>
          <cell r="J91">
            <v>275</v>
          </cell>
        </row>
        <row r="92">
          <cell r="F92">
            <v>85</v>
          </cell>
          <cell r="G92">
            <v>1</v>
          </cell>
          <cell r="H92">
            <v>5</v>
          </cell>
          <cell r="I92">
            <v>37</v>
          </cell>
          <cell r="J92">
            <v>252</v>
          </cell>
        </row>
        <row r="93">
          <cell r="F93">
            <v>86</v>
          </cell>
          <cell r="G93">
            <v>1</v>
          </cell>
          <cell r="H93">
            <v>5</v>
          </cell>
          <cell r="I93">
            <v>38</v>
          </cell>
          <cell r="J93">
            <v>258</v>
          </cell>
        </row>
        <row r="94">
          <cell r="F94">
            <v>87</v>
          </cell>
          <cell r="G94">
            <v>1</v>
          </cell>
          <cell r="H94">
            <v>5</v>
          </cell>
          <cell r="I94">
            <v>39</v>
          </cell>
          <cell r="J94">
            <v>243</v>
          </cell>
        </row>
        <row r="95">
          <cell r="F95">
            <v>88</v>
          </cell>
          <cell r="G95">
            <v>1</v>
          </cell>
          <cell r="H95">
            <v>5</v>
          </cell>
          <cell r="I95">
            <v>40</v>
          </cell>
          <cell r="J95">
            <v>260</v>
          </cell>
        </row>
        <row r="96">
          <cell r="F96">
            <v>89</v>
          </cell>
          <cell r="G96">
            <v>1</v>
          </cell>
          <cell r="H96">
            <v>5</v>
          </cell>
          <cell r="I96">
            <v>41</v>
          </cell>
          <cell r="J96">
            <v>243</v>
          </cell>
        </row>
        <row r="97">
          <cell r="F97">
            <v>90</v>
          </cell>
          <cell r="G97">
            <v>1</v>
          </cell>
          <cell r="H97">
            <v>5</v>
          </cell>
          <cell r="I97">
            <v>42</v>
          </cell>
          <cell r="J97">
            <v>281</v>
          </cell>
        </row>
        <row r="98">
          <cell r="F98">
            <v>91</v>
          </cell>
          <cell r="G98">
            <v>1</v>
          </cell>
          <cell r="H98">
            <v>5</v>
          </cell>
          <cell r="I98">
            <v>43</v>
          </cell>
          <cell r="J98">
            <v>246</v>
          </cell>
        </row>
        <row r="99">
          <cell r="F99">
            <v>92</v>
          </cell>
          <cell r="G99">
            <v>1</v>
          </cell>
          <cell r="H99">
            <v>5</v>
          </cell>
          <cell r="I99">
            <v>45</v>
          </cell>
          <cell r="J99">
            <v>268</v>
          </cell>
        </row>
        <row r="100">
          <cell r="F100">
            <v>93</v>
          </cell>
          <cell r="G100">
            <v>1</v>
          </cell>
          <cell r="H100">
            <v>5</v>
          </cell>
          <cell r="I100">
            <v>46</v>
          </cell>
          <cell r="J100">
            <v>283</v>
          </cell>
        </row>
        <row r="101">
          <cell r="F101">
            <v>94</v>
          </cell>
          <cell r="G101">
            <v>1</v>
          </cell>
          <cell r="H101">
            <v>5</v>
          </cell>
          <cell r="I101">
            <v>47</v>
          </cell>
          <cell r="J101">
            <v>278</v>
          </cell>
        </row>
        <row r="102">
          <cell r="F102">
            <v>95</v>
          </cell>
          <cell r="G102">
            <v>1</v>
          </cell>
          <cell r="H102">
            <v>5</v>
          </cell>
          <cell r="I102">
            <v>48</v>
          </cell>
          <cell r="J102">
            <v>282</v>
          </cell>
        </row>
        <row r="103">
          <cell r="F103">
            <v>96</v>
          </cell>
          <cell r="G103">
            <v>1</v>
          </cell>
          <cell r="H103">
            <v>5</v>
          </cell>
          <cell r="I103">
            <v>49</v>
          </cell>
          <cell r="J103">
            <v>276</v>
          </cell>
        </row>
        <row r="104">
          <cell r="F104">
            <v>97</v>
          </cell>
          <cell r="G104">
            <v>1</v>
          </cell>
          <cell r="H104">
            <v>5</v>
          </cell>
          <cell r="I104">
            <v>50</v>
          </cell>
          <cell r="J104">
            <v>296</v>
          </cell>
        </row>
        <row r="105">
          <cell r="F105">
            <v>98</v>
          </cell>
          <cell r="G105">
            <v>1</v>
          </cell>
          <cell r="H105">
            <v>5</v>
          </cell>
          <cell r="I105">
            <v>51</v>
          </cell>
          <cell r="J105">
            <v>270</v>
          </cell>
        </row>
        <row r="106">
          <cell r="F106">
            <v>99</v>
          </cell>
          <cell r="G106">
            <v>1</v>
          </cell>
          <cell r="H106">
            <v>5</v>
          </cell>
          <cell r="I106">
            <v>52</v>
          </cell>
          <cell r="J106">
            <v>366</v>
          </cell>
        </row>
        <row r="107">
          <cell r="F107">
            <v>100</v>
          </cell>
          <cell r="G107">
            <v>1</v>
          </cell>
          <cell r="H107">
            <v>5</v>
          </cell>
          <cell r="I107">
            <v>53</v>
          </cell>
          <cell r="J107">
            <v>281</v>
          </cell>
        </row>
        <row r="108">
          <cell r="F108">
            <v>101</v>
          </cell>
          <cell r="G108">
            <v>1</v>
          </cell>
          <cell r="H108">
            <v>5</v>
          </cell>
          <cell r="I108">
            <v>55</v>
          </cell>
          <cell r="J108">
            <v>353</v>
          </cell>
        </row>
        <row r="109">
          <cell r="F109">
            <v>102</v>
          </cell>
          <cell r="G109">
            <v>1</v>
          </cell>
          <cell r="H109">
            <v>6</v>
          </cell>
          <cell r="I109">
            <v>1</v>
          </cell>
          <cell r="J109">
            <v>390</v>
          </cell>
        </row>
        <row r="110">
          <cell r="F110">
            <v>103</v>
          </cell>
          <cell r="G110">
            <v>1</v>
          </cell>
          <cell r="H110">
            <v>6</v>
          </cell>
          <cell r="I110">
            <v>2</v>
          </cell>
          <cell r="J110">
            <v>304</v>
          </cell>
        </row>
        <row r="111">
          <cell r="F111">
            <v>104</v>
          </cell>
          <cell r="G111">
            <v>1</v>
          </cell>
          <cell r="H111">
            <v>6</v>
          </cell>
          <cell r="I111">
            <v>3</v>
          </cell>
          <cell r="J111">
            <v>270</v>
          </cell>
        </row>
        <row r="112">
          <cell r="F112">
            <v>105</v>
          </cell>
          <cell r="G112">
            <v>1</v>
          </cell>
          <cell r="H112">
            <v>6</v>
          </cell>
          <cell r="I112">
            <v>5</v>
          </cell>
          <cell r="J112">
            <v>277</v>
          </cell>
        </row>
        <row r="113">
          <cell r="F113">
            <v>106</v>
          </cell>
          <cell r="G113">
            <v>1</v>
          </cell>
          <cell r="H113">
            <v>6</v>
          </cell>
          <cell r="I113">
            <v>6</v>
          </cell>
          <cell r="J113">
            <v>247</v>
          </cell>
        </row>
        <row r="114">
          <cell r="F114">
            <v>107</v>
          </cell>
          <cell r="G114">
            <v>1</v>
          </cell>
          <cell r="H114">
            <v>6</v>
          </cell>
          <cell r="I114">
            <v>7</v>
          </cell>
          <cell r="J114">
            <v>379</v>
          </cell>
        </row>
        <row r="115">
          <cell r="F115">
            <v>108</v>
          </cell>
          <cell r="G115">
            <v>1</v>
          </cell>
          <cell r="H115">
            <v>6</v>
          </cell>
          <cell r="I115">
            <v>8</v>
          </cell>
          <cell r="J115">
            <v>248</v>
          </cell>
        </row>
        <row r="116">
          <cell r="F116">
            <v>109</v>
          </cell>
          <cell r="G116">
            <v>1</v>
          </cell>
          <cell r="H116">
            <v>6</v>
          </cell>
          <cell r="I116">
            <v>9</v>
          </cell>
          <cell r="J116">
            <v>249</v>
          </cell>
        </row>
        <row r="117">
          <cell r="F117">
            <v>110</v>
          </cell>
          <cell r="G117">
            <v>1</v>
          </cell>
          <cell r="H117">
            <v>6</v>
          </cell>
          <cell r="I117">
            <v>10</v>
          </cell>
          <cell r="J117">
            <v>350</v>
          </cell>
        </row>
        <row r="118">
          <cell r="F118">
            <v>111</v>
          </cell>
          <cell r="G118">
            <v>1</v>
          </cell>
          <cell r="H118">
            <v>6</v>
          </cell>
          <cell r="I118">
            <v>11</v>
          </cell>
          <cell r="J118">
            <v>251</v>
          </cell>
        </row>
        <row r="119">
          <cell r="F119">
            <v>112</v>
          </cell>
          <cell r="G119">
            <v>1</v>
          </cell>
          <cell r="H119">
            <v>6</v>
          </cell>
          <cell r="I119">
            <v>12</v>
          </cell>
          <cell r="J119">
            <v>273</v>
          </cell>
        </row>
        <row r="120">
          <cell r="F120">
            <v>113</v>
          </cell>
          <cell r="G120">
            <v>1</v>
          </cell>
          <cell r="H120">
            <v>6</v>
          </cell>
          <cell r="I120">
            <v>15</v>
          </cell>
          <cell r="J120">
            <v>253</v>
          </cell>
        </row>
        <row r="121">
          <cell r="F121">
            <v>114</v>
          </cell>
          <cell r="G121">
            <v>1</v>
          </cell>
          <cell r="H121">
            <v>6</v>
          </cell>
          <cell r="I121">
            <v>16</v>
          </cell>
          <cell r="J121">
            <v>251</v>
          </cell>
        </row>
        <row r="122">
          <cell r="F122">
            <v>115</v>
          </cell>
          <cell r="G122">
            <v>1</v>
          </cell>
          <cell r="H122">
            <v>6</v>
          </cell>
          <cell r="I122">
            <v>17</v>
          </cell>
          <cell r="J122">
            <v>253</v>
          </cell>
        </row>
        <row r="123">
          <cell r="F123">
            <v>116</v>
          </cell>
          <cell r="G123">
            <v>1</v>
          </cell>
          <cell r="H123">
            <v>6</v>
          </cell>
          <cell r="I123">
            <v>18</v>
          </cell>
          <cell r="J123">
            <v>251</v>
          </cell>
        </row>
        <row r="124">
          <cell r="F124">
            <v>117</v>
          </cell>
          <cell r="G124">
            <v>1</v>
          </cell>
          <cell r="H124">
            <v>6</v>
          </cell>
          <cell r="I124">
            <v>19</v>
          </cell>
          <cell r="J124">
            <v>333</v>
          </cell>
        </row>
        <row r="125">
          <cell r="F125">
            <v>118</v>
          </cell>
          <cell r="G125">
            <v>1</v>
          </cell>
          <cell r="H125">
            <v>6</v>
          </cell>
          <cell r="I125">
            <v>20</v>
          </cell>
          <cell r="J125">
            <v>342</v>
          </cell>
        </row>
        <row r="126">
          <cell r="F126">
            <v>119</v>
          </cell>
          <cell r="G126">
            <v>1</v>
          </cell>
          <cell r="H126">
            <v>7</v>
          </cell>
          <cell r="I126">
            <v>1</v>
          </cell>
          <cell r="J126">
            <v>343</v>
          </cell>
        </row>
        <row r="127">
          <cell r="F127">
            <v>120</v>
          </cell>
          <cell r="G127">
            <v>1</v>
          </cell>
          <cell r="H127">
            <v>7</v>
          </cell>
          <cell r="I127">
            <v>2</v>
          </cell>
          <cell r="J127">
            <v>397</v>
          </cell>
        </row>
        <row r="128">
          <cell r="F128">
            <v>121</v>
          </cell>
          <cell r="G128">
            <v>1</v>
          </cell>
          <cell r="H128">
            <v>7</v>
          </cell>
          <cell r="I128">
            <v>3</v>
          </cell>
          <cell r="J128">
            <v>317</v>
          </cell>
        </row>
        <row r="129">
          <cell r="F129">
            <v>0</v>
          </cell>
          <cell r="G129">
            <v>0</v>
          </cell>
          <cell r="H129">
            <v>0</v>
          </cell>
          <cell r="I129">
            <v>0</v>
          </cell>
          <cell r="J129">
            <v>0</v>
          </cell>
        </row>
        <row r="130">
          <cell r="F130">
            <v>122</v>
          </cell>
          <cell r="G130">
            <v>1</v>
          </cell>
          <cell r="H130">
            <v>7</v>
          </cell>
          <cell r="I130">
            <v>5</v>
          </cell>
          <cell r="J130">
            <v>302</v>
          </cell>
        </row>
        <row r="131">
          <cell r="F131">
            <v>123</v>
          </cell>
          <cell r="G131">
            <v>1</v>
          </cell>
          <cell r="H131">
            <v>7</v>
          </cell>
          <cell r="I131">
            <v>6</v>
          </cell>
          <cell r="J131">
            <v>353</v>
          </cell>
        </row>
        <row r="132">
          <cell r="F132">
            <v>124</v>
          </cell>
          <cell r="G132">
            <v>1</v>
          </cell>
          <cell r="H132">
            <v>7</v>
          </cell>
          <cell r="I132">
            <v>7</v>
          </cell>
          <cell r="J132">
            <v>302</v>
          </cell>
        </row>
        <row r="133">
          <cell r="F133">
            <v>125</v>
          </cell>
          <cell r="G133">
            <v>1</v>
          </cell>
          <cell r="H133">
            <v>7</v>
          </cell>
          <cell r="I133">
            <v>8</v>
          </cell>
          <cell r="J133">
            <v>293</v>
          </cell>
        </row>
        <row r="134">
          <cell r="F134">
            <v>126</v>
          </cell>
          <cell r="G134">
            <v>1</v>
          </cell>
          <cell r="H134">
            <v>7</v>
          </cell>
          <cell r="I134">
            <v>9</v>
          </cell>
          <cell r="J134">
            <v>296</v>
          </cell>
        </row>
        <row r="135">
          <cell r="F135">
            <v>127</v>
          </cell>
          <cell r="G135">
            <v>1</v>
          </cell>
          <cell r="H135">
            <v>7</v>
          </cell>
          <cell r="I135">
            <v>10</v>
          </cell>
          <cell r="J135">
            <v>360</v>
          </cell>
        </row>
        <row r="136">
          <cell r="F136">
            <v>128</v>
          </cell>
          <cell r="G136">
            <v>1</v>
          </cell>
          <cell r="H136">
            <v>7</v>
          </cell>
          <cell r="I136">
            <v>11</v>
          </cell>
          <cell r="J136">
            <v>335</v>
          </cell>
        </row>
        <row r="137">
          <cell r="F137">
            <v>129</v>
          </cell>
          <cell r="G137">
            <v>1</v>
          </cell>
          <cell r="H137">
            <v>8</v>
          </cell>
          <cell r="I137">
            <v>1</v>
          </cell>
          <cell r="J137">
            <v>312</v>
          </cell>
        </row>
        <row r="138">
          <cell r="F138">
            <v>130</v>
          </cell>
          <cell r="G138">
            <v>1</v>
          </cell>
          <cell r="H138">
            <v>8</v>
          </cell>
          <cell r="I138">
            <v>2</v>
          </cell>
          <cell r="J138">
            <v>278</v>
          </cell>
        </row>
        <row r="139">
          <cell r="F139">
            <v>131</v>
          </cell>
          <cell r="G139">
            <v>1</v>
          </cell>
          <cell r="H139">
            <v>8</v>
          </cell>
          <cell r="I139">
            <v>3</v>
          </cell>
          <cell r="J139">
            <v>279</v>
          </cell>
        </row>
        <row r="140">
          <cell r="F140">
            <v>132</v>
          </cell>
          <cell r="G140">
            <v>1</v>
          </cell>
          <cell r="H140">
            <v>8</v>
          </cell>
          <cell r="I140">
            <v>5</v>
          </cell>
          <cell r="J140">
            <v>258</v>
          </cell>
        </row>
        <row r="141">
          <cell r="F141">
            <v>133</v>
          </cell>
          <cell r="G141">
            <v>1</v>
          </cell>
          <cell r="H141">
            <v>8</v>
          </cell>
          <cell r="I141">
            <v>6</v>
          </cell>
          <cell r="J141">
            <v>258</v>
          </cell>
        </row>
        <row r="142">
          <cell r="F142">
            <v>134</v>
          </cell>
          <cell r="G142">
            <v>1</v>
          </cell>
          <cell r="H142">
            <v>8</v>
          </cell>
          <cell r="I142">
            <v>7</v>
          </cell>
          <cell r="J142">
            <v>258</v>
          </cell>
        </row>
        <row r="143">
          <cell r="F143">
            <v>135</v>
          </cell>
          <cell r="G143">
            <v>1</v>
          </cell>
          <cell r="H143">
            <v>8</v>
          </cell>
          <cell r="I143">
            <v>8</v>
          </cell>
          <cell r="J143">
            <v>252</v>
          </cell>
        </row>
        <row r="144">
          <cell r="F144">
            <v>136</v>
          </cell>
          <cell r="G144">
            <v>1</v>
          </cell>
          <cell r="H144">
            <v>8</v>
          </cell>
          <cell r="I144">
            <v>9</v>
          </cell>
          <cell r="J144">
            <v>252</v>
          </cell>
        </row>
        <row r="145">
          <cell r="F145">
            <v>137</v>
          </cell>
          <cell r="G145">
            <v>1</v>
          </cell>
          <cell r="H145">
            <v>8</v>
          </cell>
          <cell r="I145">
            <v>10</v>
          </cell>
          <cell r="J145">
            <v>252</v>
          </cell>
        </row>
        <row r="146">
          <cell r="F146">
            <v>138</v>
          </cell>
          <cell r="G146">
            <v>1</v>
          </cell>
          <cell r="H146">
            <v>8</v>
          </cell>
          <cell r="I146">
            <v>11</v>
          </cell>
          <cell r="J146">
            <v>252</v>
          </cell>
        </row>
        <row r="147">
          <cell r="F147">
            <v>139</v>
          </cell>
          <cell r="G147">
            <v>1</v>
          </cell>
          <cell r="H147">
            <v>8</v>
          </cell>
          <cell r="I147">
            <v>12</v>
          </cell>
          <cell r="J147">
            <v>285</v>
          </cell>
        </row>
        <row r="148">
          <cell r="F148">
            <v>140</v>
          </cell>
          <cell r="G148">
            <v>1</v>
          </cell>
          <cell r="H148">
            <v>8</v>
          </cell>
          <cell r="I148">
            <v>15</v>
          </cell>
          <cell r="J148">
            <v>385</v>
          </cell>
        </row>
        <row r="149">
          <cell r="F149">
            <v>141</v>
          </cell>
          <cell r="G149">
            <v>1</v>
          </cell>
          <cell r="H149">
            <v>9</v>
          </cell>
          <cell r="I149">
            <v>1</v>
          </cell>
          <cell r="J149">
            <v>486</v>
          </cell>
        </row>
        <row r="150">
          <cell r="F150">
            <v>142</v>
          </cell>
          <cell r="G150">
            <v>1</v>
          </cell>
          <cell r="H150">
            <v>9</v>
          </cell>
          <cell r="I150">
            <v>2</v>
          </cell>
          <cell r="J150">
            <v>362</v>
          </cell>
        </row>
        <row r="151">
          <cell r="F151">
            <v>143</v>
          </cell>
          <cell r="G151">
            <v>1</v>
          </cell>
          <cell r="H151">
            <v>9</v>
          </cell>
          <cell r="I151">
            <v>3</v>
          </cell>
          <cell r="J151">
            <v>319</v>
          </cell>
        </row>
        <row r="152">
          <cell r="F152">
            <v>0</v>
          </cell>
          <cell r="G152">
            <v>0</v>
          </cell>
          <cell r="H152">
            <v>0</v>
          </cell>
          <cell r="I152">
            <v>0</v>
          </cell>
          <cell r="J152">
            <v>0</v>
          </cell>
        </row>
        <row r="153">
          <cell r="F153">
            <v>144</v>
          </cell>
          <cell r="G153">
            <v>1</v>
          </cell>
          <cell r="H153">
            <v>9</v>
          </cell>
          <cell r="I153">
            <v>5</v>
          </cell>
          <cell r="J153">
            <v>336</v>
          </cell>
        </row>
        <row r="154">
          <cell r="F154">
            <v>145</v>
          </cell>
          <cell r="G154">
            <v>1</v>
          </cell>
          <cell r="H154">
            <v>9</v>
          </cell>
          <cell r="I154">
            <v>6</v>
          </cell>
          <cell r="J154">
            <v>344</v>
          </cell>
        </row>
        <row r="155">
          <cell r="F155">
            <v>0</v>
          </cell>
          <cell r="G155">
            <v>0</v>
          </cell>
          <cell r="H155">
            <v>0</v>
          </cell>
          <cell r="I155">
            <v>0</v>
          </cell>
          <cell r="J155">
            <v>0</v>
          </cell>
        </row>
        <row r="156">
          <cell r="F156">
            <v>0</v>
          </cell>
          <cell r="G156">
            <v>0</v>
          </cell>
          <cell r="H156">
            <v>0</v>
          </cell>
          <cell r="I156">
            <v>0</v>
          </cell>
          <cell r="J156">
            <v>0</v>
          </cell>
        </row>
        <row r="157">
          <cell r="F157">
            <v>0</v>
          </cell>
          <cell r="G157">
            <v>0</v>
          </cell>
          <cell r="H157">
            <v>0</v>
          </cell>
          <cell r="I157">
            <v>0</v>
          </cell>
          <cell r="J157">
            <v>0</v>
          </cell>
        </row>
        <row r="158">
          <cell r="F158">
            <v>146</v>
          </cell>
          <cell r="G158">
            <v>1</v>
          </cell>
          <cell r="H158">
            <v>11</v>
          </cell>
          <cell r="I158">
            <v>1</v>
          </cell>
          <cell r="J158">
            <v>313</v>
          </cell>
        </row>
        <row r="159">
          <cell r="F159">
            <v>147</v>
          </cell>
          <cell r="G159">
            <v>1</v>
          </cell>
          <cell r="H159">
            <v>11</v>
          </cell>
          <cell r="I159">
            <v>2</v>
          </cell>
          <cell r="J159">
            <v>251</v>
          </cell>
        </row>
        <row r="160">
          <cell r="F160">
            <v>148</v>
          </cell>
          <cell r="G160">
            <v>1</v>
          </cell>
          <cell r="H160">
            <v>11</v>
          </cell>
          <cell r="I160">
            <v>3</v>
          </cell>
          <cell r="J160">
            <v>267</v>
          </cell>
        </row>
        <row r="161">
          <cell r="F161">
            <v>0</v>
          </cell>
          <cell r="G161">
            <v>0</v>
          </cell>
          <cell r="H161">
            <v>0</v>
          </cell>
          <cell r="I161">
            <v>0</v>
          </cell>
          <cell r="J161">
            <v>0</v>
          </cell>
        </row>
        <row r="162">
          <cell r="F162">
            <v>149</v>
          </cell>
          <cell r="G162">
            <v>1</v>
          </cell>
          <cell r="H162">
            <v>11</v>
          </cell>
          <cell r="I162">
            <v>5</v>
          </cell>
          <cell r="J162">
            <v>459</v>
          </cell>
        </row>
        <row r="163">
          <cell r="F163">
            <v>150</v>
          </cell>
          <cell r="G163">
            <v>1</v>
          </cell>
          <cell r="H163">
            <v>11</v>
          </cell>
          <cell r="I163">
            <v>6</v>
          </cell>
          <cell r="J163">
            <v>290</v>
          </cell>
        </row>
        <row r="164">
          <cell r="F164">
            <v>151</v>
          </cell>
          <cell r="G164">
            <v>1</v>
          </cell>
          <cell r="H164">
            <v>11</v>
          </cell>
          <cell r="I164">
            <v>7</v>
          </cell>
          <cell r="J164">
            <v>254</v>
          </cell>
        </row>
        <row r="165">
          <cell r="F165">
            <v>152</v>
          </cell>
          <cell r="G165">
            <v>1</v>
          </cell>
          <cell r="H165">
            <v>11</v>
          </cell>
          <cell r="I165">
            <v>8</v>
          </cell>
          <cell r="J165">
            <v>253</v>
          </cell>
        </row>
        <row r="166">
          <cell r="F166">
            <v>153</v>
          </cell>
          <cell r="G166">
            <v>1</v>
          </cell>
          <cell r="H166">
            <v>11</v>
          </cell>
          <cell r="I166">
            <v>9</v>
          </cell>
          <cell r="J166">
            <v>253</v>
          </cell>
        </row>
        <row r="167">
          <cell r="F167">
            <v>154</v>
          </cell>
          <cell r="G167">
            <v>1</v>
          </cell>
          <cell r="H167">
            <v>11</v>
          </cell>
          <cell r="I167">
            <v>10</v>
          </cell>
          <cell r="J167">
            <v>253</v>
          </cell>
        </row>
        <row r="168">
          <cell r="F168">
            <v>155</v>
          </cell>
          <cell r="G168">
            <v>1</v>
          </cell>
          <cell r="H168">
            <v>11</v>
          </cell>
          <cell r="I168">
            <v>11</v>
          </cell>
          <cell r="J168">
            <v>255</v>
          </cell>
        </row>
        <row r="169">
          <cell r="F169">
            <v>156</v>
          </cell>
          <cell r="G169">
            <v>1</v>
          </cell>
          <cell r="H169">
            <v>11</v>
          </cell>
          <cell r="I169">
            <v>12</v>
          </cell>
          <cell r="J169">
            <v>295</v>
          </cell>
        </row>
        <row r="170">
          <cell r="F170">
            <v>0</v>
          </cell>
          <cell r="G170">
            <v>0</v>
          </cell>
          <cell r="H170">
            <v>0</v>
          </cell>
          <cell r="I170">
            <v>0</v>
          </cell>
          <cell r="J170">
            <v>0</v>
          </cell>
        </row>
        <row r="171">
          <cell r="F171">
            <v>157</v>
          </cell>
          <cell r="G171">
            <v>1</v>
          </cell>
          <cell r="H171">
            <v>11</v>
          </cell>
          <cell r="I171">
            <v>15</v>
          </cell>
          <cell r="J171">
            <v>303</v>
          </cell>
        </row>
        <row r="172">
          <cell r="F172">
            <v>158</v>
          </cell>
          <cell r="G172">
            <v>1</v>
          </cell>
          <cell r="H172">
            <v>11</v>
          </cell>
          <cell r="I172">
            <v>16</v>
          </cell>
          <cell r="J172">
            <v>304</v>
          </cell>
        </row>
        <row r="173">
          <cell r="F173">
            <v>159</v>
          </cell>
          <cell r="G173">
            <v>1</v>
          </cell>
          <cell r="H173">
            <v>11</v>
          </cell>
          <cell r="I173">
            <v>17</v>
          </cell>
          <cell r="J173">
            <v>298</v>
          </cell>
        </row>
        <row r="174">
          <cell r="F174">
            <v>160</v>
          </cell>
          <cell r="G174">
            <v>1</v>
          </cell>
          <cell r="H174">
            <v>11</v>
          </cell>
          <cell r="I174">
            <v>18</v>
          </cell>
          <cell r="J174">
            <v>270</v>
          </cell>
        </row>
        <row r="175">
          <cell r="F175">
            <v>161</v>
          </cell>
          <cell r="G175">
            <v>1</v>
          </cell>
          <cell r="H175">
            <v>11</v>
          </cell>
          <cell r="I175">
            <v>19</v>
          </cell>
          <cell r="J175">
            <v>267</v>
          </cell>
        </row>
        <row r="176">
          <cell r="F176">
            <v>162</v>
          </cell>
          <cell r="G176">
            <v>1</v>
          </cell>
          <cell r="H176">
            <v>11</v>
          </cell>
          <cell r="I176">
            <v>20</v>
          </cell>
          <cell r="J176">
            <v>271</v>
          </cell>
        </row>
        <row r="177">
          <cell r="F177">
            <v>163</v>
          </cell>
          <cell r="G177">
            <v>1</v>
          </cell>
          <cell r="H177">
            <v>11</v>
          </cell>
          <cell r="I177">
            <v>21</v>
          </cell>
          <cell r="J177">
            <v>297</v>
          </cell>
        </row>
        <row r="178">
          <cell r="F178">
            <v>164</v>
          </cell>
          <cell r="G178">
            <v>1</v>
          </cell>
          <cell r="H178">
            <v>11</v>
          </cell>
          <cell r="I178">
            <v>22</v>
          </cell>
          <cell r="J178">
            <v>352</v>
          </cell>
        </row>
        <row r="179">
          <cell r="F179">
            <v>165</v>
          </cell>
          <cell r="G179">
            <v>1</v>
          </cell>
          <cell r="H179">
            <v>11</v>
          </cell>
          <cell r="I179">
            <v>23</v>
          </cell>
          <cell r="J179">
            <v>305</v>
          </cell>
        </row>
        <row r="180">
          <cell r="F180">
            <v>166</v>
          </cell>
          <cell r="G180">
            <v>1</v>
          </cell>
          <cell r="H180">
            <v>11</v>
          </cell>
          <cell r="I180">
            <v>25</v>
          </cell>
          <cell r="J180">
            <v>418</v>
          </cell>
        </row>
        <row r="181">
          <cell r="F181">
            <v>167</v>
          </cell>
          <cell r="G181">
            <v>1</v>
          </cell>
          <cell r="H181">
            <v>11</v>
          </cell>
          <cell r="I181">
            <v>26</v>
          </cell>
          <cell r="J181">
            <v>583</v>
          </cell>
        </row>
        <row r="182">
          <cell r="F182">
            <v>168</v>
          </cell>
          <cell r="G182">
            <v>1</v>
          </cell>
          <cell r="H182">
            <v>11</v>
          </cell>
          <cell r="I182">
            <v>27</v>
          </cell>
          <cell r="J182">
            <v>296</v>
          </cell>
        </row>
        <row r="183">
          <cell r="F183">
            <v>169</v>
          </cell>
          <cell r="G183">
            <v>1</v>
          </cell>
          <cell r="H183">
            <v>11</v>
          </cell>
          <cell r="I183">
            <v>28</v>
          </cell>
          <cell r="J183">
            <v>272</v>
          </cell>
        </row>
        <row r="184">
          <cell r="F184">
            <v>170</v>
          </cell>
          <cell r="G184">
            <v>1</v>
          </cell>
          <cell r="H184">
            <v>11</v>
          </cell>
          <cell r="I184">
            <v>29</v>
          </cell>
          <cell r="J184">
            <v>261</v>
          </cell>
        </row>
        <row r="185">
          <cell r="F185">
            <v>171</v>
          </cell>
          <cell r="G185">
            <v>1</v>
          </cell>
          <cell r="H185">
            <v>11</v>
          </cell>
          <cell r="I185">
            <v>30</v>
          </cell>
          <cell r="J185">
            <v>261</v>
          </cell>
        </row>
        <row r="186">
          <cell r="F186">
            <v>172</v>
          </cell>
          <cell r="G186">
            <v>1</v>
          </cell>
          <cell r="H186">
            <v>11</v>
          </cell>
          <cell r="I186">
            <v>31</v>
          </cell>
          <cell r="J186">
            <v>261</v>
          </cell>
        </row>
        <row r="187">
          <cell r="F187">
            <v>173</v>
          </cell>
          <cell r="G187">
            <v>1</v>
          </cell>
          <cell r="H187">
            <v>11</v>
          </cell>
          <cell r="I187">
            <v>32</v>
          </cell>
          <cell r="J187">
            <v>321</v>
          </cell>
        </row>
        <row r="188">
          <cell r="F188">
            <v>174</v>
          </cell>
          <cell r="G188">
            <v>1</v>
          </cell>
          <cell r="H188">
            <v>11</v>
          </cell>
          <cell r="I188">
            <v>33</v>
          </cell>
          <cell r="J188">
            <v>357</v>
          </cell>
        </row>
        <row r="189">
          <cell r="F189">
            <v>0</v>
          </cell>
          <cell r="G189">
            <v>0</v>
          </cell>
          <cell r="H189">
            <v>0</v>
          </cell>
          <cell r="I189">
            <v>0</v>
          </cell>
          <cell r="J189">
            <v>0</v>
          </cell>
        </row>
        <row r="190">
          <cell r="F190">
            <v>175</v>
          </cell>
          <cell r="G190">
            <v>1</v>
          </cell>
          <cell r="H190">
            <v>11</v>
          </cell>
          <cell r="I190">
            <v>35</v>
          </cell>
          <cell r="J190">
            <v>273</v>
          </cell>
        </row>
        <row r="191">
          <cell r="F191">
            <v>176</v>
          </cell>
          <cell r="G191">
            <v>1</v>
          </cell>
          <cell r="H191">
            <v>11</v>
          </cell>
          <cell r="I191">
            <v>36</v>
          </cell>
          <cell r="J191">
            <v>265</v>
          </cell>
        </row>
        <row r="192">
          <cell r="F192">
            <v>177</v>
          </cell>
          <cell r="G192">
            <v>1</v>
          </cell>
          <cell r="H192">
            <v>11</v>
          </cell>
          <cell r="I192">
            <v>37</v>
          </cell>
          <cell r="J192">
            <v>254</v>
          </cell>
        </row>
        <row r="193">
          <cell r="F193">
            <v>178</v>
          </cell>
          <cell r="G193">
            <v>1</v>
          </cell>
          <cell r="H193">
            <v>11</v>
          </cell>
          <cell r="I193">
            <v>38</v>
          </cell>
          <cell r="J193">
            <v>258</v>
          </cell>
        </row>
        <row r="194">
          <cell r="F194">
            <v>179</v>
          </cell>
          <cell r="G194">
            <v>1</v>
          </cell>
          <cell r="H194">
            <v>11</v>
          </cell>
          <cell r="I194">
            <v>39</v>
          </cell>
          <cell r="J194">
            <v>254</v>
          </cell>
        </row>
        <row r="195">
          <cell r="F195">
            <v>180</v>
          </cell>
          <cell r="G195">
            <v>1</v>
          </cell>
          <cell r="H195">
            <v>11</v>
          </cell>
          <cell r="I195">
            <v>40</v>
          </cell>
          <cell r="J195">
            <v>262</v>
          </cell>
        </row>
        <row r="196">
          <cell r="F196">
            <v>181</v>
          </cell>
          <cell r="G196">
            <v>1</v>
          </cell>
          <cell r="H196">
            <v>11</v>
          </cell>
          <cell r="I196">
            <v>41</v>
          </cell>
          <cell r="J196">
            <v>258</v>
          </cell>
        </row>
        <row r="197">
          <cell r="F197">
            <v>182</v>
          </cell>
          <cell r="G197">
            <v>1</v>
          </cell>
          <cell r="H197">
            <v>11</v>
          </cell>
          <cell r="I197">
            <v>42</v>
          </cell>
          <cell r="J197">
            <v>256</v>
          </cell>
        </row>
        <row r="198">
          <cell r="F198">
            <v>183</v>
          </cell>
          <cell r="G198">
            <v>1</v>
          </cell>
          <cell r="H198">
            <v>11</v>
          </cell>
          <cell r="I198">
            <v>43</v>
          </cell>
          <cell r="J198">
            <v>284</v>
          </cell>
        </row>
        <row r="199">
          <cell r="F199">
            <v>184</v>
          </cell>
          <cell r="G199">
            <v>1</v>
          </cell>
          <cell r="H199">
            <v>11</v>
          </cell>
          <cell r="I199">
            <v>45</v>
          </cell>
          <cell r="J199">
            <v>292</v>
          </cell>
        </row>
        <row r="200">
          <cell r="F200">
            <v>185</v>
          </cell>
          <cell r="G200">
            <v>1</v>
          </cell>
          <cell r="H200">
            <v>11</v>
          </cell>
          <cell r="I200">
            <v>46</v>
          </cell>
          <cell r="J200">
            <v>274</v>
          </cell>
        </row>
        <row r="201">
          <cell r="F201">
            <v>186</v>
          </cell>
          <cell r="G201">
            <v>1</v>
          </cell>
          <cell r="H201">
            <v>11</v>
          </cell>
          <cell r="I201">
            <v>47</v>
          </cell>
          <cell r="J201">
            <v>273</v>
          </cell>
        </row>
        <row r="202">
          <cell r="F202">
            <v>187</v>
          </cell>
          <cell r="G202">
            <v>1</v>
          </cell>
          <cell r="H202">
            <v>11</v>
          </cell>
          <cell r="I202">
            <v>48</v>
          </cell>
          <cell r="J202">
            <v>267</v>
          </cell>
        </row>
        <row r="203">
          <cell r="F203">
            <v>188</v>
          </cell>
          <cell r="G203">
            <v>1</v>
          </cell>
          <cell r="H203">
            <v>11</v>
          </cell>
          <cell r="I203">
            <v>49</v>
          </cell>
          <cell r="J203">
            <v>300</v>
          </cell>
        </row>
        <row r="204">
          <cell r="F204">
            <v>189</v>
          </cell>
          <cell r="G204">
            <v>1</v>
          </cell>
          <cell r="H204">
            <v>12</v>
          </cell>
          <cell r="I204">
            <v>1</v>
          </cell>
          <cell r="J204">
            <v>289</v>
          </cell>
        </row>
        <row r="205">
          <cell r="F205">
            <v>190</v>
          </cell>
          <cell r="G205">
            <v>1</v>
          </cell>
          <cell r="H205">
            <v>12</v>
          </cell>
          <cell r="I205">
            <v>2</v>
          </cell>
          <cell r="J205">
            <v>321</v>
          </cell>
        </row>
        <row r="206">
          <cell r="F206">
            <v>191</v>
          </cell>
          <cell r="G206">
            <v>1</v>
          </cell>
          <cell r="H206">
            <v>12</v>
          </cell>
          <cell r="I206">
            <v>3</v>
          </cell>
          <cell r="J206">
            <v>259</v>
          </cell>
        </row>
        <row r="207">
          <cell r="F207">
            <v>192</v>
          </cell>
          <cell r="G207">
            <v>1</v>
          </cell>
          <cell r="H207">
            <v>12</v>
          </cell>
          <cell r="I207">
            <v>5</v>
          </cell>
          <cell r="J207">
            <v>284</v>
          </cell>
        </row>
        <row r="208">
          <cell r="F208">
            <v>193</v>
          </cell>
          <cell r="G208">
            <v>1</v>
          </cell>
          <cell r="H208">
            <v>12</v>
          </cell>
          <cell r="I208">
            <v>6</v>
          </cell>
          <cell r="J208">
            <v>317</v>
          </cell>
        </row>
        <row r="209">
          <cell r="F209">
            <v>194</v>
          </cell>
          <cell r="G209">
            <v>1</v>
          </cell>
          <cell r="H209">
            <v>12</v>
          </cell>
          <cell r="I209">
            <v>7</v>
          </cell>
          <cell r="J209">
            <v>279</v>
          </cell>
        </row>
        <row r="210">
          <cell r="F210">
            <v>195</v>
          </cell>
          <cell r="G210">
            <v>1</v>
          </cell>
          <cell r="H210">
            <v>12</v>
          </cell>
          <cell r="I210">
            <v>8</v>
          </cell>
          <cell r="J210">
            <v>279</v>
          </cell>
        </row>
        <row r="211">
          <cell r="F211">
            <v>196</v>
          </cell>
          <cell r="G211">
            <v>1</v>
          </cell>
          <cell r="H211">
            <v>12</v>
          </cell>
          <cell r="I211">
            <v>9</v>
          </cell>
          <cell r="J211">
            <v>259</v>
          </cell>
        </row>
        <row r="212">
          <cell r="F212">
            <v>197</v>
          </cell>
          <cell r="G212">
            <v>1</v>
          </cell>
          <cell r="H212">
            <v>12</v>
          </cell>
          <cell r="I212">
            <v>10</v>
          </cell>
          <cell r="J212">
            <v>260</v>
          </cell>
        </row>
        <row r="213">
          <cell r="F213">
            <v>198</v>
          </cell>
          <cell r="G213">
            <v>1</v>
          </cell>
          <cell r="H213">
            <v>12</v>
          </cell>
          <cell r="I213">
            <v>11</v>
          </cell>
          <cell r="J213">
            <v>260</v>
          </cell>
        </row>
        <row r="214">
          <cell r="F214">
            <v>199</v>
          </cell>
          <cell r="G214">
            <v>1</v>
          </cell>
          <cell r="H214">
            <v>12</v>
          </cell>
          <cell r="I214">
            <v>12</v>
          </cell>
          <cell r="J214">
            <v>259</v>
          </cell>
        </row>
        <row r="215">
          <cell r="F215">
            <v>200</v>
          </cell>
          <cell r="G215">
            <v>1</v>
          </cell>
          <cell r="H215">
            <v>12</v>
          </cell>
          <cell r="I215">
            <v>15</v>
          </cell>
          <cell r="J215">
            <v>263</v>
          </cell>
        </row>
        <row r="216">
          <cell r="F216">
            <v>201</v>
          </cell>
          <cell r="G216">
            <v>1</v>
          </cell>
          <cell r="H216">
            <v>12</v>
          </cell>
          <cell r="I216">
            <v>16</v>
          </cell>
          <cell r="J216">
            <v>252</v>
          </cell>
        </row>
        <row r="217">
          <cell r="F217">
            <v>202</v>
          </cell>
          <cell r="G217">
            <v>1</v>
          </cell>
          <cell r="H217">
            <v>12</v>
          </cell>
          <cell r="I217">
            <v>17</v>
          </cell>
          <cell r="J217">
            <v>257</v>
          </cell>
        </row>
        <row r="218">
          <cell r="F218">
            <v>203</v>
          </cell>
          <cell r="G218">
            <v>1</v>
          </cell>
          <cell r="H218">
            <v>12</v>
          </cell>
          <cell r="I218">
            <v>18</v>
          </cell>
          <cell r="J218">
            <v>260</v>
          </cell>
        </row>
        <row r="219">
          <cell r="F219">
            <v>204</v>
          </cell>
          <cell r="G219">
            <v>1</v>
          </cell>
          <cell r="H219">
            <v>12</v>
          </cell>
          <cell r="I219">
            <v>19</v>
          </cell>
          <cell r="J219">
            <v>257</v>
          </cell>
        </row>
        <row r="220">
          <cell r="F220">
            <v>205</v>
          </cell>
          <cell r="G220">
            <v>1</v>
          </cell>
          <cell r="H220">
            <v>12</v>
          </cell>
          <cell r="I220">
            <v>20</v>
          </cell>
          <cell r="J220">
            <v>257</v>
          </cell>
        </row>
        <row r="221">
          <cell r="F221">
            <v>206</v>
          </cell>
          <cell r="G221">
            <v>1</v>
          </cell>
          <cell r="H221">
            <v>12</v>
          </cell>
          <cell r="I221">
            <v>21</v>
          </cell>
          <cell r="J221">
            <v>266</v>
          </cell>
        </row>
        <row r="222">
          <cell r="F222">
            <v>207</v>
          </cell>
          <cell r="G222">
            <v>1</v>
          </cell>
          <cell r="H222">
            <v>12</v>
          </cell>
          <cell r="I222">
            <v>22</v>
          </cell>
          <cell r="J222">
            <v>321</v>
          </cell>
        </row>
        <row r="223">
          <cell r="F223">
            <v>208</v>
          </cell>
          <cell r="G223">
            <v>1</v>
          </cell>
          <cell r="H223">
            <v>12</v>
          </cell>
          <cell r="I223">
            <v>23</v>
          </cell>
          <cell r="J223">
            <v>333</v>
          </cell>
        </row>
        <row r="224">
          <cell r="F224">
            <v>209</v>
          </cell>
          <cell r="G224">
            <v>1</v>
          </cell>
          <cell r="H224">
            <v>12</v>
          </cell>
          <cell r="I224">
            <v>25</v>
          </cell>
          <cell r="J224">
            <v>336</v>
          </cell>
        </row>
        <row r="225">
          <cell r="F225">
            <v>210</v>
          </cell>
          <cell r="G225">
            <v>1</v>
          </cell>
          <cell r="H225">
            <v>12</v>
          </cell>
          <cell r="I225">
            <v>26</v>
          </cell>
          <cell r="J225">
            <v>259</v>
          </cell>
        </row>
        <row r="226">
          <cell r="F226">
            <v>211</v>
          </cell>
          <cell r="G226">
            <v>1</v>
          </cell>
          <cell r="H226">
            <v>12</v>
          </cell>
          <cell r="I226">
            <v>27</v>
          </cell>
          <cell r="J226">
            <v>265</v>
          </cell>
        </row>
        <row r="227">
          <cell r="F227">
            <v>212</v>
          </cell>
          <cell r="G227">
            <v>1</v>
          </cell>
          <cell r="H227">
            <v>12</v>
          </cell>
          <cell r="I227">
            <v>28</v>
          </cell>
          <cell r="J227">
            <v>254</v>
          </cell>
        </row>
        <row r="228">
          <cell r="F228">
            <v>213</v>
          </cell>
          <cell r="G228">
            <v>1</v>
          </cell>
          <cell r="H228">
            <v>12</v>
          </cell>
          <cell r="I228">
            <v>29</v>
          </cell>
          <cell r="J228">
            <v>261</v>
          </cell>
        </row>
        <row r="229">
          <cell r="F229">
            <v>214</v>
          </cell>
          <cell r="G229">
            <v>1</v>
          </cell>
          <cell r="H229">
            <v>12</v>
          </cell>
          <cell r="I229">
            <v>30</v>
          </cell>
          <cell r="J229">
            <v>310</v>
          </cell>
        </row>
        <row r="230">
          <cell r="F230">
            <v>215</v>
          </cell>
          <cell r="G230">
            <v>1</v>
          </cell>
          <cell r="H230">
            <v>12</v>
          </cell>
          <cell r="I230">
            <v>31</v>
          </cell>
          <cell r="J230">
            <v>334</v>
          </cell>
        </row>
        <row r="231">
          <cell r="F231">
            <v>0</v>
          </cell>
          <cell r="G231">
            <v>0</v>
          </cell>
          <cell r="H231">
            <v>0</v>
          </cell>
          <cell r="I231">
            <v>0</v>
          </cell>
          <cell r="J231">
            <v>0</v>
          </cell>
        </row>
        <row r="232">
          <cell r="F232">
            <v>0</v>
          </cell>
          <cell r="G232">
            <v>0</v>
          </cell>
          <cell r="H232">
            <v>0</v>
          </cell>
          <cell r="I232">
            <v>0</v>
          </cell>
          <cell r="J232">
            <v>0</v>
          </cell>
        </row>
        <row r="233">
          <cell r="F233">
            <v>216</v>
          </cell>
          <cell r="G233">
            <v>1</v>
          </cell>
          <cell r="H233">
            <v>15</v>
          </cell>
          <cell r="I233">
            <v>1</v>
          </cell>
          <cell r="J233">
            <v>286</v>
          </cell>
        </row>
        <row r="234">
          <cell r="F234">
            <v>217</v>
          </cell>
          <cell r="G234">
            <v>1</v>
          </cell>
          <cell r="H234">
            <v>15</v>
          </cell>
          <cell r="I234">
            <v>2</v>
          </cell>
          <cell r="J234">
            <v>276</v>
          </cell>
        </row>
        <row r="235">
          <cell r="F235">
            <v>218</v>
          </cell>
          <cell r="G235">
            <v>1</v>
          </cell>
          <cell r="H235">
            <v>15</v>
          </cell>
          <cell r="I235">
            <v>3</v>
          </cell>
          <cell r="J235">
            <v>244</v>
          </cell>
        </row>
        <row r="236">
          <cell r="F236">
            <v>0</v>
          </cell>
          <cell r="G236">
            <v>0</v>
          </cell>
          <cell r="H236">
            <v>0</v>
          </cell>
          <cell r="I236">
            <v>0</v>
          </cell>
          <cell r="J236">
            <v>0</v>
          </cell>
        </row>
        <row r="237">
          <cell r="F237">
            <v>219</v>
          </cell>
          <cell r="G237">
            <v>1</v>
          </cell>
          <cell r="H237">
            <v>15</v>
          </cell>
          <cell r="I237">
            <v>5</v>
          </cell>
          <cell r="J237">
            <v>236</v>
          </cell>
        </row>
        <row r="238">
          <cell r="F238">
            <v>220</v>
          </cell>
          <cell r="G238">
            <v>1</v>
          </cell>
          <cell r="H238">
            <v>15</v>
          </cell>
          <cell r="I238">
            <v>6</v>
          </cell>
          <cell r="J238">
            <v>250</v>
          </cell>
        </row>
        <row r="239">
          <cell r="F239">
            <v>221</v>
          </cell>
          <cell r="G239">
            <v>1</v>
          </cell>
          <cell r="H239">
            <v>15</v>
          </cell>
          <cell r="I239">
            <v>7</v>
          </cell>
          <cell r="J239">
            <v>239</v>
          </cell>
        </row>
        <row r="240">
          <cell r="F240">
            <v>222</v>
          </cell>
          <cell r="G240">
            <v>1</v>
          </cell>
          <cell r="H240">
            <v>15</v>
          </cell>
          <cell r="I240">
            <v>8</v>
          </cell>
          <cell r="J240">
            <v>250</v>
          </cell>
        </row>
        <row r="241">
          <cell r="F241">
            <v>223</v>
          </cell>
          <cell r="G241">
            <v>1</v>
          </cell>
          <cell r="H241">
            <v>15</v>
          </cell>
          <cell r="I241">
            <v>9</v>
          </cell>
          <cell r="J241">
            <v>268</v>
          </cell>
        </row>
        <row r="242">
          <cell r="F242">
            <v>224</v>
          </cell>
          <cell r="G242">
            <v>1</v>
          </cell>
          <cell r="H242">
            <v>15</v>
          </cell>
          <cell r="I242">
            <v>10</v>
          </cell>
          <cell r="J242">
            <v>250</v>
          </cell>
        </row>
        <row r="243">
          <cell r="F243">
            <v>225</v>
          </cell>
          <cell r="G243">
            <v>1</v>
          </cell>
          <cell r="H243">
            <v>15</v>
          </cell>
          <cell r="I243">
            <v>11</v>
          </cell>
          <cell r="J243">
            <v>281</v>
          </cell>
        </row>
        <row r="244">
          <cell r="F244">
            <v>226</v>
          </cell>
          <cell r="G244">
            <v>1</v>
          </cell>
          <cell r="H244">
            <v>15</v>
          </cell>
          <cell r="I244">
            <v>12</v>
          </cell>
          <cell r="J244">
            <v>258</v>
          </cell>
        </row>
        <row r="245">
          <cell r="F245">
            <v>227</v>
          </cell>
          <cell r="G245">
            <v>1</v>
          </cell>
          <cell r="H245">
            <v>15</v>
          </cell>
          <cell r="I245">
            <v>15</v>
          </cell>
          <cell r="J245">
            <v>290</v>
          </cell>
        </row>
        <row r="246">
          <cell r="F246">
            <v>228</v>
          </cell>
          <cell r="G246">
            <v>1</v>
          </cell>
          <cell r="H246">
            <v>15</v>
          </cell>
          <cell r="I246">
            <v>16</v>
          </cell>
          <cell r="J246">
            <v>275</v>
          </cell>
        </row>
        <row r="247">
          <cell r="F247">
            <v>229</v>
          </cell>
          <cell r="G247">
            <v>1</v>
          </cell>
          <cell r="H247">
            <v>15</v>
          </cell>
          <cell r="I247">
            <v>17</v>
          </cell>
          <cell r="J247">
            <v>284</v>
          </cell>
        </row>
        <row r="248">
          <cell r="F248">
            <v>230</v>
          </cell>
          <cell r="G248">
            <v>1</v>
          </cell>
          <cell r="H248">
            <v>15</v>
          </cell>
          <cell r="I248">
            <v>18</v>
          </cell>
          <cell r="J248">
            <v>275</v>
          </cell>
        </row>
        <row r="249">
          <cell r="F249">
            <v>231</v>
          </cell>
          <cell r="G249">
            <v>1</v>
          </cell>
          <cell r="H249">
            <v>15</v>
          </cell>
          <cell r="I249">
            <v>19</v>
          </cell>
          <cell r="J249">
            <v>385</v>
          </cell>
        </row>
        <row r="250">
          <cell r="F250">
            <v>232</v>
          </cell>
          <cell r="G250">
            <v>1</v>
          </cell>
          <cell r="H250">
            <v>15</v>
          </cell>
          <cell r="I250">
            <v>20</v>
          </cell>
          <cell r="J250">
            <v>275</v>
          </cell>
        </row>
        <row r="251">
          <cell r="F251">
            <v>233</v>
          </cell>
          <cell r="G251">
            <v>1</v>
          </cell>
          <cell r="H251">
            <v>15</v>
          </cell>
          <cell r="I251">
            <v>21</v>
          </cell>
          <cell r="J251">
            <v>323</v>
          </cell>
        </row>
        <row r="252">
          <cell r="F252">
            <v>234</v>
          </cell>
          <cell r="G252">
            <v>1</v>
          </cell>
          <cell r="H252">
            <v>15</v>
          </cell>
          <cell r="I252">
            <v>22</v>
          </cell>
          <cell r="J252">
            <v>254</v>
          </cell>
        </row>
        <row r="253">
          <cell r="F253">
            <v>235</v>
          </cell>
          <cell r="G253">
            <v>1</v>
          </cell>
          <cell r="H253">
            <v>15</v>
          </cell>
          <cell r="I253">
            <v>23</v>
          </cell>
          <cell r="J253">
            <v>244</v>
          </cell>
        </row>
        <row r="254">
          <cell r="F254">
            <v>236</v>
          </cell>
          <cell r="G254">
            <v>1</v>
          </cell>
          <cell r="H254">
            <v>15</v>
          </cell>
          <cell r="I254">
            <v>25</v>
          </cell>
          <cell r="J254">
            <v>279</v>
          </cell>
        </row>
        <row r="255">
          <cell r="F255">
            <v>237</v>
          </cell>
          <cell r="G255">
            <v>1</v>
          </cell>
          <cell r="H255">
            <v>16</v>
          </cell>
          <cell r="I255">
            <v>1</v>
          </cell>
          <cell r="J255">
            <v>282</v>
          </cell>
        </row>
        <row r="256">
          <cell r="F256">
            <v>238</v>
          </cell>
          <cell r="G256">
            <v>1</v>
          </cell>
          <cell r="H256">
            <v>16</v>
          </cell>
          <cell r="I256">
            <v>2</v>
          </cell>
          <cell r="J256">
            <v>264</v>
          </cell>
        </row>
        <row r="257">
          <cell r="F257">
            <v>239</v>
          </cell>
          <cell r="G257">
            <v>1</v>
          </cell>
          <cell r="H257">
            <v>16</v>
          </cell>
          <cell r="I257">
            <v>3</v>
          </cell>
          <cell r="J257">
            <v>253</v>
          </cell>
        </row>
        <row r="258">
          <cell r="F258">
            <v>0</v>
          </cell>
          <cell r="G258">
            <v>0</v>
          </cell>
          <cell r="H258">
            <v>0</v>
          </cell>
          <cell r="I258">
            <v>0</v>
          </cell>
          <cell r="J258">
            <v>0</v>
          </cell>
        </row>
        <row r="259">
          <cell r="F259">
            <v>240</v>
          </cell>
          <cell r="G259">
            <v>1</v>
          </cell>
          <cell r="H259">
            <v>16</v>
          </cell>
          <cell r="I259">
            <v>5</v>
          </cell>
          <cell r="J259">
            <v>262</v>
          </cell>
        </row>
        <row r="260">
          <cell r="F260">
            <v>241</v>
          </cell>
          <cell r="G260">
            <v>1</v>
          </cell>
          <cell r="H260">
            <v>16</v>
          </cell>
          <cell r="I260">
            <v>6</v>
          </cell>
          <cell r="J260">
            <v>262</v>
          </cell>
        </row>
        <row r="261">
          <cell r="F261">
            <v>242</v>
          </cell>
          <cell r="G261">
            <v>1</v>
          </cell>
          <cell r="H261">
            <v>16</v>
          </cell>
          <cell r="I261">
            <v>7</v>
          </cell>
          <cell r="J261">
            <v>263</v>
          </cell>
        </row>
        <row r="262">
          <cell r="F262">
            <v>243</v>
          </cell>
          <cell r="G262">
            <v>1</v>
          </cell>
          <cell r="H262">
            <v>16</v>
          </cell>
          <cell r="I262">
            <v>8</v>
          </cell>
          <cell r="J262">
            <v>257</v>
          </cell>
        </row>
        <row r="263">
          <cell r="F263">
            <v>244</v>
          </cell>
          <cell r="G263">
            <v>1</v>
          </cell>
          <cell r="H263">
            <v>16</v>
          </cell>
          <cell r="I263">
            <v>9</v>
          </cell>
          <cell r="J263">
            <v>272</v>
          </cell>
        </row>
        <row r="264">
          <cell r="F264">
            <v>245</v>
          </cell>
          <cell r="G264">
            <v>1</v>
          </cell>
          <cell r="H264">
            <v>16</v>
          </cell>
          <cell r="I264">
            <v>10</v>
          </cell>
          <cell r="J264">
            <v>268</v>
          </cell>
        </row>
        <row r="265">
          <cell r="F265">
            <v>246</v>
          </cell>
          <cell r="G265">
            <v>1</v>
          </cell>
          <cell r="H265">
            <v>16</v>
          </cell>
          <cell r="I265">
            <v>11</v>
          </cell>
          <cell r="J265">
            <v>276</v>
          </cell>
        </row>
        <row r="266">
          <cell r="F266">
            <v>247</v>
          </cell>
          <cell r="G266">
            <v>1</v>
          </cell>
          <cell r="H266">
            <v>16</v>
          </cell>
          <cell r="I266">
            <v>12</v>
          </cell>
          <cell r="J266">
            <v>254</v>
          </cell>
        </row>
        <row r="267">
          <cell r="F267">
            <v>0</v>
          </cell>
          <cell r="G267">
            <v>0</v>
          </cell>
          <cell r="H267">
            <v>0</v>
          </cell>
          <cell r="I267">
            <v>0</v>
          </cell>
          <cell r="J267">
            <v>0</v>
          </cell>
        </row>
        <row r="268">
          <cell r="F268">
            <v>248</v>
          </cell>
          <cell r="G268">
            <v>1</v>
          </cell>
          <cell r="H268">
            <v>16</v>
          </cell>
          <cell r="I268">
            <v>15</v>
          </cell>
          <cell r="J268">
            <v>272</v>
          </cell>
        </row>
        <row r="269">
          <cell r="F269">
            <v>249</v>
          </cell>
          <cell r="G269">
            <v>1</v>
          </cell>
          <cell r="H269">
            <v>16</v>
          </cell>
          <cell r="I269">
            <v>16</v>
          </cell>
          <cell r="J269">
            <v>272</v>
          </cell>
        </row>
        <row r="270">
          <cell r="F270">
            <v>250</v>
          </cell>
          <cell r="G270">
            <v>1</v>
          </cell>
          <cell r="H270">
            <v>16</v>
          </cell>
          <cell r="I270">
            <v>17</v>
          </cell>
          <cell r="J270">
            <v>272</v>
          </cell>
        </row>
        <row r="271">
          <cell r="F271">
            <v>251</v>
          </cell>
          <cell r="G271">
            <v>1</v>
          </cell>
          <cell r="H271">
            <v>16</v>
          </cell>
          <cell r="I271">
            <v>18</v>
          </cell>
          <cell r="J271">
            <v>272</v>
          </cell>
        </row>
        <row r="272">
          <cell r="F272">
            <v>252</v>
          </cell>
          <cell r="G272">
            <v>1</v>
          </cell>
          <cell r="H272">
            <v>16</v>
          </cell>
          <cell r="I272">
            <v>19</v>
          </cell>
          <cell r="J272">
            <v>272</v>
          </cell>
        </row>
        <row r="273">
          <cell r="F273">
            <v>253</v>
          </cell>
          <cell r="G273">
            <v>1</v>
          </cell>
          <cell r="H273">
            <v>16</v>
          </cell>
          <cell r="I273">
            <v>20</v>
          </cell>
          <cell r="J273">
            <v>269</v>
          </cell>
        </row>
        <row r="274">
          <cell r="F274">
            <v>254</v>
          </cell>
          <cell r="G274">
            <v>1</v>
          </cell>
          <cell r="H274">
            <v>16</v>
          </cell>
          <cell r="I274">
            <v>21</v>
          </cell>
          <cell r="J274">
            <v>477</v>
          </cell>
        </row>
        <row r="275">
          <cell r="F275">
            <v>255</v>
          </cell>
          <cell r="G275">
            <v>1</v>
          </cell>
          <cell r="H275">
            <v>16</v>
          </cell>
          <cell r="I275">
            <v>22</v>
          </cell>
          <cell r="J275">
            <v>332</v>
          </cell>
        </row>
        <row r="276">
          <cell r="F276">
            <v>256</v>
          </cell>
          <cell r="G276">
            <v>1</v>
          </cell>
          <cell r="H276">
            <v>16</v>
          </cell>
          <cell r="I276">
            <v>23</v>
          </cell>
          <cell r="J276">
            <v>340</v>
          </cell>
        </row>
        <row r="277">
          <cell r="F277">
            <v>257</v>
          </cell>
          <cell r="G277">
            <v>1</v>
          </cell>
          <cell r="H277">
            <v>16</v>
          </cell>
          <cell r="I277">
            <v>25</v>
          </cell>
          <cell r="J277">
            <v>338</v>
          </cell>
        </row>
        <row r="278">
          <cell r="F278">
            <v>258</v>
          </cell>
          <cell r="G278">
            <v>1</v>
          </cell>
          <cell r="H278">
            <v>16</v>
          </cell>
          <cell r="I278">
            <v>26</v>
          </cell>
          <cell r="J278">
            <v>341</v>
          </cell>
        </row>
        <row r="279">
          <cell r="F279">
            <v>259</v>
          </cell>
          <cell r="G279">
            <v>1</v>
          </cell>
          <cell r="H279">
            <v>17</v>
          </cell>
          <cell r="I279">
            <v>1</v>
          </cell>
          <cell r="J279">
            <v>359</v>
          </cell>
        </row>
        <row r="280">
          <cell r="F280">
            <v>260</v>
          </cell>
          <cell r="G280">
            <v>1</v>
          </cell>
          <cell r="H280">
            <v>17</v>
          </cell>
          <cell r="I280">
            <v>2</v>
          </cell>
          <cell r="J280">
            <v>368</v>
          </cell>
        </row>
        <row r="281">
          <cell r="F281">
            <v>261</v>
          </cell>
          <cell r="G281">
            <v>1</v>
          </cell>
          <cell r="H281">
            <v>17</v>
          </cell>
          <cell r="I281">
            <v>3</v>
          </cell>
          <cell r="J281">
            <v>265</v>
          </cell>
        </row>
        <row r="282">
          <cell r="F282">
            <v>0</v>
          </cell>
          <cell r="G282">
            <v>0</v>
          </cell>
          <cell r="H282">
            <v>0</v>
          </cell>
          <cell r="I282">
            <v>0</v>
          </cell>
          <cell r="J282">
            <v>0</v>
          </cell>
        </row>
        <row r="283">
          <cell r="F283">
            <v>262</v>
          </cell>
          <cell r="G283">
            <v>1</v>
          </cell>
          <cell r="H283">
            <v>17</v>
          </cell>
          <cell r="I283">
            <v>5</v>
          </cell>
          <cell r="J283">
            <v>250</v>
          </cell>
        </row>
        <row r="284">
          <cell r="F284">
            <v>263</v>
          </cell>
          <cell r="G284">
            <v>1</v>
          </cell>
          <cell r="H284">
            <v>17</v>
          </cell>
          <cell r="I284">
            <v>6</v>
          </cell>
          <cell r="J284">
            <v>319</v>
          </cell>
        </row>
        <row r="285">
          <cell r="F285">
            <v>264</v>
          </cell>
          <cell r="G285">
            <v>1</v>
          </cell>
          <cell r="H285">
            <v>17</v>
          </cell>
          <cell r="I285">
            <v>7</v>
          </cell>
          <cell r="J285">
            <v>258</v>
          </cell>
        </row>
        <row r="286">
          <cell r="F286">
            <v>265</v>
          </cell>
          <cell r="G286">
            <v>1</v>
          </cell>
          <cell r="H286">
            <v>17</v>
          </cell>
          <cell r="I286">
            <v>8</v>
          </cell>
          <cell r="J286">
            <v>506</v>
          </cell>
        </row>
        <row r="287">
          <cell r="F287">
            <v>266</v>
          </cell>
          <cell r="G287">
            <v>1</v>
          </cell>
          <cell r="H287">
            <v>17</v>
          </cell>
          <cell r="I287">
            <v>9</v>
          </cell>
          <cell r="J287">
            <v>387</v>
          </cell>
        </row>
        <row r="288">
          <cell r="F288">
            <v>267</v>
          </cell>
          <cell r="G288">
            <v>1</v>
          </cell>
          <cell r="H288">
            <v>17</v>
          </cell>
          <cell r="I288">
            <v>10</v>
          </cell>
          <cell r="J288">
            <v>324</v>
          </cell>
        </row>
        <row r="289">
          <cell r="F289">
            <v>268</v>
          </cell>
          <cell r="G289">
            <v>1</v>
          </cell>
          <cell r="H289">
            <v>17</v>
          </cell>
          <cell r="I289">
            <v>11</v>
          </cell>
          <cell r="J289">
            <v>298</v>
          </cell>
        </row>
        <row r="290">
          <cell r="F290">
            <v>269</v>
          </cell>
          <cell r="G290">
            <v>1</v>
          </cell>
          <cell r="H290">
            <v>17</v>
          </cell>
          <cell r="I290">
            <v>12</v>
          </cell>
          <cell r="J290">
            <v>270</v>
          </cell>
        </row>
        <row r="291">
          <cell r="F291">
            <v>0</v>
          </cell>
          <cell r="G291">
            <v>0</v>
          </cell>
          <cell r="H291">
            <v>0</v>
          </cell>
          <cell r="I291">
            <v>0</v>
          </cell>
          <cell r="J291">
            <v>0</v>
          </cell>
        </row>
        <row r="292">
          <cell r="F292">
            <v>270</v>
          </cell>
          <cell r="G292">
            <v>1</v>
          </cell>
          <cell r="H292">
            <v>17</v>
          </cell>
          <cell r="I292">
            <v>15</v>
          </cell>
          <cell r="J292">
            <v>272</v>
          </cell>
        </row>
        <row r="293">
          <cell r="F293">
            <v>271</v>
          </cell>
          <cell r="G293">
            <v>1</v>
          </cell>
          <cell r="H293">
            <v>17</v>
          </cell>
          <cell r="I293">
            <v>16</v>
          </cell>
          <cell r="J293">
            <v>279</v>
          </cell>
        </row>
        <row r="294">
          <cell r="F294">
            <v>272</v>
          </cell>
          <cell r="G294">
            <v>1</v>
          </cell>
          <cell r="H294">
            <v>17</v>
          </cell>
          <cell r="I294">
            <v>17</v>
          </cell>
          <cell r="J294">
            <v>250</v>
          </cell>
        </row>
        <row r="295">
          <cell r="F295">
            <v>273</v>
          </cell>
          <cell r="G295">
            <v>1</v>
          </cell>
          <cell r="H295">
            <v>17</v>
          </cell>
          <cell r="I295">
            <v>18</v>
          </cell>
          <cell r="J295">
            <v>263</v>
          </cell>
        </row>
        <row r="296">
          <cell r="F296">
            <v>274</v>
          </cell>
          <cell r="G296">
            <v>1</v>
          </cell>
          <cell r="H296">
            <v>17</v>
          </cell>
          <cell r="I296">
            <v>19</v>
          </cell>
          <cell r="J296">
            <v>259</v>
          </cell>
        </row>
        <row r="297">
          <cell r="F297">
            <v>275</v>
          </cell>
          <cell r="G297">
            <v>1</v>
          </cell>
          <cell r="H297">
            <v>17</v>
          </cell>
          <cell r="I297">
            <v>20</v>
          </cell>
          <cell r="J297">
            <v>260</v>
          </cell>
        </row>
        <row r="298">
          <cell r="F298">
            <v>276</v>
          </cell>
          <cell r="G298">
            <v>1</v>
          </cell>
          <cell r="H298">
            <v>17</v>
          </cell>
          <cell r="I298">
            <v>21</v>
          </cell>
          <cell r="J298">
            <v>262</v>
          </cell>
        </row>
        <row r="299">
          <cell r="F299">
            <v>277</v>
          </cell>
          <cell r="G299">
            <v>1</v>
          </cell>
          <cell r="H299">
            <v>17</v>
          </cell>
          <cell r="I299">
            <v>22</v>
          </cell>
          <cell r="J299">
            <v>303</v>
          </cell>
        </row>
        <row r="300">
          <cell r="F300">
            <v>278</v>
          </cell>
          <cell r="G300">
            <v>1</v>
          </cell>
          <cell r="H300">
            <v>17</v>
          </cell>
          <cell r="I300">
            <v>23</v>
          </cell>
          <cell r="J300">
            <v>274</v>
          </cell>
        </row>
        <row r="301">
          <cell r="F301">
            <v>279</v>
          </cell>
          <cell r="G301">
            <v>1</v>
          </cell>
          <cell r="H301">
            <v>17</v>
          </cell>
          <cell r="I301">
            <v>25</v>
          </cell>
          <cell r="J301">
            <v>274</v>
          </cell>
        </row>
        <row r="302">
          <cell r="F302">
            <v>280</v>
          </cell>
          <cell r="G302">
            <v>1</v>
          </cell>
          <cell r="H302">
            <v>17</v>
          </cell>
          <cell r="I302">
            <v>26</v>
          </cell>
          <cell r="J302">
            <v>253</v>
          </cell>
        </row>
        <row r="303">
          <cell r="F303">
            <v>281</v>
          </cell>
          <cell r="G303">
            <v>1</v>
          </cell>
          <cell r="H303">
            <v>17</v>
          </cell>
          <cell r="I303">
            <v>27</v>
          </cell>
          <cell r="J303">
            <v>341</v>
          </cell>
        </row>
        <row r="304">
          <cell r="F304">
            <v>282</v>
          </cell>
          <cell r="G304">
            <v>1</v>
          </cell>
          <cell r="H304">
            <v>17</v>
          </cell>
          <cell r="I304">
            <v>28</v>
          </cell>
          <cell r="J304">
            <v>328</v>
          </cell>
        </row>
        <row r="305">
          <cell r="F305">
            <v>283</v>
          </cell>
          <cell r="G305">
            <v>1</v>
          </cell>
          <cell r="H305">
            <v>17</v>
          </cell>
          <cell r="I305">
            <v>29</v>
          </cell>
          <cell r="J305">
            <v>250</v>
          </cell>
        </row>
        <row r="306">
          <cell r="F306">
            <v>284</v>
          </cell>
          <cell r="G306">
            <v>1</v>
          </cell>
          <cell r="H306">
            <v>17</v>
          </cell>
          <cell r="I306">
            <v>30</v>
          </cell>
          <cell r="J306">
            <v>251</v>
          </cell>
        </row>
        <row r="307">
          <cell r="F307">
            <v>285</v>
          </cell>
          <cell r="G307">
            <v>1</v>
          </cell>
          <cell r="H307">
            <v>17</v>
          </cell>
          <cell r="I307">
            <v>31</v>
          </cell>
          <cell r="J307">
            <v>307</v>
          </cell>
        </row>
        <row r="308">
          <cell r="F308">
            <v>286</v>
          </cell>
          <cell r="G308">
            <v>1</v>
          </cell>
          <cell r="H308">
            <v>18</v>
          </cell>
          <cell r="I308">
            <v>1</v>
          </cell>
          <cell r="J308">
            <v>372</v>
          </cell>
        </row>
        <row r="309">
          <cell r="F309">
            <v>287</v>
          </cell>
          <cell r="G309">
            <v>1</v>
          </cell>
          <cell r="H309">
            <v>18</v>
          </cell>
          <cell r="I309">
            <v>2</v>
          </cell>
          <cell r="J309">
            <v>308</v>
          </cell>
        </row>
        <row r="310">
          <cell r="F310">
            <v>288</v>
          </cell>
          <cell r="G310">
            <v>1</v>
          </cell>
          <cell r="H310">
            <v>18</v>
          </cell>
          <cell r="I310">
            <v>3</v>
          </cell>
          <cell r="J310">
            <v>268</v>
          </cell>
        </row>
        <row r="311">
          <cell r="F311">
            <v>0</v>
          </cell>
          <cell r="G311">
            <v>0</v>
          </cell>
          <cell r="H311">
            <v>0</v>
          </cell>
          <cell r="I311">
            <v>0</v>
          </cell>
          <cell r="J311">
            <v>0</v>
          </cell>
        </row>
        <row r="312">
          <cell r="F312">
            <v>289</v>
          </cell>
          <cell r="G312">
            <v>1</v>
          </cell>
          <cell r="H312">
            <v>18</v>
          </cell>
          <cell r="I312">
            <v>5</v>
          </cell>
          <cell r="J312">
            <v>269</v>
          </cell>
        </row>
        <row r="313">
          <cell r="F313">
            <v>290</v>
          </cell>
          <cell r="G313">
            <v>1</v>
          </cell>
          <cell r="H313">
            <v>18</v>
          </cell>
          <cell r="I313">
            <v>6</v>
          </cell>
          <cell r="J313">
            <v>368</v>
          </cell>
        </row>
        <row r="314">
          <cell r="F314">
            <v>291</v>
          </cell>
          <cell r="G314">
            <v>1</v>
          </cell>
          <cell r="H314">
            <v>18</v>
          </cell>
          <cell r="I314">
            <v>7</v>
          </cell>
          <cell r="J314">
            <v>282</v>
          </cell>
        </row>
        <row r="315">
          <cell r="F315">
            <v>292</v>
          </cell>
          <cell r="G315">
            <v>1</v>
          </cell>
          <cell r="H315">
            <v>18</v>
          </cell>
          <cell r="I315">
            <v>8</v>
          </cell>
          <cell r="J315">
            <v>482</v>
          </cell>
        </row>
        <row r="316">
          <cell r="F316">
            <v>293</v>
          </cell>
          <cell r="G316">
            <v>1</v>
          </cell>
          <cell r="H316">
            <v>18</v>
          </cell>
          <cell r="I316">
            <v>9</v>
          </cell>
          <cell r="J316">
            <v>243</v>
          </cell>
        </row>
        <row r="317">
          <cell r="F317">
            <v>294</v>
          </cell>
          <cell r="G317">
            <v>1</v>
          </cell>
          <cell r="H317">
            <v>18</v>
          </cell>
          <cell r="I317">
            <v>10</v>
          </cell>
          <cell r="J317">
            <v>371</v>
          </cell>
        </row>
        <row r="318">
          <cell r="F318">
            <v>295</v>
          </cell>
          <cell r="G318">
            <v>1</v>
          </cell>
          <cell r="H318">
            <v>18</v>
          </cell>
          <cell r="I318">
            <v>11</v>
          </cell>
          <cell r="J318">
            <v>243</v>
          </cell>
        </row>
        <row r="319">
          <cell r="F319">
            <v>296</v>
          </cell>
          <cell r="G319">
            <v>1</v>
          </cell>
          <cell r="H319">
            <v>18</v>
          </cell>
          <cell r="I319">
            <v>12</v>
          </cell>
          <cell r="J319">
            <v>284</v>
          </cell>
        </row>
        <row r="320">
          <cell r="F320">
            <v>297</v>
          </cell>
          <cell r="G320">
            <v>1</v>
          </cell>
          <cell r="H320">
            <v>19</v>
          </cell>
          <cell r="I320">
            <v>1</v>
          </cell>
          <cell r="J320">
            <v>312</v>
          </cell>
        </row>
        <row r="321">
          <cell r="F321">
            <v>298</v>
          </cell>
          <cell r="G321">
            <v>1</v>
          </cell>
          <cell r="H321">
            <v>19</v>
          </cell>
          <cell r="I321">
            <v>2</v>
          </cell>
          <cell r="J321">
            <v>330</v>
          </cell>
        </row>
        <row r="322">
          <cell r="F322">
            <v>299</v>
          </cell>
          <cell r="G322">
            <v>1</v>
          </cell>
          <cell r="H322">
            <v>19</v>
          </cell>
          <cell r="I322">
            <v>3</v>
          </cell>
          <cell r="J322">
            <v>274</v>
          </cell>
        </row>
        <row r="323">
          <cell r="F323">
            <v>300</v>
          </cell>
          <cell r="G323">
            <v>1</v>
          </cell>
          <cell r="H323">
            <v>19</v>
          </cell>
          <cell r="I323">
            <v>5</v>
          </cell>
          <cell r="J323">
            <v>289</v>
          </cell>
        </row>
        <row r="324">
          <cell r="F324">
            <v>301</v>
          </cell>
          <cell r="G324">
            <v>1</v>
          </cell>
          <cell r="H324">
            <v>19</v>
          </cell>
          <cell r="I324">
            <v>6</v>
          </cell>
          <cell r="J324">
            <v>283</v>
          </cell>
        </row>
        <row r="325">
          <cell r="F325">
            <v>302</v>
          </cell>
          <cell r="G325">
            <v>1</v>
          </cell>
          <cell r="H325">
            <v>19</v>
          </cell>
          <cell r="I325">
            <v>7</v>
          </cell>
          <cell r="J325">
            <v>252</v>
          </cell>
        </row>
        <row r="326">
          <cell r="F326">
            <v>303</v>
          </cell>
          <cell r="G326">
            <v>1</v>
          </cell>
          <cell r="H326">
            <v>19</v>
          </cell>
          <cell r="I326">
            <v>8</v>
          </cell>
          <cell r="J326">
            <v>252</v>
          </cell>
        </row>
        <row r="327">
          <cell r="F327">
            <v>304</v>
          </cell>
          <cell r="G327">
            <v>1</v>
          </cell>
          <cell r="H327">
            <v>19</v>
          </cell>
          <cell r="I327">
            <v>9</v>
          </cell>
          <cell r="J327">
            <v>252</v>
          </cell>
        </row>
        <row r="328">
          <cell r="F328">
            <v>305</v>
          </cell>
          <cell r="G328">
            <v>1</v>
          </cell>
          <cell r="H328">
            <v>19</v>
          </cell>
          <cell r="I328">
            <v>10</v>
          </cell>
          <cell r="J328">
            <v>252</v>
          </cell>
        </row>
        <row r="329">
          <cell r="F329">
            <v>306</v>
          </cell>
          <cell r="G329">
            <v>1</v>
          </cell>
          <cell r="H329">
            <v>19</v>
          </cell>
          <cell r="I329">
            <v>11</v>
          </cell>
          <cell r="J329">
            <v>303</v>
          </cell>
        </row>
        <row r="330">
          <cell r="F330">
            <v>307</v>
          </cell>
          <cell r="G330">
            <v>1</v>
          </cell>
          <cell r="H330">
            <v>19</v>
          </cell>
          <cell r="I330">
            <v>12</v>
          </cell>
          <cell r="J330">
            <v>303</v>
          </cell>
        </row>
        <row r="331">
          <cell r="F331">
            <v>308</v>
          </cell>
          <cell r="G331">
            <v>1</v>
          </cell>
          <cell r="H331">
            <v>20</v>
          </cell>
          <cell r="I331">
            <v>1</v>
          </cell>
          <cell r="J331">
            <v>253</v>
          </cell>
        </row>
        <row r="332">
          <cell r="F332">
            <v>309</v>
          </cell>
          <cell r="G332">
            <v>1</v>
          </cell>
          <cell r="H332">
            <v>20</v>
          </cell>
          <cell r="I332">
            <v>2</v>
          </cell>
          <cell r="J332">
            <v>215</v>
          </cell>
        </row>
        <row r="333">
          <cell r="F333">
            <v>310</v>
          </cell>
          <cell r="G333">
            <v>1</v>
          </cell>
          <cell r="H333">
            <v>20</v>
          </cell>
          <cell r="I333">
            <v>3</v>
          </cell>
          <cell r="J333">
            <v>216</v>
          </cell>
        </row>
        <row r="334">
          <cell r="F334">
            <v>0</v>
          </cell>
          <cell r="G334">
            <v>0</v>
          </cell>
          <cell r="H334">
            <v>0</v>
          </cell>
          <cell r="I334">
            <v>0</v>
          </cell>
          <cell r="J334">
            <v>0</v>
          </cell>
        </row>
        <row r="335">
          <cell r="F335">
            <v>311</v>
          </cell>
          <cell r="G335">
            <v>1</v>
          </cell>
          <cell r="H335">
            <v>20</v>
          </cell>
          <cell r="I335">
            <v>5</v>
          </cell>
          <cell r="J335">
            <v>216</v>
          </cell>
        </row>
        <row r="336">
          <cell r="F336">
            <v>312</v>
          </cell>
          <cell r="G336">
            <v>1</v>
          </cell>
          <cell r="H336">
            <v>20</v>
          </cell>
          <cell r="I336">
            <v>6</v>
          </cell>
          <cell r="J336">
            <v>216</v>
          </cell>
        </row>
        <row r="337">
          <cell r="F337">
            <v>313</v>
          </cell>
          <cell r="G337">
            <v>1</v>
          </cell>
          <cell r="H337">
            <v>20</v>
          </cell>
          <cell r="I337">
            <v>7</v>
          </cell>
          <cell r="J337">
            <v>216</v>
          </cell>
        </row>
        <row r="338">
          <cell r="F338">
            <v>314</v>
          </cell>
          <cell r="G338">
            <v>1</v>
          </cell>
          <cell r="H338">
            <v>20</v>
          </cell>
          <cell r="I338">
            <v>8</v>
          </cell>
          <cell r="J338">
            <v>216</v>
          </cell>
        </row>
        <row r="339">
          <cell r="F339">
            <v>315</v>
          </cell>
          <cell r="G339">
            <v>1</v>
          </cell>
          <cell r="H339">
            <v>20</v>
          </cell>
          <cell r="I339">
            <v>9</v>
          </cell>
          <cell r="J339">
            <v>216</v>
          </cell>
        </row>
        <row r="340">
          <cell r="F340">
            <v>316</v>
          </cell>
          <cell r="G340">
            <v>1</v>
          </cell>
          <cell r="H340">
            <v>20</v>
          </cell>
          <cell r="I340">
            <v>10</v>
          </cell>
          <cell r="J340">
            <v>216</v>
          </cell>
        </row>
        <row r="341">
          <cell r="F341">
            <v>317</v>
          </cell>
          <cell r="G341">
            <v>1</v>
          </cell>
          <cell r="H341">
            <v>20</v>
          </cell>
          <cell r="I341">
            <v>11</v>
          </cell>
          <cell r="J341">
            <v>216</v>
          </cell>
        </row>
        <row r="342">
          <cell r="F342">
            <v>318</v>
          </cell>
          <cell r="G342">
            <v>1</v>
          </cell>
          <cell r="H342">
            <v>20</v>
          </cell>
          <cell r="I342">
            <v>12</v>
          </cell>
          <cell r="J342">
            <v>216</v>
          </cell>
        </row>
        <row r="343">
          <cell r="F343">
            <v>0</v>
          </cell>
          <cell r="G343">
            <v>0</v>
          </cell>
          <cell r="H343">
            <v>0</v>
          </cell>
          <cell r="I343">
            <v>0</v>
          </cell>
          <cell r="J343">
            <v>0</v>
          </cell>
        </row>
        <row r="344">
          <cell r="F344">
            <v>0</v>
          </cell>
          <cell r="G344">
            <v>0</v>
          </cell>
          <cell r="H344">
            <v>0</v>
          </cell>
          <cell r="I344">
            <v>0</v>
          </cell>
          <cell r="J344">
            <v>0</v>
          </cell>
        </row>
        <row r="345">
          <cell r="F345">
            <v>319</v>
          </cell>
          <cell r="G345">
            <v>1</v>
          </cell>
          <cell r="H345">
            <v>20</v>
          </cell>
          <cell r="I345">
            <v>15</v>
          </cell>
          <cell r="J345">
            <v>216</v>
          </cell>
        </row>
        <row r="346">
          <cell r="F346">
            <v>320</v>
          </cell>
          <cell r="G346">
            <v>1</v>
          </cell>
          <cell r="H346">
            <v>20</v>
          </cell>
          <cell r="I346">
            <v>16</v>
          </cell>
          <cell r="J346">
            <v>216</v>
          </cell>
        </row>
        <row r="347">
          <cell r="F347">
            <v>321</v>
          </cell>
          <cell r="G347">
            <v>1</v>
          </cell>
          <cell r="H347">
            <v>20</v>
          </cell>
          <cell r="I347">
            <v>17</v>
          </cell>
          <cell r="J347">
            <v>216</v>
          </cell>
        </row>
        <row r="348">
          <cell r="F348">
            <v>322</v>
          </cell>
          <cell r="G348">
            <v>1</v>
          </cell>
          <cell r="H348">
            <v>20</v>
          </cell>
          <cell r="I348">
            <v>18</v>
          </cell>
          <cell r="J348">
            <v>268</v>
          </cell>
        </row>
        <row r="349">
          <cell r="F349">
            <v>323</v>
          </cell>
          <cell r="G349">
            <v>1</v>
          </cell>
          <cell r="H349">
            <v>20</v>
          </cell>
          <cell r="I349">
            <v>19</v>
          </cell>
          <cell r="J349">
            <v>341</v>
          </cell>
        </row>
        <row r="350">
          <cell r="F350">
            <v>324</v>
          </cell>
          <cell r="G350">
            <v>1</v>
          </cell>
          <cell r="H350">
            <v>20</v>
          </cell>
          <cell r="I350">
            <v>20</v>
          </cell>
          <cell r="J350">
            <v>212</v>
          </cell>
        </row>
        <row r="351">
          <cell r="F351">
            <v>325</v>
          </cell>
          <cell r="G351">
            <v>1</v>
          </cell>
          <cell r="H351">
            <v>20</v>
          </cell>
          <cell r="I351">
            <v>21</v>
          </cell>
          <cell r="J351">
            <v>234</v>
          </cell>
        </row>
        <row r="352">
          <cell r="F352">
            <v>326</v>
          </cell>
          <cell r="G352">
            <v>1</v>
          </cell>
          <cell r="H352">
            <v>20</v>
          </cell>
          <cell r="I352">
            <v>22</v>
          </cell>
          <cell r="J352">
            <v>234</v>
          </cell>
        </row>
        <row r="353">
          <cell r="F353">
            <v>327</v>
          </cell>
          <cell r="G353">
            <v>1</v>
          </cell>
          <cell r="H353">
            <v>20</v>
          </cell>
          <cell r="I353">
            <v>23</v>
          </cell>
          <cell r="J353">
            <v>234</v>
          </cell>
        </row>
        <row r="354">
          <cell r="F354">
            <v>328</v>
          </cell>
          <cell r="G354">
            <v>1</v>
          </cell>
          <cell r="H354">
            <v>20</v>
          </cell>
          <cell r="I354">
            <v>25</v>
          </cell>
          <cell r="J354">
            <v>299</v>
          </cell>
        </row>
        <row r="355">
          <cell r="F355">
            <v>329</v>
          </cell>
          <cell r="G355">
            <v>1</v>
          </cell>
          <cell r="H355">
            <v>20</v>
          </cell>
          <cell r="I355">
            <v>26</v>
          </cell>
          <cell r="J355">
            <v>297</v>
          </cell>
        </row>
        <row r="356">
          <cell r="F356">
            <v>330</v>
          </cell>
          <cell r="G356">
            <v>1</v>
          </cell>
          <cell r="H356">
            <v>20</v>
          </cell>
          <cell r="I356">
            <v>27</v>
          </cell>
          <cell r="J356">
            <v>243</v>
          </cell>
        </row>
        <row r="357">
          <cell r="F357">
            <v>331</v>
          </cell>
          <cell r="G357">
            <v>1</v>
          </cell>
          <cell r="H357">
            <v>20</v>
          </cell>
          <cell r="I357">
            <v>28</v>
          </cell>
          <cell r="J357">
            <v>243</v>
          </cell>
        </row>
        <row r="358">
          <cell r="F358">
            <v>332</v>
          </cell>
          <cell r="G358">
            <v>1</v>
          </cell>
          <cell r="H358">
            <v>20</v>
          </cell>
          <cell r="I358">
            <v>29</v>
          </cell>
          <cell r="J358">
            <v>230</v>
          </cell>
        </row>
        <row r="359">
          <cell r="F359">
            <v>333</v>
          </cell>
          <cell r="G359">
            <v>1</v>
          </cell>
          <cell r="H359">
            <v>20</v>
          </cell>
          <cell r="I359">
            <v>30</v>
          </cell>
          <cell r="J359">
            <v>341</v>
          </cell>
        </row>
        <row r="360">
          <cell r="F360">
            <v>334</v>
          </cell>
          <cell r="G360">
            <v>1</v>
          </cell>
          <cell r="H360">
            <v>20</v>
          </cell>
          <cell r="I360">
            <v>31</v>
          </cell>
          <cell r="J360">
            <v>279</v>
          </cell>
        </row>
        <row r="361">
          <cell r="F361">
            <v>335</v>
          </cell>
          <cell r="G361">
            <v>1</v>
          </cell>
          <cell r="H361">
            <v>20</v>
          </cell>
          <cell r="I361">
            <v>32</v>
          </cell>
          <cell r="J361">
            <v>243</v>
          </cell>
        </row>
        <row r="362">
          <cell r="F362">
            <v>336</v>
          </cell>
          <cell r="G362">
            <v>1</v>
          </cell>
          <cell r="H362">
            <v>20</v>
          </cell>
          <cell r="I362">
            <v>33</v>
          </cell>
          <cell r="J362">
            <v>243</v>
          </cell>
        </row>
        <row r="363">
          <cell r="F363">
            <v>337</v>
          </cell>
          <cell r="G363">
            <v>1</v>
          </cell>
          <cell r="H363">
            <v>20</v>
          </cell>
          <cell r="I363">
            <v>35</v>
          </cell>
          <cell r="J363">
            <v>243</v>
          </cell>
        </row>
        <row r="364">
          <cell r="F364">
            <v>338</v>
          </cell>
          <cell r="G364">
            <v>1</v>
          </cell>
          <cell r="H364">
            <v>20</v>
          </cell>
          <cell r="I364">
            <v>36</v>
          </cell>
          <cell r="J364">
            <v>293</v>
          </cell>
        </row>
        <row r="365">
          <cell r="F365">
            <v>339</v>
          </cell>
          <cell r="G365">
            <v>1</v>
          </cell>
          <cell r="H365">
            <v>20</v>
          </cell>
          <cell r="I365">
            <v>37</v>
          </cell>
          <cell r="J365">
            <v>243</v>
          </cell>
        </row>
        <row r="366">
          <cell r="F366">
            <v>340</v>
          </cell>
          <cell r="G366">
            <v>1</v>
          </cell>
          <cell r="H366">
            <v>20</v>
          </cell>
          <cell r="I366">
            <v>38</v>
          </cell>
          <cell r="J366">
            <v>243</v>
          </cell>
        </row>
        <row r="367">
          <cell r="F367">
            <v>341</v>
          </cell>
          <cell r="G367">
            <v>1</v>
          </cell>
          <cell r="H367">
            <v>20</v>
          </cell>
          <cell r="I367">
            <v>39</v>
          </cell>
          <cell r="J367">
            <v>243</v>
          </cell>
        </row>
        <row r="368">
          <cell r="F368">
            <v>342</v>
          </cell>
          <cell r="G368">
            <v>1</v>
          </cell>
          <cell r="H368">
            <v>20</v>
          </cell>
          <cell r="I368">
            <v>40</v>
          </cell>
          <cell r="J368">
            <v>287</v>
          </cell>
        </row>
        <row r="369">
          <cell r="F369">
            <v>343</v>
          </cell>
          <cell r="G369">
            <v>1</v>
          </cell>
          <cell r="H369">
            <v>20</v>
          </cell>
          <cell r="I369">
            <v>41</v>
          </cell>
          <cell r="J369">
            <v>369</v>
          </cell>
        </row>
        <row r="370">
          <cell r="F370">
            <v>344</v>
          </cell>
          <cell r="G370">
            <v>1</v>
          </cell>
          <cell r="H370">
            <v>20</v>
          </cell>
          <cell r="I370">
            <v>42</v>
          </cell>
          <cell r="J370">
            <v>273</v>
          </cell>
        </row>
        <row r="371">
          <cell r="F371">
            <v>345</v>
          </cell>
          <cell r="G371">
            <v>1</v>
          </cell>
          <cell r="H371">
            <v>20</v>
          </cell>
          <cell r="I371">
            <v>43</v>
          </cell>
          <cell r="J371">
            <v>310</v>
          </cell>
        </row>
        <row r="372">
          <cell r="F372">
            <v>346</v>
          </cell>
          <cell r="G372">
            <v>1</v>
          </cell>
          <cell r="H372">
            <v>20</v>
          </cell>
          <cell r="I372">
            <v>45</v>
          </cell>
          <cell r="J372">
            <v>268</v>
          </cell>
        </row>
        <row r="373">
          <cell r="F373">
            <v>347</v>
          </cell>
          <cell r="G373">
            <v>1</v>
          </cell>
          <cell r="H373">
            <v>20</v>
          </cell>
          <cell r="I373">
            <v>46</v>
          </cell>
          <cell r="J373">
            <v>234</v>
          </cell>
        </row>
        <row r="374">
          <cell r="F374">
            <v>348</v>
          </cell>
          <cell r="G374">
            <v>1</v>
          </cell>
          <cell r="H374">
            <v>20</v>
          </cell>
          <cell r="I374">
            <v>47</v>
          </cell>
          <cell r="J374">
            <v>270</v>
          </cell>
        </row>
        <row r="375">
          <cell r="F375">
            <v>349</v>
          </cell>
          <cell r="G375">
            <v>1</v>
          </cell>
          <cell r="H375">
            <v>21</v>
          </cell>
          <cell r="I375">
            <v>1</v>
          </cell>
          <cell r="J375">
            <v>345</v>
          </cell>
        </row>
        <row r="376">
          <cell r="F376">
            <v>350</v>
          </cell>
          <cell r="G376">
            <v>1</v>
          </cell>
          <cell r="H376">
            <v>21</v>
          </cell>
          <cell r="I376">
            <v>2</v>
          </cell>
          <cell r="J376">
            <v>294</v>
          </cell>
        </row>
        <row r="377">
          <cell r="F377">
            <v>351</v>
          </cell>
          <cell r="G377">
            <v>1</v>
          </cell>
          <cell r="H377">
            <v>21</v>
          </cell>
          <cell r="I377">
            <v>3</v>
          </cell>
          <cell r="J377">
            <v>377</v>
          </cell>
        </row>
        <row r="378">
          <cell r="F378">
            <v>352</v>
          </cell>
          <cell r="G378">
            <v>1</v>
          </cell>
          <cell r="H378">
            <v>21</v>
          </cell>
          <cell r="I378">
            <v>5</v>
          </cell>
          <cell r="J378">
            <v>350</v>
          </cell>
        </row>
        <row r="379">
          <cell r="F379">
            <v>353</v>
          </cell>
          <cell r="G379">
            <v>1</v>
          </cell>
          <cell r="H379">
            <v>21</v>
          </cell>
          <cell r="I379">
            <v>6</v>
          </cell>
          <cell r="J379">
            <v>300</v>
          </cell>
        </row>
        <row r="380">
          <cell r="F380">
            <v>354</v>
          </cell>
          <cell r="G380">
            <v>1</v>
          </cell>
          <cell r="H380">
            <v>21</v>
          </cell>
          <cell r="I380">
            <v>7</v>
          </cell>
          <cell r="J380">
            <v>284</v>
          </cell>
        </row>
        <row r="381">
          <cell r="F381">
            <v>355</v>
          </cell>
          <cell r="G381">
            <v>1</v>
          </cell>
          <cell r="H381">
            <v>21</v>
          </cell>
          <cell r="I381">
            <v>8</v>
          </cell>
          <cell r="J381">
            <v>280</v>
          </cell>
        </row>
        <row r="382">
          <cell r="F382">
            <v>356</v>
          </cell>
          <cell r="G382">
            <v>1</v>
          </cell>
          <cell r="H382">
            <v>21</v>
          </cell>
          <cell r="I382">
            <v>9</v>
          </cell>
          <cell r="J382">
            <v>384</v>
          </cell>
        </row>
        <row r="383">
          <cell r="F383">
            <v>357</v>
          </cell>
          <cell r="G383">
            <v>1</v>
          </cell>
          <cell r="H383">
            <v>22</v>
          </cell>
          <cell r="I383">
            <v>1</v>
          </cell>
          <cell r="J383">
            <v>351</v>
          </cell>
        </row>
        <row r="384">
          <cell r="F384">
            <v>358</v>
          </cell>
          <cell r="G384">
            <v>1</v>
          </cell>
          <cell r="H384">
            <v>22</v>
          </cell>
          <cell r="I384">
            <v>2</v>
          </cell>
          <cell r="J384">
            <v>245</v>
          </cell>
        </row>
        <row r="385">
          <cell r="F385">
            <v>359</v>
          </cell>
          <cell r="G385">
            <v>1</v>
          </cell>
          <cell r="H385">
            <v>22</v>
          </cell>
          <cell r="I385">
            <v>3</v>
          </cell>
          <cell r="J385">
            <v>253</v>
          </cell>
        </row>
        <row r="386">
          <cell r="F386">
            <v>0</v>
          </cell>
          <cell r="G386">
            <v>0</v>
          </cell>
          <cell r="H386">
            <v>0</v>
          </cell>
          <cell r="I386">
            <v>0</v>
          </cell>
          <cell r="J386">
            <v>0</v>
          </cell>
        </row>
        <row r="387">
          <cell r="F387">
            <v>360</v>
          </cell>
          <cell r="G387">
            <v>1</v>
          </cell>
          <cell r="H387">
            <v>22</v>
          </cell>
          <cell r="I387">
            <v>5</v>
          </cell>
          <cell r="J387">
            <v>279</v>
          </cell>
        </row>
        <row r="388">
          <cell r="F388">
            <v>361</v>
          </cell>
          <cell r="G388">
            <v>1</v>
          </cell>
          <cell r="H388">
            <v>22</v>
          </cell>
          <cell r="I388">
            <v>6</v>
          </cell>
          <cell r="J388">
            <v>321</v>
          </cell>
        </row>
        <row r="389">
          <cell r="F389">
            <v>362</v>
          </cell>
          <cell r="G389">
            <v>1</v>
          </cell>
          <cell r="H389">
            <v>22</v>
          </cell>
          <cell r="I389">
            <v>7</v>
          </cell>
          <cell r="J389">
            <v>360</v>
          </cell>
        </row>
        <row r="390">
          <cell r="F390">
            <v>363</v>
          </cell>
          <cell r="G390">
            <v>1</v>
          </cell>
          <cell r="H390">
            <v>22</v>
          </cell>
          <cell r="I390">
            <v>8</v>
          </cell>
          <cell r="J390">
            <v>383</v>
          </cell>
        </row>
        <row r="391">
          <cell r="F391">
            <v>364</v>
          </cell>
          <cell r="G391">
            <v>1</v>
          </cell>
          <cell r="H391">
            <v>22</v>
          </cell>
          <cell r="I391">
            <v>9</v>
          </cell>
          <cell r="J391">
            <v>351</v>
          </cell>
        </row>
        <row r="392">
          <cell r="F392">
            <v>365</v>
          </cell>
          <cell r="G392">
            <v>1</v>
          </cell>
          <cell r="H392">
            <v>22</v>
          </cell>
          <cell r="I392">
            <v>10</v>
          </cell>
          <cell r="J392">
            <v>287</v>
          </cell>
        </row>
        <row r="393">
          <cell r="F393">
            <v>366</v>
          </cell>
          <cell r="G393">
            <v>1</v>
          </cell>
          <cell r="H393">
            <v>22</v>
          </cell>
          <cell r="I393">
            <v>11</v>
          </cell>
          <cell r="J393">
            <v>252</v>
          </cell>
        </row>
        <row r="394">
          <cell r="F394">
            <v>367</v>
          </cell>
          <cell r="G394">
            <v>1</v>
          </cell>
          <cell r="H394">
            <v>22</v>
          </cell>
          <cell r="I394">
            <v>12</v>
          </cell>
          <cell r="J394">
            <v>254</v>
          </cell>
        </row>
        <row r="395">
          <cell r="F395">
            <v>368</v>
          </cell>
          <cell r="G395">
            <v>1</v>
          </cell>
          <cell r="H395">
            <v>22</v>
          </cell>
          <cell r="I395">
            <v>15</v>
          </cell>
          <cell r="J395">
            <v>255</v>
          </cell>
        </row>
        <row r="396">
          <cell r="F396">
            <v>369</v>
          </cell>
          <cell r="G396">
            <v>1</v>
          </cell>
          <cell r="H396">
            <v>22</v>
          </cell>
          <cell r="I396">
            <v>16</v>
          </cell>
          <cell r="J396">
            <v>256</v>
          </cell>
        </row>
        <row r="397">
          <cell r="F397">
            <v>370</v>
          </cell>
          <cell r="G397">
            <v>1</v>
          </cell>
          <cell r="H397">
            <v>22</v>
          </cell>
          <cell r="I397">
            <v>17</v>
          </cell>
          <cell r="J397">
            <v>257</v>
          </cell>
        </row>
        <row r="398">
          <cell r="F398">
            <v>371</v>
          </cell>
          <cell r="G398">
            <v>1</v>
          </cell>
          <cell r="H398">
            <v>22</v>
          </cell>
          <cell r="I398">
            <v>18</v>
          </cell>
          <cell r="J398">
            <v>258</v>
          </cell>
        </row>
        <row r="399">
          <cell r="F399">
            <v>372</v>
          </cell>
          <cell r="G399">
            <v>1</v>
          </cell>
          <cell r="H399">
            <v>22</v>
          </cell>
          <cell r="I399">
            <v>19</v>
          </cell>
          <cell r="J399">
            <v>355</v>
          </cell>
        </row>
        <row r="400">
          <cell r="F400">
            <v>373</v>
          </cell>
          <cell r="G400">
            <v>1</v>
          </cell>
          <cell r="H400">
            <v>23</v>
          </cell>
          <cell r="I400">
            <v>1</v>
          </cell>
          <cell r="J400">
            <v>347</v>
          </cell>
        </row>
        <row r="401">
          <cell r="F401">
            <v>374</v>
          </cell>
          <cell r="G401">
            <v>1</v>
          </cell>
          <cell r="H401">
            <v>23</v>
          </cell>
          <cell r="I401">
            <v>2</v>
          </cell>
          <cell r="J401">
            <v>369</v>
          </cell>
        </row>
        <row r="402">
          <cell r="F402">
            <v>375</v>
          </cell>
          <cell r="G402">
            <v>1</v>
          </cell>
          <cell r="H402">
            <v>23</v>
          </cell>
          <cell r="I402">
            <v>3</v>
          </cell>
          <cell r="J402">
            <v>415</v>
          </cell>
        </row>
        <row r="403">
          <cell r="F403">
            <v>0</v>
          </cell>
          <cell r="G403">
            <v>0</v>
          </cell>
          <cell r="H403">
            <v>0</v>
          </cell>
          <cell r="I403">
            <v>0</v>
          </cell>
          <cell r="J403">
            <v>0</v>
          </cell>
        </row>
        <row r="404">
          <cell r="F404">
            <v>376</v>
          </cell>
          <cell r="G404">
            <v>1</v>
          </cell>
          <cell r="H404">
            <v>23</v>
          </cell>
          <cell r="I404">
            <v>5</v>
          </cell>
          <cell r="J404">
            <v>400</v>
          </cell>
        </row>
        <row r="405">
          <cell r="F405">
            <v>377</v>
          </cell>
          <cell r="G405">
            <v>1</v>
          </cell>
          <cell r="H405">
            <v>23</v>
          </cell>
          <cell r="I405">
            <v>6</v>
          </cell>
          <cell r="J405">
            <v>359</v>
          </cell>
        </row>
        <row r="406">
          <cell r="F406">
            <v>378</v>
          </cell>
          <cell r="G406">
            <v>1</v>
          </cell>
          <cell r="H406">
            <v>23</v>
          </cell>
          <cell r="I406">
            <v>7</v>
          </cell>
          <cell r="J406">
            <v>367</v>
          </cell>
        </row>
        <row r="407">
          <cell r="F407">
            <v>379</v>
          </cell>
          <cell r="G407">
            <v>1</v>
          </cell>
          <cell r="H407">
            <v>23</v>
          </cell>
          <cell r="I407">
            <v>8</v>
          </cell>
          <cell r="J407">
            <v>321</v>
          </cell>
        </row>
        <row r="408">
          <cell r="F408">
            <v>380</v>
          </cell>
          <cell r="G408">
            <v>1</v>
          </cell>
          <cell r="H408">
            <v>23</v>
          </cell>
          <cell r="I408">
            <v>9</v>
          </cell>
          <cell r="J408">
            <v>258</v>
          </cell>
        </row>
        <row r="409">
          <cell r="F409">
            <v>381</v>
          </cell>
          <cell r="G409">
            <v>1</v>
          </cell>
          <cell r="H409">
            <v>23</v>
          </cell>
          <cell r="I409">
            <v>10</v>
          </cell>
          <cell r="J409">
            <v>257</v>
          </cell>
        </row>
        <row r="410">
          <cell r="F410">
            <v>382</v>
          </cell>
          <cell r="G410">
            <v>1</v>
          </cell>
          <cell r="H410">
            <v>23</v>
          </cell>
          <cell r="I410">
            <v>11</v>
          </cell>
          <cell r="J410">
            <v>256</v>
          </cell>
        </row>
        <row r="411">
          <cell r="F411">
            <v>383</v>
          </cell>
          <cell r="G411">
            <v>1</v>
          </cell>
          <cell r="H411">
            <v>23</v>
          </cell>
          <cell r="I411">
            <v>12</v>
          </cell>
          <cell r="J411">
            <v>256</v>
          </cell>
        </row>
        <row r="412">
          <cell r="F412">
            <v>384</v>
          </cell>
          <cell r="G412">
            <v>1</v>
          </cell>
          <cell r="H412">
            <v>23</v>
          </cell>
          <cell r="I412">
            <v>15</v>
          </cell>
          <cell r="J412">
            <v>257</v>
          </cell>
        </row>
        <row r="413">
          <cell r="F413">
            <v>385</v>
          </cell>
          <cell r="G413">
            <v>1</v>
          </cell>
          <cell r="H413">
            <v>23</v>
          </cell>
          <cell r="I413">
            <v>16</v>
          </cell>
          <cell r="J413">
            <v>256</v>
          </cell>
        </row>
        <row r="414">
          <cell r="F414">
            <v>386</v>
          </cell>
          <cell r="G414">
            <v>1</v>
          </cell>
          <cell r="H414">
            <v>23</v>
          </cell>
          <cell r="I414">
            <v>17</v>
          </cell>
          <cell r="J414">
            <v>352</v>
          </cell>
        </row>
        <row r="415">
          <cell r="F415">
            <v>0</v>
          </cell>
          <cell r="G415">
            <v>0</v>
          </cell>
          <cell r="H415">
            <v>0</v>
          </cell>
          <cell r="I415">
            <v>0</v>
          </cell>
          <cell r="J415">
            <v>0</v>
          </cell>
        </row>
        <row r="416">
          <cell r="F416">
            <v>387</v>
          </cell>
          <cell r="G416">
            <v>1</v>
          </cell>
          <cell r="H416">
            <v>25</v>
          </cell>
          <cell r="I416">
            <v>1</v>
          </cell>
          <cell r="J416">
            <v>312</v>
          </cell>
        </row>
        <row r="417">
          <cell r="F417">
            <v>388</v>
          </cell>
          <cell r="G417">
            <v>1</v>
          </cell>
          <cell r="H417">
            <v>25</v>
          </cell>
          <cell r="I417">
            <v>2</v>
          </cell>
          <cell r="J417">
            <v>252</v>
          </cell>
        </row>
        <row r="418">
          <cell r="F418">
            <v>389</v>
          </cell>
          <cell r="G418">
            <v>1</v>
          </cell>
          <cell r="H418">
            <v>25</v>
          </cell>
          <cell r="I418">
            <v>3</v>
          </cell>
          <cell r="J418">
            <v>252</v>
          </cell>
        </row>
        <row r="419">
          <cell r="F419">
            <v>0</v>
          </cell>
          <cell r="G419">
            <v>0</v>
          </cell>
          <cell r="H419">
            <v>0</v>
          </cell>
          <cell r="I419">
            <v>0</v>
          </cell>
          <cell r="J419">
            <v>0</v>
          </cell>
        </row>
        <row r="420">
          <cell r="F420">
            <v>390</v>
          </cell>
          <cell r="G420">
            <v>1</v>
          </cell>
          <cell r="H420">
            <v>25</v>
          </cell>
          <cell r="I420">
            <v>5</v>
          </cell>
          <cell r="J420">
            <v>243</v>
          </cell>
        </row>
        <row r="421">
          <cell r="F421">
            <v>391</v>
          </cell>
          <cell r="G421">
            <v>1</v>
          </cell>
          <cell r="H421">
            <v>25</v>
          </cell>
          <cell r="I421">
            <v>6</v>
          </cell>
          <cell r="J421">
            <v>251</v>
          </cell>
        </row>
        <row r="422">
          <cell r="F422">
            <v>392</v>
          </cell>
          <cell r="G422">
            <v>1</v>
          </cell>
          <cell r="H422">
            <v>25</v>
          </cell>
          <cell r="I422">
            <v>7</v>
          </cell>
          <cell r="J422">
            <v>252</v>
          </cell>
        </row>
        <row r="423">
          <cell r="F423">
            <v>393</v>
          </cell>
          <cell r="G423">
            <v>1</v>
          </cell>
          <cell r="H423">
            <v>25</v>
          </cell>
          <cell r="I423">
            <v>8</v>
          </cell>
          <cell r="J423">
            <v>245</v>
          </cell>
        </row>
        <row r="424">
          <cell r="F424">
            <v>394</v>
          </cell>
          <cell r="G424">
            <v>1</v>
          </cell>
          <cell r="H424">
            <v>25</v>
          </cell>
          <cell r="I424">
            <v>9</v>
          </cell>
          <cell r="J424">
            <v>289</v>
          </cell>
        </row>
        <row r="425">
          <cell r="F425">
            <v>395</v>
          </cell>
          <cell r="G425">
            <v>1</v>
          </cell>
          <cell r="H425">
            <v>25</v>
          </cell>
          <cell r="I425">
            <v>10</v>
          </cell>
          <cell r="J425">
            <v>243</v>
          </cell>
        </row>
        <row r="426">
          <cell r="F426">
            <v>396</v>
          </cell>
          <cell r="G426">
            <v>1</v>
          </cell>
          <cell r="H426">
            <v>25</v>
          </cell>
          <cell r="I426">
            <v>11</v>
          </cell>
          <cell r="J426">
            <v>271</v>
          </cell>
        </row>
        <row r="427">
          <cell r="F427">
            <v>397</v>
          </cell>
          <cell r="G427">
            <v>1</v>
          </cell>
          <cell r="H427">
            <v>25</v>
          </cell>
          <cell r="I427">
            <v>12</v>
          </cell>
          <cell r="J427">
            <v>367</v>
          </cell>
        </row>
        <row r="428">
          <cell r="F428">
            <v>0</v>
          </cell>
          <cell r="G428">
            <v>0</v>
          </cell>
          <cell r="H428">
            <v>0</v>
          </cell>
          <cell r="I428">
            <v>0</v>
          </cell>
          <cell r="J428">
            <v>0</v>
          </cell>
        </row>
        <row r="429">
          <cell r="F429">
            <v>0</v>
          </cell>
          <cell r="G429">
            <v>0</v>
          </cell>
          <cell r="H429">
            <v>0</v>
          </cell>
          <cell r="I429">
            <v>0</v>
          </cell>
          <cell r="J429">
            <v>0</v>
          </cell>
        </row>
        <row r="430">
          <cell r="F430">
            <v>398</v>
          </cell>
          <cell r="G430">
            <v>1</v>
          </cell>
          <cell r="H430">
            <v>25</v>
          </cell>
          <cell r="I430">
            <v>15</v>
          </cell>
          <cell r="J430">
            <v>252</v>
          </cell>
        </row>
        <row r="431">
          <cell r="F431">
            <v>399</v>
          </cell>
          <cell r="G431">
            <v>1</v>
          </cell>
          <cell r="H431">
            <v>25</v>
          </cell>
          <cell r="I431">
            <v>16</v>
          </cell>
          <cell r="J431">
            <v>252</v>
          </cell>
        </row>
        <row r="432">
          <cell r="F432">
            <v>400</v>
          </cell>
          <cell r="G432">
            <v>1</v>
          </cell>
          <cell r="H432">
            <v>25</v>
          </cell>
          <cell r="I432">
            <v>17</v>
          </cell>
          <cell r="J432">
            <v>252</v>
          </cell>
        </row>
        <row r="433">
          <cell r="F433">
            <v>401</v>
          </cell>
          <cell r="G433">
            <v>1</v>
          </cell>
          <cell r="H433">
            <v>25</v>
          </cell>
          <cell r="I433">
            <v>18</v>
          </cell>
          <cell r="J433">
            <v>252</v>
          </cell>
        </row>
        <row r="434">
          <cell r="F434">
            <v>402</v>
          </cell>
          <cell r="G434">
            <v>1</v>
          </cell>
          <cell r="H434">
            <v>25</v>
          </cell>
          <cell r="I434">
            <v>19</v>
          </cell>
          <cell r="J434">
            <v>270</v>
          </cell>
        </row>
        <row r="435">
          <cell r="F435">
            <v>403</v>
          </cell>
          <cell r="G435">
            <v>1</v>
          </cell>
          <cell r="H435">
            <v>25</v>
          </cell>
          <cell r="I435">
            <v>20</v>
          </cell>
          <cell r="J435">
            <v>272</v>
          </cell>
        </row>
        <row r="436">
          <cell r="F436">
            <v>404</v>
          </cell>
          <cell r="G436">
            <v>1</v>
          </cell>
          <cell r="H436">
            <v>25</v>
          </cell>
          <cell r="I436">
            <v>21</v>
          </cell>
          <cell r="J436">
            <v>268</v>
          </cell>
        </row>
        <row r="437">
          <cell r="F437">
            <v>405</v>
          </cell>
          <cell r="G437">
            <v>1</v>
          </cell>
          <cell r="H437">
            <v>25</v>
          </cell>
          <cell r="I437">
            <v>22</v>
          </cell>
          <cell r="J437">
            <v>266</v>
          </cell>
        </row>
        <row r="438">
          <cell r="F438">
            <v>406</v>
          </cell>
          <cell r="G438">
            <v>1</v>
          </cell>
          <cell r="H438">
            <v>25</v>
          </cell>
          <cell r="I438">
            <v>23</v>
          </cell>
          <cell r="J438">
            <v>306</v>
          </cell>
        </row>
        <row r="439">
          <cell r="F439">
            <v>0</v>
          </cell>
          <cell r="G439">
            <v>0</v>
          </cell>
          <cell r="H439">
            <v>0</v>
          </cell>
          <cell r="I439">
            <v>0</v>
          </cell>
          <cell r="J439">
            <v>0</v>
          </cell>
        </row>
        <row r="440">
          <cell r="F440">
            <v>407</v>
          </cell>
          <cell r="G440">
            <v>1</v>
          </cell>
          <cell r="H440">
            <v>25</v>
          </cell>
          <cell r="I440">
            <v>25</v>
          </cell>
          <cell r="J440">
            <v>404</v>
          </cell>
        </row>
        <row r="441">
          <cell r="F441">
            <v>408</v>
          </cell>
          <cell r="G441">
            <v>1</v>
          </cell>
          <cell r="H441">
            <v>25</v>
          </cell>
          <cell r="I441">
            <v>26</v>
          </cell>
          <cell r="J441">
            <v>265</v>
          </cell>
        </row>
        <row r="442">
          <cell r="F442">
            <v>409</v>
          </cell>
          <cell r="G442">
            <v>1</v>
          </cell>
          <cell r="H442">
            <v>25</v>
          </cell>
          <cell r="I442">
            <v>27</v>
          </cell>
          <cell r="J442">
            <v>284</v>
          </cell>
        </row>
        <row r="443">
          <cell r="F443">
            <v>410</v>
          </cell>
          <cell r="G443">
            <v>1</v>
          </cell>
          <cell r="H443">
            <v>25</v>
          </cell>
          <cell r="I443">
            <v>28</v>
          </cell>
          <cell r="J443">
            <v>284</v>
          </cell>
        </row>
        <row r="444">
          <cell r="F444">
            <v>411</v>
          </cell>
          <cell r="G444">
            <v>1</v>
          </cell>
          <cell r="H444">
            <v>25</v>
          </cell>
          <cell r="I444">
            <v>29</v>
          </cell>
          <cell r="J444">
            <v>288</v>
          </cell>
        </row>
        <row r="445">
          <cell r="F445">
            <v>412</v>
          </cell>
          <cell r="G445">
            <v>1</v>
          </cell>
          <cell r="H445">
            <v>25</v>
          </cell>
          <cell r="I445">
            <v>30</v>
          </cell>
          <cell r="J445">
            <v>275</v>
          </cell>
        </row>
        <row r="446">
          <cell r="F446">
            <v>413</v>
          </cell>
          <cell r="G446">
            <v>1</v>
          </cell>
          <cell r="H446">
            <v>25</v>
          </cell>
          <cell r="I446">
            <v>31</v>
          </cell>
          <cell r="J446">
            <v>250</v>
          </cell>
        </row>
        <row r="447">
          <cell r="F447">
            <v>414</v>
          </cell>
          <cell r="G447">
            <v>1</v>
          </cell>
          <cell r="H447">
            <v>25</v>
          </cell>
          <cell r="I447">
            <v>32</v>
          </cell>
          <cell r="J447">
            <v>248</v>
          </cell>
        </row>
        <row r="448">
          <cell r="F448">
            <v>415</v>
          </cell>
          <cell r="G448">
            <v>1</v>
          </cell>
          <cell r="H448">
            <v>25</v>
          </cell>
          <cell r="I448">
            <v>33</v>
          </cell>
          <cell r="J448">
            <v>238</v>
          </cell>
        </row>
        <row r="449">
          <cell r="F449">
            <v>0</v>
          </cell>
          <cell r="G449">
            <v>0</v>
          </cell>
          <cell r="H449">
            <v>0</v>
          </cell>
          <cell r="I449">
            <v>0</v>
          </cell>
          <cell r="J449">
            <v>0</v>
          </cell>
        </row>
        <row r="450">
          <cell r="F450">
            <v>416</v>
          </cell>
          <cell r="G450">
            <v>1</v>
          </cell>
          <cell r="H450">
            <v>25</v>
          </cell>
          <cell r="I450">
            <v>35</v>
          </cell>
          <cell r="J450">
            <v>250</v>
          </cell>
        </row>
        <row r="451">
          <cell r="F451">
            <v>417</v>
          </cell>
          <cell r="G451">
            <v>1</v>
          </cell>
          <cell r="H451">
            <v>25</v>
          </cell>
          <cell r="I451">
            <v>36</v>
          </cell>
          <cell r="J451">
            <v>413</v>
          </cell>
        </row>
        <row r="452">
          <cell r="F452">
            <v>418</v>
          </cell>
          <cell r="G452">
            <v>1</v>
          </cell>
          <cell r="H452">
            <v>26</v>
          </cell>
          <cell r="I452">
            <v>1</v>
          </cell>
          <cell r="J452">
            <v>377</v>
          </cell>
        </row>
        <row r="453">
          <cell r="F453">
            <v>419</v>
          </cell>
          <cell r="G453">
            <v>1</v>
          </cell>
          <cell r="H453">
            <v>26</v>
          </cell>
          <cell r="I453">
            <v>2</v>
          </cell>
          <cell r="J453">
            <v>252</v>
          </cell>
        </row>
        <row r="454">
          <cell r="F454">
            <v>420</v>
          </cell>
          <cell r="G454">
            <v>1</v>
          </cell>
          <cell r="H454">
            <v>26</v>
          </cell>
          <cell r="I454">
            <v>3</v>
          </cell>
          <cell r="J454">
            <v>281</v>
          </cell>
        </row>
        <row r="455">
          <cell r="F455">
            <v>421</v>
          </cell>
          <cell r="G455">
            <v>1</v>
          </cell>
          <cell r="H455">
            <v>26</v>
          </cell>
          <cell r="I455">
            <v>5</v>
          </cell>
          <cell r="J455">
            <v>260</v>
          </cell>
        </row>
        <row r="456">
          <cell r="F456">
            <v>422</v>
          </cell>
          <cell r="G456">
            <v>1</v>
          </cell>
          <cell r="H456">
            <v>26</v>
          </cell>
          <cell r="I456">
            <v>6</v>
          </cell>
          <cell r="J456">
            <v>409</v>
          </cell>
        </row>
        <row r="457">
          <cell r="F457">
            <v>423</v>
          </cell>
          <cell r="G457">
            <v>1</v>
          </cell>
          <cell r="H457">
            <v>26</v>
          </cell>
          <cell r="I457">
            <v>7</v>
          </cell>
          <cell r="J457">
            <v>252</v>
          </cell>
        </row>
        <row r="458">
          <cell r="F458">
            <v>424</v>
          </cell>
          <cell r="G458">
            <v>1</v>
          </cell>
          <cell r="H458">
            <v>26</v>
          </cell>
          <cell r="I458">
            <v>8</v>
          </cell>
          <cell r="J458">
            <v>312</v>
          </cell>
        </row>
        <row r="459">
          <cell r="F459">
            <v>425</v>
          </cell>
          <cell r="G459">
            <v>1</v>
          </cell>
          <cell r="H459">
            <v>26</v>
          </cell>
          <cell r="I459">
            <v>9</v>
          </cell>
          <cell r="J459">
            <v>319</v>
          </cell>
        </row>
        <row r="460">
          <cell r="F460">
            <v>426</v>
          </cell>
          <cell r="G460">
            <v>1</v>
          </cell>
          <cell r="H460">
            <v>26</v>
          </cell>
          <cell r="I460">
            <v>10</v>
          </cell>
          <cell r="J460">
            <v>348</v>
          </cell>
        </row>
        <row r="461">
          <cell r="F461">
            <v>427</v>
          </cell>
          <cell r="G461">
            <v>1</v>
          </cell>
          <cell r="H461">
            <v>26</v>
          </cell>
          <cell r="I461">
            <v>11</v>
          </cell>
          <cell r="J461">
            <v>306</v>
          </cell>
        </row>
        <row r="462">
          <cell r="F462">
            <v>428</v>
          </cell>
          <cell r="G462">
            <v>1</v>
          </cell>
          <cell r="H462">
            <v>26</v>
          </cell>
          <cell r="I462">
            <v>12</v>
          </cell>
          <cell r="J462">
            <v>315</v>
          </cell>
        </row>
        <row r="463">
          <cell r="F463">
            <v>0</v>
          </cell>
          <cell r="G463">
            <v>0</v>
          </cell>
          <cell r="H463">
            <v>0</v>
          </cell>
          <cell r="I463">
            <v>0</v>
          </cell>
          <cell r="J463">
            <v>0</v>
          </cell>
        </row>
        <row r="464">
          <cell r="F464">
            <v>429</v>
          </cell>
          <cell r="G464">
            <v>1</v>
          </cell>
          <cell r="H464">
            <v>26</v>
          </cell>
          <cell r="I464">
            <v>15</v>
          </cell>
          <cell r="J464">
            <v>279</v>
          </cell>
        </row>
        <row r="465">
          <cell r="F465">
            <v>430</v>
          </cell>
          <cell r="G465">
            <v>1</v>
          </cell>
          <cell r="H465">
            <v>26</v>
          </cell>
          <cell r="I465">
            <v>16</v>
          </cell>
          <cell r="J465">
            <v>335</v>
          </cell>
        </row>
        <row r="466">
          <cell r="F466">
            <v>431</v>
          </cell>
          <cell r="G466">
            <v>1</v>
          </cell>
          <cell r="H466">
            <v>26</v>
          </cell>
          <cell r="I466">
            <v>17</v>
          </cell>
          <cell r="J466">
            <v>242</v>
          </cell>
        </row>
        <row r="467">
          <cell r="F467">
            <v>432</v>
          </cell>
          <cell r="G467">
            <v>1</v>
          </cell>
          <cell r="H467">
            <v>26</v>
          </cell>
          <cell r="I467">
            <v>18</v>
          </cell>
          <cell r="J467">
            <v>437</v>
          </cell>
        </row>
        <row r="468">
          <cell r="F468">
            <v>433</v>
          </cell>
          <cell r="G468">
            <v>1</v>
          </cell>
          <cell r="H468">
            <v>26</v>
          </cell>
          <cell r="I468">
            <v>19</v>
          </cell>
          <cell r="J468">
            <v>262</v>
          </cell>
        </row>
        <row r="469">
          <cell r="F469">
            <v>434</v>
          </cell>
          <cell r="G469">
            <v>1</v>
          </cell>
          <cell r="H469">
            <v>26</v>
          </cell>
          <cell r="I469">
            <v>20</v>
          </cell>
          <cell r="J469">
            <v>294</v>
          </cell>
        </row>
        <row r="470">
          <cell r="F470">
            <v>435</v>
          </cell>
          <cell r="G470">
            <v>1</v>
          </cell>
          <cell r="H470">
            <v>26</v>
          </cell>
          <cell r="I470">
            <v>21</v>
          </cell>
          <cell r="J470">
            <v>265</v>
          </cell>
        </row>
        <row r="471">
          <cell r="F471">
            <v>436</v>
          </cell>
          <cell r="G471">
            <v>1</v>
          </cell>
          <cell r="H471">
            <v>26</v>
          </cell>
          <cell r="I471">
            <v>22</v>
          </cell>
          <cell r="J471">
            <v>301</v>
          </cell>
        </row>
        <row r="472">
          <cell r="F472">
            <v>437</v>
          </cell>
          <cell r="G472">
            <v>1</v>
          </cell>
          <cell r="H472">
            <v>26</v>
          </cell>
          <cell r="I472">
            <v>23</v>
          </cell>
          <cell r="J472">
            <v>266</v>
          </cell>
        </row>
        <row r="473">
          <cell r="F473">
            <v>438</v>
          </cell>
          <cell r="G473">
            <v>1</v>
          </cell>
          <cell r="H473">
            <v>26</v>
          </cell>
          <cell r="I473">
            <v>25</v>
          </cell>
          <cell r="J473">
            <v>254</v>
          </cell>
        </row>
        <row r="474">
          <cell r="F474">
            <v>439</v>
          </cell>
          <cell r="G474">
            <v>1</v>
          </cell>
          <cell r="H474">
            <v>26</v>
          </cell>
          <cell r="I474">
            <v>26</v>
          </cell>
          <cell r="J474">
            <v>281</v>
          </cell>
        </row>
        <row r="475">
          <cell r="F475">
            <v>0</v>
          </cell>
          <cell r="G475">
            <v>0</v>
          </cell>
          <cell r="H475">
            <v>0</v>
          </cell>
          <cell r="I475">
            <v>0</v>
          </cell>
          <cell r="J475">
            <v>0</v>
          </cell>
        </row>
        <row r="476">
          <cell r="F476">
            <v>440</v>
          </cell>
          <cell r="G476">
            <v>1</v>
          </cell>
          <cell r="H476">
            <v>28</v>
          </cell>
          <cell r="I476">
            <v>1</v>
          </cell>
          <cell r="J476">
            <v>285</v>
          </cell>
        </row>
        <row r="477">
          <cell r="F477">
            <v>441</v>
          </cell>
          <cell r="G477">
            <v>1</v>
          </cell>
          <cell r="H477">
            <v>28</v>
          </cell>
          <cell r="I477">
            <v>2</v>
          </cell>
          <cell r="J477">
            <v>274</v>
          </cell>
        </row>
        <row r="478">
          <cell r="F478">
            <v>442</v>
          </cell>
          <cell r="G478">
            <v>1</v>
          </cell>
          <cell r="H478">
            <v>28</v>
          </cell>
          <cell r="I478">
            <v>3</v>
          </cell>
          <cell r="J478">
            <v>243</v>
          </cell>
        </row>
        <row r="479">
          <cell r="F479">
            <v>0</v>
          </cell>
          <cell r="G479">
            <v>0</v>
          </cell>
          <cell r="H479">
            <v>0</v>
          </cell>
          <cell r="I479">
            <v>0</v>
          </cell>
          <cell r="J479">
            <v>0</v>
          </cell>
        </row>
        <row r="480">
          <cell r="F480">
            <v>443</v>
          </cell>
          <cell r="G480">
            <v>1</v>
          </cell>
          <cell r="H480">
            <v>28</v>
          </cell>
          <cell r="I480">
            <v>5</v>
          </cell>
          <cell r="J480">
            <v>247</v>
          </cell>
        </row>
        <row r="481">
          <cell r="F481">
            <v>444</v>
          </cell>
          <cell r="G481">
            <v>1</v>
          </cell>
          <cell r="H481">
            <v>28</v>
          </cell>
          <cell r="I481">
            <v>6</v>
          </cell>
          <cell r="J481">
            <v>263</v>
          </cell>
        </row>
        <row r="482">
          <cell r="F482">
            <v>445</v>
          </cell>
          <cell r="G482">
            <v>1</v>
          </cell>
          <cell r="H482">
            <v>28</v>
          </cell>
          <cell r="I482">
            <v>7</v>
          </cell>
          <cell r="J482">
            <v>245</v>
          </cell>
        </row>
        <row r="483">
          <cell r="F483">
            <v>446</v>
          </cell>
          <cell r="G483">
            <v>1</v>
          </cell>
          <cell r="H483">
            <v>28</v>
          </cell>
          <cell r="I483">
            <v>8</v>
          </cell>
          <cell r="J483">
            <v>296</v>
          </cell>
        </row>
        <row r="484">
          <cell r="F484">
            <v>447</v>
          </cell>
          <cell r="G484">
            <v>1</v>
          </cell>
          <cell r="H484">
            <v>28</v>
          </cell>
          <cell r="I484">
            <v>9</v>
          </cell>
          <cell r="J484">
            <v>270</v>
          </cell>
        </row>
        <row r="485">
          <cell r="F485">
            <v>448</v>
          </cell>
          <cell r="G485">
            <v>1</v>
          </cell>
          <cell r="H485">
            <v>28</v>
          </cell>
          <cell r="I485">
            <v>10</v>
          </cell>
          <cell r="J485">
            <v>365</v>
          </cell>
        </row>
        <row r="486">
          <cell r="F486">
            <v>449</v>
          </cell>
          <cell r="G486">
            <v>1</v>
          </cell>
          <cell r="H486">
            <v>28</v>
          </cell>
          <cell r="I486">
            <v>11</v>
          </cell>
          <cell r="J486">
            <v>265</v>
          </cell>
        </row>
        <row r="487">
          <cell r="F487">
            <v>450</v>
          </cell>
          <cell r="G487">
            <v>1</v>
          </cell>
          <cell r="H487">
            <v>28</v>
          </cell>
          <cell r="I487">
            <v>12</v>
          </cell>
          <cell r="J487">
            <v>323</v>
          </cell>
        </row>
        <row r="488">
          <cell r="F488">
            <v>0</v>
          </cell>
          <cell r="G488">
            <v>0</v>
          </cell>
          <cell r="H488">
            <v>0</v>
          </cell>
          <cell r="I488">
            <v>0</v>
          </cell>
          <cell r="J488">
            <v>0</v>
          </cell>
        </row>
        <row r="489">
          <cell r="F489">
            <v>451</v>
          </cell>
          <cell r="G489">
            <v>1</v>
          </cell>
          <cell r="H489">
            <v>28</v>
          </cell>
          <cell r="I489">
            <v>15</v>
          </cell>
          <cell r="J489">
            <v>238</v>
          </cell>
        </row>
        <row r="490">
          <cell r="F490">
            <v>452</v>
          </cell>
          <cell r="G490">
            <v>1</v>
          </cell>
          <cell r="H490">
            <v>28</v>
          </cell>
          <cell r="I490">
            <v>16</v>
          </cell>
          <cell r="J490">
            <v>303</v>
          </cell>
        </row>
        <row r="491">
          <cell r="F491">
            <v>453</v>
          </cell>
          <cell r="G491">
            <v>1</v>
          </cell>
          <cell r="H491">
            <v>28</v>
          </cell>
          <cell r="I491">
            <v>17</v>
          </cell>
          <cell r="J491">
            <v>219</v>
          </cell>
        </row>
        <row r="492">
          <cell r="F492">
            <v>454</v>
          </cell>
          <cell r="G492">
            <v>1</v>
          </cell>
          <cell r="H492">
            <v>28</v>
          </cell>
          <cell r="I492">
            <v>18</v>
          </cell>
          <cell r="J492">
            <v>351</v>
          </cell>
        </row>
        <row r="493">
          <cell r="F493">
            <v>455</v>
          </cell>
          <cell r="G493">
            <v>1</v>
          </cell>
          <cell r="H493">
            <v>28</v>
          </cell>
          <cell r="I493">
            <v>19</v>
          </cell>
          <cell r="J493">
            <v>217</v>
          </cell>
        </row>
        <row r="494">
          <cell r="F494">
            <v>456</v>
          </cell>
          <cell r="G494">
            <v>1</v>
          </cell>
          <cell r="H494">
            <v>28</v>
          </cell>
          <cell r="I494">
            <v>20</v>
          </cell>
          <cell r="J494">
            <v>252</v>
          </cell>
        </row>
        <row r="495">
          <cell r="F495">
            <v>457</v>
          </cell>
          <cell r="G495">
            <v>1</v>
          </cell>
          <cell r="H495">
            <v>28</v>
          </cell>
          <cell r="I495">
            <v>21</v>
          </cell>
          <cell r="J495">
            <v>255</v>
          </cell>
        </row>
        <row r="496">
          <cell r="F496">
            <v>458</v>
          </cell>
          <cell r="G496">
            <v>1</v>
          </cell>
          <cell r="H496">
            <v>28</v>
          </cell>
          <cell r="I496">
            <v>22</v>
          </cell>
          <cell r="J496">
            <v>322</v>
          </cell>
        </row>
        <row r="497">
          <cell r="F497">
            <v>459</v>
          </cell>
          <cell r="G497">
            <v>1</v>
          </cell>
          <cell r="H497">
            <v>28</v>
          </cell>
          <cell r="I497">
            <v>23</v>
          </cell>
          <cell r="J497">
            <v>248</v>
          </cell>
        </row>
        <row r="498">
          <cell r="F498">
            <v>460</v>
          </cell>
          <cell r="G498">
            <v>1</v>
          </cell>
          <cell r="H498">
            <v>28</v>
          </cell>
          <cell r="I498">
            <v>25</v>
          </cell>
          <cell r="J498">
            <v>243</v>
          </cell>
        </row>
        <row r="499">
          <cell r="F499">
            <v>461</v>
          </cell>
          <cell r="G499">
            <v>1</v>
          </cell>
          <cell r="H499">
            <v>28</v>
          </cell>
          <cell r="I499">
            <v>26</v>
          </cell>
          <cell r="J499">
            <v>265</v>
          </cell>
        </row>
        <row r="500">
          <cell r="F500">
            <v>462</v>
          </cell>
          <cell r="G500">
            <v>1</v>
          </cell>
          <cell r="H500">
            <v>28</v>
          </cell>
          <cell r="I500">
            <v>27</v>
          </cell>
          <cell r="J500">
            <v>310</v>
          </cell>
        </row>
        <row r="501">
          <cell r="F501">
            <v>463</v>
          </cell>
          <cell r="G501">
            <v>1</v>
          </cell>
          <cell r="H501">
            <v>29</v>
          </cell>
          <cell r="I501">
            <v>1</v>
          </cell>
          <cell r="J501">
            <v>330</v>
          </cell>
        </row>
        <row r="502">
          <cell r="F502">
            <v>464</v>
          </cell>
          <cell r="G502">
            <v>1</v>
          </cell>
          <cell r="H502">
            <v>29</v>
          </cell>
          <cell r="I502">
            <v>2</v>
          </cell>
          <cell r="J502">
            <v>319</v>
          </cell>
        </row>
        <row r="503">
          <cell r="F503">
            <v>465</v>
          </cell>
          <cell r="G503">
            <v>1</v>
          </cell>
          <cell r="H503">
            <v>29</v>
          </cell>
          <cell r="I503">
            <v>3</v>
          </cell>
          <cell r="J503">
            <v>275</v>
          </cell>
        </row>
        <row r="504">
          <cell r="F504">
            <v>0</v>
          </cell>
          <cell r="G504">
            <v>0</v>
          </cell>
          <cell r="H504">
            <v>0</v>
          </cell>
          <cell r="I504">
            <v>0</v>
          </cell>
          <cell r="J504">
            <v>0</v>
          </cell>
        </row>
        <row r="505">
          <cell r="F505">
            <v>466</v>
          </cell>
          <cell r="G505">
            <v>1</v>
          </cell>
          <cell r="H505">
            <v>29</v>
          </cell>
          <cell r="I505">
            <v>5</v>
          </cell>
          <cell r="J505">
            <v>259</v>
          </cell>
        </row>
        <row r="506">
          <cell r="F506">
            <v>467</v>
          </cell>
          <cell r="G506">
            <v>1</v>
          </cell>
          <cell r="H506">
            <v>29</v>
          </cell>
          <cell r="I506">
            <v>6</v>
          </cell>
          <cell r="J506">
            <v>256</v>
          </cell>
        </row>
        <row r="507">
          <cell r="F507">
            <v>468</v>
          </cell>
          <cell r="G507">
            <v>1</v>
          </cell>
          <cell r="H507">
            <v>29</v>
          </cell>
          <cell r="I507">
            <v>7</v>
          </cell>
          <cell r="J507">
            <v>259</v>
          </cell>
        </row>
        <row r="508">
          <cell r="F508">
            <v>469</v>
          </cell>
          <cell r="G508">
            <v>1</v>
          </cell>
          <cell r="H508">
            <v>29</v>
          </cell>
          <cell r="I508">
            <v>8</v>
          </cell>
          <cell r="J508">
            <v>261</v>
          </cell>
        </row>
        <row r="509">
          <cell r="F509">
            <v>470</v>
          </cell>
          <cell r="G509">
            <v>1</v>
          </cell>
          <cell r="H509">
            <v>29</v>
          </cell>
          <cell r="I509">
            <v>9</v>
          </cell>
          <cell r="J509">
            <v>259</v>
          </cell>
        </row>
        <row r="510">
          <cell r="F510">
            <v>471</v>
          </cell>
          <cell r="G510">
            <v>1</v>
          </cell>
          <cell r="H510">
            <v>29</v>
          </cell>
          <cell r="I510">
            <v>10</v>
          </cell>
          <cell r="J510">
            <v>257</v>
          </cell>
        </row>
        <row r="511">
          <cell r="F511">
            <v>472</v>
          </cell>
          <cell r="G511">
            <v>1</v>
          </cell>
          <cell r="H511">
            <v>29</v>
          </cell>
          <cell r="I511">
            <v>11</v>
          </cell>
          <cell r="J511">
            <v>251</v>
          </cell>
        </row>
        <row r="512">
          <cell r="F512">
            <v>473</v>
          </cell>
          <cell r="G512">
            <v>1</v>
          </cell>
          <cell r="H512">
            <v>29</v>
          </cell>
          <cell r="I512">
            <v>12</v>
          </cell>
          <cell r="J512">
            <v>252</v>
          </cell>
        </row>
        <row r="513">
          <cell r="F513">
            <v>474</v>
          </cell>
          <cell r="G513">
            <v>1</v>
          </cell>
          <cell r="H513">
            <v>29</v>
          </cell>
          <cell r="I513">
            <v>15</v>
          </cell>
          <cell r="J513">
            <v>274</v>
          </cell>
        </row>
        <row r="514">
          <cell r="F514">
            <v>475</v>
          </cell>
          <cell r="G514">
            <v>1</v>
          </cell>
          <cell r="H514">
            <v>29</v>
          </cell>
          <cell r="I514">
            <v>16</v>
          </cell>
          <cell r="J514">
            <v>407</v>
          </cell>
        </row>
        <row r="515">
          <cell r="F515">
            <v>476</v>
          </cell>
          <cell r="G515">
            <v>1</v>
          </cell>
          <cell r="H515">
            <v>29</v>
          </cell>
          <cell r="I515">
            <v>17</v>
          </cell>
          <cell r="J515">
            <v>253</v>
          </cell>
        </row>
        <row r="516">
          <cell r="F516">
            <v>477</v>
          </cell>
          <cell r="G516">
            <v>1</v>
          </cell>
          <cell r="H516">
            <v>29</v>
          </cell>
          <cell r="I516">
            <v>18</v>
          </cell>
          <cell r="J516">
            <v>270</v>
          </cell>
        </row>
        <row r="517">
          <cell r="F517">
            <v>478</v>
          </cell>
          <cell r="G517">
            <v>1</v>
          </cell>
          <cell r="H517">
            <v>29</v>
          </cell>
          <cell r="I517">
            <v>19</v>
          </cell>
          <cell r="J517">
            <v>247</v>
          </cell>
        </row>
        <row r="518">
          <cell r="F518">
            <v>479</v>
          </cell>
          <cell r="G518">
            <v>1</v>
          </cell>
          <cell r="H518">
            <v>29</v>
          </cell>
          <cell r="I518">
            <v>20</v>
          </cell>
          <cell r="J518">
            <v>258</v>
          </cell>
        </row>
        <row r="519">
          <cell r="F519">
            <v>480</v>
          </cell>
          <cell r="G519">
            <v>1</v>
          </cell>
          <cell r="H519">
            <v>29</v>
          </cell>
          <cell r="I519">
            <v>21</v>
          </cell>
          <cell r="J519">
            <v>245</v>
          </cell>
        </row>
        <row r="520">
          <cell r="F520">
            <v>481</v>
          </cell>
          <cell r="G520">
            <v>1</v>
          </cell>
          <cell r="H520">
            <v>29</v>
          </cell>
          <cell r="I520">
            <v>22</v>
          </cell>
          <cell r="J520">
            <v>253</v>
          </cell>
        </row>
        <row r="521">
          <cell r="F521">
            <v>482</v>
          </cell>
          <cell r="G521">
            <v>1</v>
          </cell>
          <cell r="H521">
            <v>29</v>
          </cell>
          <cell r="I521">
            <v>23</v>
          </cell>
          <cell r="J521">
            <v>248</v>
          </cell>
        </row>
        <row r="522">
          <cell r="F522">
            <v>483</v>
          </cell>
          <cell r="G522">
            <v>1</v>
          </cell>
          <cell r="H522">
            <v>29</v>
          </cell>
          <cell r="I522">
            <v>25</v>
          </cell>
          <cell r="J522">
            <v>246</v>
          </cell>
        </row>
        <row r="523">
          <cell r="F523">
            <v>484</v>
          </cell>
          <cell r="G523">
            <v>1</v>
          </cell>
          <cell r="H523">
            <v>29</v>
          </cell>
          <cell r="I523">
            <v>26</v>
          </cell>
          <cell r="J523">
            <v>251</v>
          </cell>
        </row>
        <row r="524">
          <cell r="F524">
            <v>485</v>
          </cell>
          <cell r="G524">
            <v>1</v>
          </cell>
          <cell r="H524">
            <v>29</v>
          </cell>
          <cell r="I524">
            <v>27</v>
          </cell>
          <cell r="J524">
            <v>278</v>
          </cell>
        </row>
        <row r="525">
          <cell r="F525">
            <v>486</v>
          </cell>
          <cell r="G525">
            <v>1</v>
          </cell>
          <cell r="H525">
            <v>29</v>
          </cell>
          <cell r="I525">
            <v>28</v>
          </cell>
          <cell r="J525">
            <v>298</v>
          </cell>
        </row>
        <row r="526">
          <cell r="F526">
            <v>487</v>
          </cell>
          <cell r="G526">
            <v>1</v>
          </cell>
          <cell r="H526">
            <v>30</v>
          </cell>
          <cell r="I526">
            <v>1</v>
          </cell>
          <cell r="J526">
            <v>352</v>
          </cell>
        </row>
        <row r="527">
          <cell r="F527">
            <v>488</v>
          </cell>
          <cell r="G527">
            <v>1</v>
          </cell>
          <cell r="H527">
            <v>30</v>
          </cell>
          <cell r="I527">
            <v>2</v>
          </cell>
          <cell r="J527">
            <v>302</v>
          </cell>
        </row>
        <row r="528">
          <cell r="F528">
            <v>489</v>
          </cell>
          <cell r="G528">
            <v>1</v>
          </cell>
          <cell r="H528">
            <v>30</v>
          </cell>
          <cell r="I528">
            <v>3</v>
          </cell>
          <cell r="J528">
            <v>298</v>
          </cell>
        </row>
        <row r="529">
          <cell r="F529">
            <v>0</v>
          </cell>
          <cell r="G529">
            <v>0</v>
          </cell>
          <cell r="H529">
            <v>0</v>
          </cell>
          <cell r="I529">
            <v>0</v>
          </cell>
          <cell r="J529">
            <v>0</v>
          </cell>
        </row>
        <row r="530">
          <cell r="F530">
            <v>490</v>
          </cell>
          <cell r="G530">
            <v>1</v>
          </cell>
          <cell r="H530">
            <v>30</v>
          </cell>
          <cell r="I530">
            <v>5</v>
          </cell>
          <cell r="J530">
            <v>346</v>
          </cell>
        </row>
        <row r="531">
          <cell r="F531">
            <v>491</v>
          </cell>
          <cell r="G531">
            <v>1</v>
          </cell>
          <cell r="H531">
            <v>30</v>
          </cell>
          <cell r="I531">
            <v>6</v>
          </cell>
          <cell r="J531">
            <v>304</v>
          </cell>
        </row>
        <row r="532">
          <cell r="F532">
            <v>492</v>
          </cell>
          <cell r="G532">
            <v>1</v>
          </cell>
          <cell r="H532">
            <v>30</v>
          </cell>
          <cell r="I532">
            <v>7</v>
          </cell>
          <cell r="J532">
            <v>270</v>
          </cell>
        </row>
        <row r="533">
          <cell r="F533">
            <v>493</v>
          </cell>
          <cell r="G533">
            <v>1</v>
          </cell>
          <cell r="H533">
            <v>30</v>
          </cell>
          <cell r="I533">
            <v>8</v>
          </cell>
          <cell r="J533">
            <v>277</v>
          </cell>
        </row>
        <row r="534">
          <cell r="F534">
            <v>494</v>
          </cell>
          <cell r="G534">
            <v>1</v>
          </cell>
          <cell r="H534">
            <v>30</v>
          </cell>
          <cell r="I534">
            <v>9</v>
          </cell>
          <cell r="J534">
            <v>374</v>
          </cell>
        </row>
        <row r="535">
          <cell r="F535">
            <v>495</v>
          </cell>
          <cell r="G535">
            <v>1</v>
          </cell>
          <cell r="H535">
            <v>30</v>
          </cell>
          <cell r="I535">
            <v>10</v>
          </cell>
          <cell r="J535">
            <v>266</v>
          </cell>
        </row>
        <row r="536">
          <cell r="F536">
            <v>496</v>
          </cell>
          <cell r="G536">
            <v>1</v>
          </cell>
          <cell r="H536">
            <v>30</v>
          </cell>
          <cell r="I536">
            <v>11</v>
          </cell>
          <cell r="J536">
            <v>258</v>
          </cell>
        </row>
        <row r="537">
          <cell r="F537">
            <v>497</v>
          </cell>
          <cell r="G537">
            <v>1</v>
          </cell>
          <cell r="H537">
            <v>30</v>
          </cell>
          <cell r="I537">
            <v>12</v>
          </cell>
          <cell r="J537">
            <v>256</v>
          </cell>
        </row>
        <row r="538">
          <cell r="F538">
            <v>498</v>
          </cell>
          <cell r="G538">
            <v>1</v>
          </cell>
          <cell r="H538">
            <v>30</v>
          </cell>
          <cell r="I538">
            <v>15</v>
          </cell>
          <cell r="J538">
            <v>259</v>
          </cell>
        </row>
        <row r="539">
          <cell r="F539">
            <v>499</v>
          </cell>
          <cell r="G539">
            <v>1</v>
          </cell>
          <cell r="H539">
            <v>30</v>
          </cell>
          <cell r="I539">
            <v>16</v>
          </cell>
          <cell r="J539">
            <v>251</v>
          </cell>
        </row>
        <row r="540">
          <cell r="F540">
            <v>500</v>
          </cell>
          <cell r="G540">
            <v>1</v>
          </cell>
          <cell r="H540">
            <v>30</v>
          </cell>
          <cell r="I540">
            <v>17</v>
          </cell>
          <cell r="J540">
            <v>261</v>
          </cell>
        </row>
        <row r="541">
          <cell r="F541">
            <v>501</v>
          </cell>
          <cell r="G541">
            <v>1</v>
          </cell>
          <cell r="H541">
            <v>30</v>
          </cell>
          <cell r="I541">
            <v>18</v>
          </cell>
          <cell r="J541">
            <v>257</v>
          </cell>
        </row>
        <row r="542">
          <cell r="F542">
            <v>502</v>
          </cell>
          <cell r="G542">
            <v>1</v>
          </cell>
          <cell r="H542">
            <v>30</v>
          </cell>
          <cell r="I542">
            <v>19</v>
          </cell>
          <cell r="J542">
            <v>255</v>
          </cell>
        </row>
        <row r="543">
          <cell r="F543">
            <v>503</v>
          </cell>
          <cell r="G543">
            <v>1</v>
          </cell>
          <cell r="H543">
            <v>30</v>
          </cell>
          <cell r="I543">
            <v>20</v>
          </cell>
          <cell r="J543">
            <v>259</v>
          </cell>
        </row>
        <row r="544">
          <cell r="F544">
            <v>504</v>
          </cell>
          <cell r="G544">
            <v>1</v>
          </cell>
          <cell r="H544">
            <v>30</v>
          </cell>
          <cell r="I544">
            <v>21</v>
          </cell>
          <cell r="J544">
            <v>398</v>
          </cell>
        </row>
        <row r="545">
          <cell r="F545">
            <v>505</v>
          </cell>
          <cell r="G545">
            <v>1</v>
          </cell>
          <cell r="H545">
            <v>31</v>
          </cell>
          <cell r="I545">
            <v>1</v>
          </cell>
          <cell r="J545">
            <v>298</v>
          </cell>
        </row>
        <row r="546">
          <cell r="F546">
            <v>506</v>
          </cell>
          <cell r="G546">
            <v>1</v>
          </cell>
          <cell r="H546">
            <v>31</v>
          </cell>
          <cell r="I546">
            <v>2</v>
          </cell>
          <cell r="J546">
            <v>299</v>
          </cell>
        </row>
        <row r="547">
          <cell r="F547">
            <v>507</v>
          </cell>
          <cell r="G547">
            <v>1</v>
          </cell>
          <cell r="H547">
            <v>31</v>
          </cell>
          <cell r="I547">
            <v>3</v>
          </cell>
          <cell r="J547">
            <v>317</v>
          </cell>
        </row>
        <row r="548">
          <cell r="F548">
            <v>508</v>
          </cell>
          <cell r="G548">
            <v>1</v>
          </cell>
          <cell r="H548">
            <v>31</v>
          </cell>
          <cell r="I548">
            <v>5</v>
          </cell>
          <cell r="J548">
            <v>324</v>
          </cell>
        </row>
        <row r="549">
          <cell r="F549">
            <v>509</v>
          </cell>
          <cell r="G549">
            <v>1</v>
          </cell>
          <cell r="H549">
            <v>31</v>
          </cell>
          <cell r="I549">
            <v>6</v>
          </cell>
          <cell r="J549">
            <v>347</v>
          </cell>
        </row>
        <row r="550">
          <cell r="F550">
            <v>510</v>
          </cell>
          <cell r="G550">
            <v>1</v>
          </cell>
          <cell r="H550">
            <v>31</v>
          </cell>
          <cell r="I550">
            <v>7</v>
          </cell>
          <cell r="J550">
            <v>267</v>
          </cell>
        </row>
        <row r="551">
          <cell r="F551">
            <v>511</v>
          </cell>
          <cell r="G551">
            <v>1</v>
          </cell>
          <cell r="H551">
            <v>31</v>
          </cell>
          <cell r="I551">
            <v>8</v>
          </cell>
          <cell r="J551">
            <v>266</v>
          </cell>
        </row>
        <row r="552">
          <cell r="F552">
            <v>512</v>
          </cell>
          <cell r="G552">
            <v>1</v>
          </cell>
          <cell r="H552">
            <v>31</v>
          </cell>
          <cell r="I552">
            <v>9</v>
          </cell>
          <cell r="J552">
            <v>264</v>
          </cell>
        </row>
        <row r="553">
          <cell r="F553">
            <v>513</v>
          </cell>
          <cell r="G553">
            <v>1</v>
          </cell>
          <cell r="H553">
            <v>31</v>
          </cell>
          <cell r="I553">
            <v>10</v>
          </cell>
          <cell r="J553">
            <v>258</v>
          </cell>
        </row>
        <row r="554">
          <cell r="F554">
            <v>514</v>
          </cell>
          <cell r="G554">
            <v>1</v>
          </cell>
          <cell r="H554">
            <v>31</v>
          </cell>
          <cell r="I554">
            <v>11</v>
          </cell>
          <cell r="J554">
            <v>257</v>
          </cell>
        </row>
        <row r="555">
          <cell r="F555">
            <v>515</v>
          </cell>
          <cell r="G555">
            <v>1</v>
          </cell>
          <cell r="H555">
            <v>31</v>
          </cell>
          <cell r="I555">
            <v>12</v>
          </cell>
          <cell r="J555">
            <v>237</v>
          </cell>
        </row>
        <row r="556">
          <cell r="F556">
            <v>516</v>
          </cell>
          <cell r="G556">
            <v>1</v>
          </cell>
          <cell r="H556">
            <v>31</v>
          </cell>
          <cell r="I556">
            <v>15</v>
          </cell>
          <cell r="J556">
            <v>258</v>
          </cell>
        </row>
        <row r="557">
          <cell r="F557">
            <v>517</v>
          </cell>
          <cell r="G557">
            <v>1</v>
          </cell>
          <cell r="H557">
            <v>31</v>
          </cell>
          <cell r="I557">
            <v>16</v>
          </cell>
          <cell r="J557">
            <v>263</v>
          </cell>
        </row>
        <row r="558">
          <cell r="F558">
            <v>518</v>
          </cell>
          <cell r="G558">
            <v>1</v>
          </cell>
          <cell r="H558">
            <v>31</v>
          </cell>
          <cell r="I558">
            <v>17</v>
          </cell>
          <cell r="J558">
            <v>263</v>
          </cell>
        </row>
        <row r="559">
          <cell r="F559">
            <v>519</v>
          </cell>
          <cell r="G559">
            <v>1</v>
          </cell>
          <cell r="H559">
            <v>31</v>
          </cell>
          <cell r="I559">
            <v>18</v>
          </cell>
          <cell r="J559">
            <v>429</v>
          </cell>
        </row>
        <row r="560">
          <cell r="F560">
            <v>520</v>
          </cell>
          <cell r="G560">
            <v>1</v>
          </cell>
          <cell r="H560">
            <v>31</v>
          </cell>
          <cell r="I560">
            <v>19</v>
          </cell>
          <cell r="J560">
            <v>252</v>
          </cell>
        </row>
        <row r="561">
          <cell r="F561">
            <v>521</v>
          </cell>
          <cell r="G561">
            <v>1</v>
          </cell>
          <cell r="H561">
            <v>31</v>
          </cell>
          <cell r="I561">
            <v>20</v>
          </cell>
          <cell r="J561">
            <v>260</v>
          </cell>
        </row>
        <row r="562">
          <cell r="F562">
            <v>522</v>
          </cell>
          <cell r="G562">
            <v>1</v>
          </cell>
          <cell r="H562">
            <v>31</v>
          </cell>
          <cell r="I562">
            <v>21</v>
          </cell>
          <cell r="J562">
            <v>268</v>
          </cell>
        </row>
        <row r="563">
          <cell r="F563">
            <v>523</v>
          </cell>
          <cell r="G563">
            <v>1</v>
          </cell>
          <cell r="H563">
            <v>31</v>
          </cell>
          <cell r="I563">
            <v>22</v>
          </cell>
          <cell r="J563">
            <v>244</v>
          </cell>
        </row>
        <row r="564">
          <cell r="F564">
            <v>524</v>
          </cell>
          <cell r="G564">
            <v>1</v>
          </cell>
          <cell r="H564">
            <v>31</v>
          </cell>
          <cell r="I564">
            <v>23</v>
          </cell>
          <cell r="J564">
            <v>245</v>
          </cell>
        </row>
        <row r="565">
          <cell r="F565">
            <v>525</v>
          </cell>
          <cell r="G565">
            <v>1</v>
          </cell>
          <cell r="H565">
            <v>31</v>
          </cell>
          <cell r="I565">
            <v>25</v>
          </cell>
          <cell r="J565">
            <v>254</v>
          </cell>
        </row>
        <row r="566">
          <cell r="F566">
            <v>526</v>
          </cell>
          <cell r="G566">
            <v>1</v>
          </cell>
          <cell r="H566">
            <v>31</v>
          </cell>
          <cell r="I566">
            <v>26</v>
          </cell>
          <cell r="J566">
            <v>240</v>
          </cell>
        </row>
        <row r="567">
          <cell r="F567">
            <v>527</v>
          </cell>
          <cell r="G567">
            <v>1</v>
          </cell>
          <cell r="H567">
            <v>31</v>
          </cell>
          <cell r="I567">
            <v>27</v>
          </cell>
          <cell r="J567">
            <v>252</v>
          </cell>
        </row>
        <row r="568">
          <cell r="F568">
            <v>528</v>
          </cell>
          <cell r="G568">
            <v>1</v>
          </cell>
          <cell r="H568">
            <v>31</v>
          </cell>
          <cell r="I568">
            <v>28</v>
          </cell>
          <cell r="J568">
            <v>227</v>
          </cell>
        </row>
        <row r="569">
          <cell r="F569">
            <v>529</v>
          </cell>
          <cell r="G569">
            <v>1</v>
          </cell>
          <cell r="H569">
            <v>31</v>
          </cell>
          <cell r="I569">
            <v>29</v>
          </cell>
          <cell r="J569">
            <v>253</v>
          </cell>
        </row>
        <row r="570">
          <cell r="F570">
            <v>530</v>
          </cell>
          <cell r="G570">
            <v>1</v>
          </cell>
          <cell r="H570">
            <v>31</v>
          </cell>
          <cell r="I570">
            <v>30</v>
          </cell>
          <cell r="J570">
            <v>239</v>
          </cell>
        </row>
        <row r="571">
          <cell r="F571">
            <v>531</v>
          </cell>
          <cell r="G571">
            <v>1</v>
          </cell>
          <cell r="H571">
            <v>31</v>
          </cell>
          <cell r="I571">
            <v>31</v>
          </cell>
          <cell r="J571">
            <v>229</v>
          </cell>
        </row>
        <row r="572">
          <cell r="F572">
            <v>532</v>
          </cell>
          <cell r="G572">
            <v>1</v>
          </cell>
          <cell r="H572">
            <v>31</v>
          </cell>
          <cell r="I572">
            <v>32</v>
          </cell>
          <cell r="J572">
            <v>272</v>
          </cell>
        </row>
        <row r="573">
          <cell r="F573">
            <v>533</v>
          </cell>
          <cell r="G573">
            <v>1</v>
          </cell>
          <cell r="H573">
            <v>31</v>
          </cell>
          <cell r="I573">
            <v>33</v>
          </cell>
          <cell r="J573">
            <v>214</v>
          </cell>
        </row>
        <row r="574">
          <cell r="F574">
            <v>534</v>
          </cell>
          <cell r="G574">
            <v>1</v>
          </cell>
          <cell r="H574">
            <v>31</v>
          </cell>
          <cell r="I574">
            <v>35</v>
          </cell>
          <cell r="J574">
            <v>203</v>
          </cell>
        </row>
        <row r="575">
          <cell r="F575">
            <v>535</v>
          </cell>
          <cell r="G575">
            <v>1</v>
          </cell>
          <cell r="H575">
            <v>31</v>
          </cell>
          <cell r="I575">
            <v>36</v>
          </cell>
          <cell r="J575">
            <v>206</v>
          </cell>
        </row>
        <row r="576">
          <cell r="F576">
            <v>536</v>
          </cell>
          <cell r="G576">
            <v>1</v>
          </cell>
          <cell r="H576">
            <v>32</v>
          </cell>
          <cell r="I576">
            <v>1</v>
          </cell>
          <cell r="J576">
            <v>316</v>
          </cell>
        </row>
        <row r="577">
          <cell r="F577">
            <v>537</v>
          </cell>
          <cell r="G577">
            <v>1</v>
          </cell>
          <cell r="H577">
            <v>32</v>
          </cell>
          <cell r="I577">
            <v>2</v>
          </cell>
          <cell r="J577">
            <v>298</v>
          </cell>
        </row>
        <row r="578">
          <cell r="F578">
            <v>538</v>
          </cell>
          <cell r="G578">
            <v>1</v>
          </cell>
          <cell r="H578">
            <v>32</v>
          </cell>
          <cell r="I578">
            <v>3</v>
          </cell>
          <cell r="J578">
            <v>295</v>
          </cell>
        </row>
        <row r="579">
          <cell r="F579">
            <v>539</v>
          </cell>
          <cell r="G579">
            <v>1</v>
          </cell>
          <cell r="H579">
            <v>32</v>
          </cell>
          <cell r="I579">
            <v>5</v>
          </cell>
          <cell r="J579">
            <v>236</v>
          </cell>
        </row>
        <row r="580">
          <cell r="F580">
            <v>540</v>
          </cell>
          <cell r="G580">
            <v>1</v>
          </cell>
          <cell r="H580">
            <v>32</v>
          </cell>
          <cell r="I580">
            <v>6</v>
          </cell>
          <cell r="J580">
            <v>344</v>
          </cell>
        </row>
        <row r="581">
          <cell r="F581">
            <v>541</v>
          </cell>
          <cell r="G581">
            <v>1</v>
          </cell>
          <cell r="H581">
            <v>32</v>
          </cell>
          <cell r="I581">
            <v>7</v>
          </cell>
          <cell r="J581">
            <v>240</v>
          </cell>
        </row>
        <row r="582">
          <cell r="F582">
            <v>542</v>
          </cell>
          <cell r="G582">
            <v>1</v>
          </cell>
          <cell r="H582">
            <v>32</v>
          </cell>
          <cell r="I582">
            <v>8</v>
          </cell>
          <cell r="J582">
            <v>247</v>
          </cell>
        </row>
        <row r="583">
          <cell r="F583">
            <v>543</v>
          </cell>
          <cell r="G583">
            <v>1</v>
          </cell>
          <cell r="H583">
            <v>32</v>
          </cell>
          <cell r="I583">
            <v>9</v>
          </cell>
          <cell r="J583">
            <v>228</v>
          </cell>
        </row>
        <row r="584">
          <cell r="F584">
            <v>544</v>
          </cell>
          <cell r="G584">
            <v>1</v>
          </cell>
          <cell r="H584">
            <v>32</v>
          </cell>
          <cell r="I584">
            <v>10</v>
          </cell>
          <cell r="J584">
            <v>223</v>
          </cell>
        </row>
        <row r="585">
          <cell r="F585">
            <v>545</v>
          </cell>
          <cell r="G585">
            <v>1</v>
          </cell>
          <cell r="H585">
            <v>32</v>
          </cell>
          <cell r="I585">
            <v>11</v>
          </cell>
          <cell r="J585">
            <v>220</v>
          </cell>
        </row>
        <row r="586">
          <cell r="F586">
            <v>546</v>
          </cell>
          <cell r="G586">
            <v>1</v>
          </cell>
          <cell r="H586">
            <v>32</v>
          </cell>
          <cell r="I586">
            <v>12</v>
          </cell>
          <cell r="J586">
            <v>287</v>
          </cell>
        </row>
        <row r="587">
          <cell r="F587">
            <v>547</v>
          </cell>
          <cell r="G587">
            <v>1</v>
          </cell>
          <cell r="H587">
            <v>32</v>
          </cell>
          <cell r="I587">
            <v>15</v>
          </cell>
          <cell r="J587">
            <v>277</v>
          </cell>
        </row>
        <row r="588">
          <cell r="F588">
            <v>548</v>
          </cell>
          <cell r="G588">
            <v>1</v>
          </cell>
          <cell r="H588">
            <v>33</v>
          </cell>
          <cell r="I588">
            <v>1</v>
          </cell>
          <cell r="J588">
            <v>401</v>
          </cell>
        </row>
        <row r="589">
          <cell r="F589">
            <v>549</v>
          </cell>
          <cell r="G589">
            <v>1</v>
          </cell>
          <cell r="H589">
            <v>33</v>
          </cell>
          <cell r="I589">
            <v>2</v>
          </cell>
          <cell r="J589">
            <v>317</v>
          </cell>
        </row>
        <row r="590">
          <cell r="F590">
            <v>550</v>
          </cell>
          <cell r="G590">
            <v>1</v>
          </cell>
          <cell r="H590">
            <v>33</v>
          </cell>
          <cell r="I590">
            <v>3</v>
          </cell>
          <cell r="J590">
            <v>314</v>
          </cell>
        </row>
        <row r="591">
          <cell r="F591">
            <v>0</v>
          </cell>
          <cell r="G591">
            <v>0</v>
          </cell>
          <cell r="H591">
            <v>0</v>
          </cell>
          <cell r="I591">
            <v>0</v>
          </cell>
          <cell r="J591">
            <v>0</v>
          </cell>
        </row>
        <row r="592">
          <cell r="F592">
            <v>551</v>
          </cell>
          <cell r="G592">
            <v>1</v>
          </cell>
          <cell r="H592">
            <v>33</v>
          </cell>
          <cell r="I592">
            <v>5</v>
          </cell>
          <cell r="J592">
            <v>328</v>
          </cell>
        </row>
        <row r="593">
          <cell r="F593">
            <v>552</v>
          </cell>
          <cell r="G593">
            <v>1</v>
          </cell>
          <cell r="H593">
            <v>33</v>
          </cell>
          <cell r="I593">
            <v>6</v>
          </cell>
          <cell r="J593">
            <v>319</v>
          </cell>
        </row>
        <row r="594">
          <cell r="F594">
            <v>553</v>
          </cell>
          <cell r="G594">
            <v>1</v>
          </cell>
          <cell r="H594">
            <v>33</v>
          </cell>
          <cell r="I594">
            <v>7</v>
          </cell>
          <cell r="J594">
            <v>356</v>
          </cell>
        </row>
        <row r="595">
          <cell r="F595">
            <v>554</v>
          </cell>
          <cell r="G595">
            <v>1</v>
          </cell>
          <cell r="H595">
            <v>33</v>
          </cell>
          <cell r="I595">
            <v>8</v>
          </cell>
          <cell r="J595">
            <v>353</v>
          </cell>
        </row>
        <row r="596">
          <cell r="F596">
            <v>555</v>
          </cell>
          <cell r="G596">
            <v>1</v>
          </cell>
          <cell r="H596">
            <v>33</v>
          </cell>
          <cell r="I596">
            <v>9</v>
          </cell>
          <cell r="J596">
            <v>307</v>
          </cell>
        </row>
        <row r="597">
          <cell r="F597">
            <v>556</v>
          </cell>
          <cell r="G597">
            <v>1</v>
          </cell>
          <cell r="H597">
            <v>33</v>
          </cell>
          <cell r="I597">
            <v>10</v>
          </cell>
          <cell r="J597">
            <v>316</v>
          </cell>
        </row>
        <row r="598">
          <cell r="F598">
            <v>557</v>
          </cell>
          <cell r="G598">
            <v>1</v>
          </cell>
          <cell r="H598">
            <v>33</v>
          </cell>
          <cell r="I598">
            <v>11</v>
          </cell>
          <cell r="J598">
            <v>305</v>
          </cell>
        </row>
        <row r="599">
          <cell r="F599">
            <v>558</v>
          </cell>
          <cell r="G599">
            <v>1</v>
          </cell>
          <cell r="H599">
            <v>33</v>
          </cell>
          <cell r="I599">
            <v>12</v>
          </cell>
          <cell r="J599">
            <v>325</v>
          </cell>
        </row>
        <row r="600">
          <cell r="F600">
            <v>559</v>
          </cell>
          <cell r="G600">
            <v>1</v>
          </cell>
          <cell r="H600">
            <v>33</v>
          </cell>
          <cell r="I600">
            <v>15</v>
          </cell>
          <cell r="J600">
            <v>333</v>
          </cell>
        </row>
        <row r="601">
          <cell r="F601">
            <v>560</v>
          </cell>
          <cell r="G601">
            <v>1</v>
          </cell>
          <cell r="H601">
            <v>33</v>
          </cell>
          <cell r="I601">
            <v>16</v>
          </cell>
          <cell r="J601">
            <v>379</v>
          </cell>
        </row>
        <row r="602">
          <cell r="F602">
            <v>0</v>
          </cell>
          <cell r="G602">
            <v>0</v>
          </cell>
          <cell r="H602">
            <v>0</v>
          </cell>
          <cell r="I602">
            <v>0</v>
          </cell>
          <cell r="J602">
            <v>0</v>
          </cell>
        </row>
        <row r="603">
          <cell r="F603">
            <v>561</v>
          </cell>
          <cell r="G603">
            <v>1</v>
          </cell>
          <cell r="H603">
            <v>35</v>
          </cell>
          <cell r="I603">
            <v>1</v>
          </cell>
          <cell r="J603">
            <v>297</v>
          </cell>
        </row>
        <row r="604">
          <cell r="F604">
            <v>562</v>
          </cell>
          <cell r="G604">
            <v>1</v>
          </cell>
          <cell r="H604">
            <v>35</v>
          </cell>
          <cell r="I604">
            <v>2</v>
          </cell>
          <cell r="J604">
            <v>254</v>
          </cell>
        </row>
        <row r="605">
          <cell r="F605">
            <v>563</v>
          </cell>
          <cell r="G605">
            <v>1</v>
          </cell>
          <cell r="H605">
            <v>35</v>
          </cell>
          <cell r="I605">
            <v>3</v>
          </cell>
          <cell r="J605">
            <v>252</v>
          </cell>
        </row>
        <row r="606">
          <cell r="F606">
            <v>564</v>
          </cell>
          <cell r="G606">
            <v>1</v>
          </cell>
          <cell r="H606">
            <v>35</v>
          </cell>
          <cell r="I606">
            <v>5</v>
          </cell>
          <cell r="J606">
            <v>252</v>
          </cell>
        </row>
        <row r="607">
          <cell r="F607">
            <v>565</v>
          </cell>
          <cell r="G607">
            <v>1</v>
          </cell>
          <cell r="H607">
            <v>35</v>
          </cell>
          <cell r="I607">
            <v>6</v>
          </cell>
          <cell r="J607">
            <v>251</v>
          </cell>
        </row>
        <row r="608">
          <cell r="F608">
            <v>566</v>
          </cell>
          <cell r="G608">
            <v>1</v>
          </cell>
          <cell r="H608">
            <v>35</v>
          </cell>
          <cell r="I608">
            <v>7</v>
          </cell>
          <cell r="J608">
            <v>249</v>
          </cell>
        </row>
        <row r="609">
          <cell r="F609">
            <v>567</v>
          </cell>
          <cell r="G609">
            <v>1</v>
          </cell>
          <cell r="H609">
            <v>35</v>
          </cell>
          <cell r="I609">
            <v>8</v>
          </cell>
          <cell r="J609">
            <v>256</v>
          </cell>
        </row>
        <row r="610">
          <cell r="F610">
            <v>568</v>
          </cell>
          <cell r="G610">
            <v>1</v>
          </cell>
          <cell r="H610">
            <v>35</v>
          </cell>
          <cell r="I610">
            <v>9</v>
          </cell>
          <cell r="J610">
            <v>259</v>
          </cell>
        </row>
        <row r="611">
          <cell r="F611">
            <v>569</v>
          </cell>
          <cell r="G611">
            <v>1</v>
          </cell>
          <cell r="H611">
            <v>35</v>
          </cell>
          <cell r="I611">
            <v>10</v>
          </cell>
          <cell r="J611">
            <v>257</v>
          </cell>
        </row>
        <row r="612">
          <cell r="F612">
            <v>570</v>
          </cell>
          <cell r="G612">
            <v>1</v>
          </cell>
          <cell r="H612">
            <v>35</v>
          </cell>
          <cell r="I612">
            <v>11</v>
          </cell>
          <cell r="J612">
            <v>251</v>
          </cell>
        </row>
        <row r="613">
          <cell r="F613">
            <v>571</v>
          </cell>
          <cell r="G613">
            <v>1</v>
          </cell>
          <cell r="H613">
            <v>35</v>
          </cell>
          <cell r="I613">
            <v>12</v>
          </cell>
          <cell r="J613">
            <v>255</v>
          </cell>
        </row>
        <row r="614">
          <cell r="F614">
            <v>572</v>
          </cell>
          <cell r="G614">
            <v>1</v>
          </cell>
          <cell r="H614">
            <v>35</v>
          </cell>
          <cell r="I614">
            <v>15</v>
          </cell>
          <cell r="J614">
            <v>343</v>
          </cell>
        </row>
        <row r="615">
          <cell r="F615">
            <v>573</v>
          </cell>
          <cell r="G615">
            <v>1</v>
          </cell>
          <cell r="H615">
            <v>35</v>
          </cell>
          <cell r="I615">
            <v>16</v>
          </cell>
          <cell r="J615">
            <v>358</v>
          </cell>
        </row>
        <row r="616">
          <cell r="F616">
            <v>574</v>
          </cell>
          <cell r="G616">
            <v>1</v>
          </cell>
          <cell r="H616">
            <v>35</v>
          </cell>
          <cell r="I616">
            <v>17</v>
          </cell>
          <cell r="J616">
            <v>260</v>
          </cell>
        </row>
        <row r="617">
          <cell r="F617">
            <v>575</v>
          </cell>
          <cell r="G617">
            <v>1</v>
          </cell>
          <cell r="H617">
            <v>35</v>
          </cell>
          <cell r="I617">
            <v>18</v>
          </cell>
          <cell r="J617">
            <v>267</v>
          </cell>
        </row>
        <row r="618">
          <cell r="F618">
            <v>576</v>
          </cell>
          <cell r="G618">
            <v>1</v>
          </cell>
          <cell r="H618">
            <v>35</v>
          </cell>
          <cell r="I618">
            <v>19</v>
          </cell>
          <cell r="J618">
            <v>233</v>
          </cell>
        </row>
        <row r="619">
          <cell r="F619">
            <v>577</v>
          </cell>
          <cell r="G619">
            <v>1</v>
          </cell>
          <cell r="H619">
            <v>35</v>
          </cell>
          <cell r="I619">
            <v>20</v>
          </cell>
          <cell r="J619">
            <v>232</v>
          </cell>
        </row>
        <row r="620">
          <cell r="F620">
            <v>578</v>
          </cell>
          <cell r="G620">
            <v>1</v>
          </cell>
          <cell r="H620">
            <v>35</v>
          </cell>
          <cell r="I620">
            <v>21</v>
          </cell>
          <cell r="J620">
            <v>232</v>
          </cell>
        </row>
        <row r="621">
          <cell r="F621">
            <v>579</v>
          </cell>
          <cell r="G621">
            <v>1</v>
          </cell>
          <cell r="H621">
            <v>35</v>
          </cell>
          <cell r="I621">
            <v>22</v>
          </cell>
          <cell r="J621">
            <v>254</v>
          </cell>
        </row>
        <row r="622">
          <cell r="F622">
            <v>580</v>
          </cell>
          <cell r="G622">
            <v>1</v>
          </cell>
          <cell r="H622">
            <v>35</v>
          </cell>
          <cell r="I622">
            <v>23</v>
          </cell>
          <cell r="J622">
            <v>237</v>
          </cell>
        </row>
        <row r="623">
          <cell r="F623">
            <v>0</v>
          </cell>
          <cell r="G623">
            <v>0</v>
          </cell>
          <cell r="H623">
            <v>0</v>
          </cell>
          <cell r="I623">
            <v>0</v>
          </cell>
          <cell r="J623">
            <v>0</v>
          </cell>
        </row>
        <row r="624">
          <cell r="F624">
            <v>581</v>
          </cell>
          <cell r="G624">
            <v>1</v>
          </cell>
          <cell r="H624">
            <v>35</v>
          </cell>
          <cell r="I624">
            <v>25</v>
          </cell>
          <cell r="J624">
            <v>245</v>
          </cell>
        </row>
        <row r="625">
          <cell r="F625">
            <v>582</v>
          </cell>
          <cell r="G625">
            <v>1</v>
          </cell>
          <cell r="H625">
            <v>35</v>
          </cell>
          <cell r="I625">
            <v>26</v>
          </cell>
          <cell r="J625">
            <v>256</v>
          </cell>
        </row>
        <row r="626">
          <cell r="F626">
            <v>583</v>
          </cell>
          <cell r="G626">
            <v>1</v>
          </cell>
          <cell r="H626">
            <v>35</v>
          </cell>
          <cell r="I626">
            <v>27</v>
          </cell>
          <cell r="J626">
            <v>245</v>
          </cell>
        </row>
        <row r="627">
          <cell r="F627">
            <v>584</v>
          </cell>
          <cell r="G627">
            <v>1</v>
          </cell>
          <cell r="H627">
            <v>35</v>
          </cell>
          <cell r="I627">
            <v>28</v>
          </cell>
          <cell r="J627">
            <v>246</v>
          </cell>
        </row>
        <row r="628">
          <cell r="F628">
            <v>585</v>
          </cell>
          <cell r="G628">
            <v>1</v>
          </cell>
          <cell r="H628">
            <v>35</v>
          </cell>
          <cell r="I628">
            <v>29</v>
          </cell>
          <cell r="J628">
            <v>265</v>
          </cell>
        </row>
        <row r="629">
          <cell r="F629">
            <v>586</v>
          </cell>
          <cell r="G629">
            <v>1</v>
          </cell>
          <cell r="H629">
            <v>35</v>
          </cell>
          <cell r="I629">
            <v>30</v>
          </cell>
          <cell r="J629">
            <v>345</v>
          </cell>
        </row>
        <row r="630">
          <cell r="F630">
            <v>587</v>
          </cell>
          <cell r="G630">
            <v>1</v>
          </cell>
          <cell r="H630">
            <v>35</v>
          </cell>
          <cell r="I630">
            <v>31</v>
          </cell>
          <cell r="J630">
            <v>232</v>
          </cell>
        </row>
        <row r="631">
          <cell r="F631">
            <v>588</v>
          </cell>
          <cell r="G631">
            <v>1</v>
          </cell>
          <cell r="H631">
            <v>35</v>
          </cell>
          <cell r="I631">
            <v>32</v>
          </cell>
          <cell r="J631">
            <v>278</v>
          </cell>
        </row>
        <row r="632">
          <cell r="F632">
            <v>589</v>
          </cell>
          <cell r="G632">
            <v>1</v>
          </cell>
          <cell r="H632">
            <v>35</v>
          </cell>
          <cell r="I632">
            <v>33</v>
          </cell>
          <cell r="J632">
            <v>258</v>
          </cell>
        </row>
        <row r="633">
          <cell r="F633">
            <v>590</v>
          </cell>
          <cell r="G633">
            <v>1</v>
          </cell>
          <cell r="H633">
            <v>36</v>
          </cell>
          <cell r="I633">
            <v>1</v>
          </cell>
          <cell r="J633">
            <v>297</v>
          </cell>
        </row>
        <row r="634">
          <cell r="F634">
            <v>591</v>
          </cell>
          <cell r="G634">
            <v>1</v>
          </cell>
          <cell r="H634">
            <v>36</v>
          </cell>
          <cell r="I634">
            <v>2</v>
          </cell>
          <cell r="J634">
            <v>240</v>
          </cell>
        </row>
        <row r="635">
          <cell r="F635">
            <v>592</v>
          </cell>
          <cell r="G635">
            <v>1</v>
          </cell>
          <cell r="H635">
            <v>36</v>
          </cell>
          <cell r="I635">
            <v>3</v>
          </cell>
          <cell r="J635">
            <v>308</v>
          </cell>
        </row>
        <row r="636">
          <cell r="F636">
            <v>593</v>
          </cell>
          <cell r="G636">
            <v>1</v>
          </cell>
          <cell r="H636">
            <v>36</v>
          </cell>
          <cell r="I636">
            <v>5</v>
          </cell>
          <cell r="J636">
            <v>243</v>
          </cell>
        </row>
        <row r="637">
          <cell r="F637">
            <v>594</v>
          </cell>
          <cell r="G637">
            <v>1</v>
          </cell>
          <cell r="H637">
            <v>36</v>
          </cell>
          <cell r="I637">
            <v>6</v>
          </cell>
          <cell r="J637">
            <v>279</v>
          </cell>
        </row>
        <row r="638">
          <cell r="F638">
            <v>595</v>
          </cell>
          <cell r="G638">
            <v>1</v>
          </cell>
          <cell r="H638">
            <v>36</v>
          </cell>
          <cell r="I638">
            <v>7</v>
          </cell>
          <cell r="J638">
            <v>345</v>
          </cell>
        </row>
        <row r="639">
          <cell r="F639">
            <v>596</v>
          </cell>
          <cell r="G639">
            <v>1</v>
          </cell>
          <cell r="H639">
            <v>36</v>
          </cell>
          <cell r="I639">
            <v>8</v>
          </cell>
          <cell r="J639">
            <v>235</v>
          </cell>
        </row>
        <row r="640">
          <cell r="F640">
            <v>597</v>
          </cell>
          <cell r="G640">
            <v>1</v>
          </cell>
          <cell r="H640">
            <v>36</v>
          </cell>
          <cell r="I640">
            <v>9</v>
          </cell>
          <cell r="J640">
            <v>246</v>
          </cell>
        </row>
        <row r="641">
          <cell r="F641">
            <v>598</v>
          </cell>
          <cell r="G641">
            <v>1</v>
          </cell>
          <cell r="H641">
            <v>36</v>
          </cell>
          <cell r="I641">
            <v>10</v>
          </cell>
          <cell r="J641">
            <v>282</v>
          </cell>
        </row>
        <row r="642">
          <cell r="F642">
            <v>599</v>
          </cell>
          <cell r="G642">
            <v>1</v>
          </cell>
          <cell r="H642">
            <v>36</v>
          </cell>
          <cell r="I642">
            <v>11</v>
          </cell>
          <cell r="J642">
            <v>253</v>
          </cell>
        </row>
        <row r="643">
          <cell r="F643">
            <v>600</v>
          </cell>
          <cell r="G643">
            <v>1</v>
          </cell>
          <cell r="H643">
            <v>36</v>
          </cell>
          <cell r="I643">
            <v>12</v>
          </cell>
          <cell r="J643">
            <v>367</v>
          </cell>
        </row>
        <row r="644">
          <cell r="F644">
            <v>601</v>
          </cell>
          <cell r="G644">
            <v>1</v>
          </cell>
          <cell r="H644">
            <v>36</v>
          </cell>
          <cell r="I644">
            <v>15</v>
          </cell>
          <cell r="J644">
            <v>265</v>
          </cell>
        </row>
        <row r="645">
          <cell r="F645">
            <v>602</v>
          </cell>
          <cell r="G645">
            <v>1</v>
          </cell>
          <cell r="H645">
            <v>36</v>
          </cell>
          <cell r="I645">
            <v>16</v>
          </cell>
          <cell r="J645">
            <v>234</v>
          </cell>
        </row>
        <row r="646">
          <cell r="F646">
            <v>603</v>
          </cell>
          <cell r="G646">
            <v>1</v>
          </cell>
          <cell r="H646">
            <v>36</v>
          </cell>
          <cell r="I646">
            <v>17</v>
          </cell>
          <cell r="J646">
            <v>343</v>
          </cell>
        </row>
        <row r="647">
          <cell r="F647">
            <v>604</v>
          </cell>
          <cell r="G647">
            <v>1</v>
          </cell>
          <cell r="H647">
            <v>36</v>
          </cell>
          <cell r="I647">
            <v>18</v>
          </cell>
          <cell r="J647">
            <v>257</v>
          </cell>
        </row>
        <row r="648">
          <cell r="F648">
            <v>605</v>
          </cell>
          <cell r="G648">
            <v>1</v>
          </cell>
          <cell r="H648">
            <v>36</v>
          </cell>
          <cell r="I648">
            <v>19</v>
          </cell>
          <cell r="J648">
            <v>301</v>
          </cell>
        </row>
        <row r="649">
          <cell r="F649">
            <v>606</v>
          </cell>
          <cell r="G649">
            <v>1</v>
          </cell>
          <cell r="H649">
            <v>36</v>
          </cell>
          <cell r="I649">
            <v>20</v>
          </cell>
          <cell r="J649">
            <v>234</v>
          </cell>
        </row>
        <row r="650">
          <cell r="F650">
            <v>607</v>
          </cell>
          <cell r="G650">
            <v>1</v>
          </cell>
          <cell r="H650">
            <v>36</v>
          </cell>
          <cell r="I650">
            <v>21</v>
          </cell>
          <cell r="J650">
            <v>263</v>
          </cell>
        </row>
        <row r="651">
          <cell r="F651">
            <v>608</v>
          </cell>
          <cell r="G651">
            <v>1</v>
          </cell>
          <cell r="H651">
            <v>37</v>
          </cell>
          <cell r="I651">
            <v>1</v>
          </cell>
          <cell r="J651">
            <v>278</v>
          </cell>
        </row>
        <row r="652">
          <cell r="F652">
            <v>609</v>
          </cell>
          <cell r="G652">
            <v>1</v>
          </cell>
          <cell r="H652">
            <v>37</v>
          </cell>
          <cell r="I652">
            <v>2</v>
          </cell>
          <cell r="J652">
            <v>274</v>
          </cell>
        </row>
        <row r="653">
          <cell r="F653">
            <v>610</v>
          </cell>
          <cell r="G653">
            <v>1</v>
          </cell>
          <cell r="H653">
            <v>37</v>
          </cell>
          <cell r="I653">
            <v>3</v>
          </cell>
          <cell r="J653">
            <v>242</v>
          </cell>
        </row>
        <row r="654">
          <cell r="F654">
            <v>0</v>
          </cell>
          <cell r="G654">
            <v>0</v>
          </cell>
          <cell r="H654">
            <v>0</v>
          </cell>
          <cell r="I654">
            <v>0</v>
          </cell>
          <cell r="J654">
            <v>0</v>
          </cell>
        </row>
        <row r="655">
          <cell r="F655">
            <v>611</v>
          </cell>
          <cell r="G655">
            <v>1</v>
          </cell>
          <cell r="H655">
            <v>37</v>
          </cell>
          <cell r="I655">
            <v>5</v>
          </cell>
          <cell r="J655">
            <v>242</v>
          </cell>
        </row>
        <row r="656">
          <cell r="F656">
            <v>612</v>
          </cell>
          <cell r="G656">
            <v>1</v>
          </cell>
          <cell r="H656">
            <v>37</v>
          </cell>
          <cell r="I656">
            <v>6</v>
          </cell>
          <cell r="J656">
            <v>239</v>
          </cell>
        </row>
        <row r="657">
          <cell r="F657">
            <v>613</v>
          </cell>
          <cell r="G657">
            <v>1</v>
          </cell>
          <cell r="H657">
            <v>37</v>
          </cell>
          <cell r="I657">
            <v>7</v>
          </cell>
          <cell r="J657">
            <v>246</v>
          </cell>
        </row>
        <row r="658">
          <cell r="F658">
            <v>614</v>
          </cell>
          <cell r="G658">
            <v>1</v>
          </cell>
          <cell r="H658">
            <v>37</v>
          </cell>
          <cell r="I658">
            <v>8</v>
          </cell>
          <cell r="J658">
            <v>239</v>
          </cell>
        </row>
        <row r="659">
          <cell r="F659">
            <v>615</v>
          </cell>
          <cell r="G659">
            <v>1</v>
          </cell>
          <cell r="H659">
            <v>37</v>
          </cell>
          <cell r="I659">
            <v>9</v>
          </cell>
          <cell r="J659">
            <v>243</v>
          </cell>
        </row>
        <row r="660">
          <cell r="F660">
            <v>616</v>
          </cell>
          <cell r="G660">
            <v>1</v>
          </cell>
          <cell r="H660">
            <v>37</v>
          </cell>
          <cell r="I660">
            <v>10</v>
          </cell>
          <cell r="J660">
            <v>235</v>
          </cell>
        </row>
        <row r="661">
          <cell r="F661">
            <v>617</v>
          </cell>
          <cell r="G661">
            <v>1</v>
          </cell>
          <cell r="H661">
            <v>37</v>
          </cell>
          <cell r="I661">
            <v>11</v>
          </cell>
          <cell r="J661">
            <v>243</v>
          </cell>
        </row>
        <row r="662">
          <cell r="F662">
            <v>618</v>
          </cell>
          <cell r="G662">
            <v>1</v>
          </cell>
          <cell r="H662">
            <v>37</v>
          </cell>
          <cell r="I662">
            <v>12</v>
          </cell>
          <cell r="J662">
            <v>238</v>
          </cell>
        </row>
        <row r="663">
          <cell r="F663">
            <v>619</v>
          </cell>
          <cell r="G663">
            <v>1</v>
          </cell>
          <cell r="H663">
            <v>37</v>
          </cell>
          <cell r="I663">
            <v>15</v>
          </cell>
          <cell r="J663">
            <v>243</v>
          </cell>
        </row>
        <row r="664">
          <cell r="F664">
            <v>620</v>
          </cell>
          <cell r="G664">
            <v>1</v>
          </cell>
          <cell r="H664">
            <v>37</v>
          </cell>
          <cell r="I664">
            <v>16</v>
          </cell>
          <cell r="J664">
            <v>253</v>
          </cell>
        </row>
        <row r="665">
          <cell r="F665">
            <v>621</v>
          </cell>
          <cell r="G665">
            <v>1</v>
          </cell>
          <cell r="H665">
            <v>37</v>
          </cell>
          <cell r="I665">
            <v>17</v>
          </cell>
          <cell r="J665">
            <v>243</v>
          </cell>
        </row>
        <row r="666">
          <cell r="F666">
            <v>622</v>
          </cell>
          <cell r="G666">
            <v>1</v>
          </cell>
          <cell r="H666">
            <v>37</v>
          </cell>
          <cell r="I666">
            <v>18</v>
          </cell>
          <cell r="J666">
            <v>253</v>
          </cell>
        </row>
        <row r="667">
          <cell r="F667">
            <v>623</v>
          </cell>
          <cell r="G667">
            <v>1</v>
          </cell>
          <cell r="H667">
            <v>37</v>
          </cell>
          <cell r="I667">
            <v>19</v>
          </cell>
          <cell r="J667">
            <v>243</v>
          </cell>
        </row>
        <row r="668">
          <cell r="F668">
            <v>624</v>
          </cell>
          <cell r="G668">
            <v>1</v>
          </cell>
          <cell r="H668">
            <v>37</v>
          </cell>
          <cell r="I668">
            <v>20</v>
          </cell>
          <cell r="J668">
            <v>253</v>
          </cell>
        </row>
        <row r="669">
          <cell r="F669">
            <v>625</v>
          </cell>
          <cell r="G669">
            <v>1</v>
          </cell>
          <cell r="H669">
            <v>37</v>
          </cell>
          <cell r="I669">
            <v>21</v>
          </cell>
          <cell r="J669">
            <v>243</v>
          </cell>
        </row>
        <row r="670">
          <cell r="F670">
            <v>626</v>
          </cell>
          <cell r="G670">
            <v>1</v>
          </cell>
          <cell r="H670">
            <v>37</v>
          </cell>
          <cell r="I670">
            <v>22</v>
          </cell>
          <cell r="J670">
            <v>268</v>
          </cell>
        </row>
        <row r="671">
          <cell r="F671">
            <v>627</v>
          </cell>
          <cell r="G671">
            <v>1</v>
          </cell>
          <cell r="H671">
            <v>37</v>
          </cell>
          <cell r="I671">
            <v>23</v>
          </cell>
          <cell r="J671">
            <v>245</v>
          </cell>
        </row>
        <row r="672">
          <cell r="F672">
            <v>0</v>
          </cell>
          <cell r="G672">
            <v>0</v>
          </cell>
          <cell r="H672">
            <v>0</v>
          </cell>
          <cell r="I672">
            <v>0</v>
          </cell>
          <cell r="J672">
            <v>0</v>
          </cell>
        </row>
        <row r="673">
          <cell r="F673">
            <v>628</v>
          </cell>
          <cell r="G673">
            <v>1</v>
          </cell>
          <cell r="H673">
            <v>37</v>
          </cell>
          <cell r="I673">
            <v>25</v>
          </cell>
          <cell r="J673">
            <v>297</v>
          </cell>
        </row>
        <row r="674">
          <cell r="F674">
            <v>629</v>
          </cell>
          <cell r="G674">
            <v>1</v>
          </cell>
          <cell r="H674">
            <v>37</v>
          </cell>
          <cell r="I674">
            <v>26</v>
          </cell>
          <cell r="J674">
            <v>332</v>
          </cell>
        </row>
        <row r="675">
          <cell r="F675">
            <v>630</v>
          </cell>
          <cell r="G675">
            <v>1</v>
          </cell>
          <cell r="H675">
            <v>37</v>
          </cell>
          <cell r="I675">
            <v>27</v>
          </cell>
          <cell r="J675">
            <v>236</v>
          </cell>
        </row>
        <row r="676">
          <cell r="F676">
            <v>631</v>
          </cell>
          <cell r="G676">
            <v>1</v>
          </cell>
          <cell r="H676">
            <v>37</v>
          </cell>
          <cell r="I676">
            <v>28</v>
          </cell>
          <cell r="J676">
            <v>282</v>
          </cell>
        </row>
        <row r="677">
          <cell r="F677">
            <v>632</v>
          </cell>
          <cell r="G677">
            <v>1</v>
          </cell>
          <cell r="H677">
            <v>37</v>
          </cell>
          <cell r="I677">
            <v>29</v>
          </cell>
          <cell r="J677">
            <v>236</v>
          </cell>
        </row>
        <row r="678">
          <cell r="F678">
            <v>633</v>
          </cell>
          <cell r="G678">
            <v>1</v>
          </cell>
          <cell r="H678">
            <v>37</v>
          </cell>
          <cell r="I678">
            <v>30</v>
          </cell>
          <cell r="J678">
            <v>236</v>
          </cell>
        </row>
        <row r="679">
          <cell r="F679">
            <v>634</v>
          </cell>
          <cell r="G679">
            <v>1</v>
          </cell>
          <cell r="H679">
            <v>37</v>
          </cell>
          <cell r="I679">
            <v>31</v>
          </cell>
          <cell r="J679">
            <v>243</v>
          </cell>
        </row>
        <row r="680">
          <cell r="F680">
            <v>635</v>
          </cell>
          <cell r="G680">
            <v>1</v>
          </cell>
          <cell r="H680">
            <v>37</v>
          </cell>
          <cell r="I680">
            <v>32</v>
          </cell>
          <cell r="J680">
            <v>244</v>
          </cell>
        </row>
        <row r="681">
          <cell r="F681">
            <v>636</v>
          </cell>
          <cell r="G681">
            <v>1</v>
          </cell>
          <cell r="H681">
            <v>37</v>
          </cell>
          <cell r="I681">
            <v>33</v>
          </cell>
          <cell r="J681">
            <v>215</v>
          </cell>
        </row>
        <row r="682">
          <cell r="F682">
            <v>637</v>
          </cell>
          <cell r="G682">
            <v>1</v>
          </cell>
          <cell r="H682">
            <v>37</v>
          </cell>
          <cell r="I682">
            <v>35</v>
          </cell>
          <cell r="J682">
            <v>240</v>
          </cell>
        </row>
        <row r="683">
          <cell r="F683">
            <v>638</v>
          </cell>
          <cell r="G683">
            <v>1</v>
          </cell>
          <cell r="H683">
            <v>37</v>
          </cell>
          <cell r="I683">
            <v>36</v>
          </cell>
          <cell r="J683">
            <v>256</v>
          </cell>
        </row>
        <row r="684">
          <cell r="F684">
            <v>639</v>
          </cell>
          <cell r="G684">
            <v>1</v>
          </cell>
          <cell r="H684">
            <v>37</v>
          </cell>
          <cell r="I684">
            <v>37</v>
          </cell>
          <cell r="J684">
            <v>226</v>
          </cell>
        </row>
        <row r="685">
          <cell r="F685">
            <v>640</v>
          </cell>
          <cell r="G685">
            <v>1</v>
          </cell>
          <cell r="H685">
            <v>37</v>
          </cell>
          <cell r="I685">
            <v>38</v>
          </cell>
          <cell r="J685">
            <v>248</v>
          </cell>
        </row>
        <row r="686">
          <cell r="F686">
            <v>641</v>
          </cell>
          <cell r="G686">
            <v>1</v>
          </cell>
          <cell r="H686">
            <v>37</v>
          </cell>
          <cell r="I686">
            <v>39</v>
          </cell>
          <cell r="J686">
            <v>226</v>
          </cell>
        </row>
        <row r="687">
          <cell r="F687">
            <v>642</v>
          </cell>
          <cell r="G687">
            <v>1</v>
          </cell>
          <cell r="H687">
            <v>37</v>
          </cell>
          <cell r="I687">
            <v>40</v>
          </cell>
          <cell r="J687">
            <v>245</v>
          </cell>
        </row>
        <row r="688">
          <cell r="F688">
            <v>643</v>
          </cell>
          <cell r="G688">
            <v>1</v>
          </cell>
          <cell r="H688">
            <v>37</v>
          </cell>
          <cell r="I688">
            <v>41</v>
          </cell>
          <cell r="J688">
            <v>219</v>
          </cell>
        </row>
        <row r="689">
          <cell r="F689">
            <v>644</v>
          </cell>
          <cell r="G689">
            <v>1</v>
          </cell>
          <cell r="H689">
            <v>37</v>
          </cell>
          <cell r="I689">
            <v>42</v>
          </cell>
          <cell r="J689">
            <v>226</v>
          </cell>
        </row>
        <row r="690">
          <cell r="F690">
            <v>645</v>
          </cell>
          <cell r="G690">
            <v>1</v>
          </cell>
          <cell r="H690">
            <v>37</v>
          </cell>
          <cell r="I690">
            <v>43</v>
          </cell>
          <cell r="J690">
            <v>223</v>
          </cell>
        </row>
        <row r="691">
          <cell r="F691">
            <v>0</v>
          </cell>
          <cell r="G691">
            <v>0</v>
          </cell>
          <cell r="H691">
            <v>0</v>
          </cell>
          <cell r="I691">
            <v>0</v>
          </cell>
          <cell r="J691">
            <v>0</v>
          </cell>
        </row>
        <row r="692">
          <cell r="F692">
            <v>646</v>
          </cell>
          <cell r="G692">
            <v>1</v>
          </cell>
          <cell r="H692">
            <v>37</v>
          </cell>
          <cell r="I692">
            <v>45</v>
          </cell>
          <cell r="J692">
            <v>235</v>
          </cell>
        </row>
        <row r="693">
          <cell r="F693">
            <v>647</v>
          </cell>
          <cell r="G693">
            <v>1</v>
          </cell>
          <cell r="H693">
            <v>37</v>
          </cell>
          <cell r="I693">
            <v>46</v>
          </cell>
          <cell r="J693">
            <v>218</v>
          </cell>
        </row>
        <row r="694">
          <cell r="F694">
            <v>648</v>
          </cell>
          <cell r="G694">
            <v>1</v>
          </cell>
          <cell r="H694">
            <v>37</v>
          </cell>
          <cell r="I694">
            <v>47</v>
          </cell>
          <cell r="J694">
            <v>230</v>
          </cell>
        </row>
        <row r="695">
          <cell r="F695">
            <v>649</v>
          </cell>
          <cell r="G695">
            <v>1</v>
          </cell>
          <cell r="H695">
            <v>37</v>
          </cell>
          <cell r="I695">
            <v>48</v>
          </cell>
          <cell r="J695">
            <v>235</v>
          </cell>
        </row>
        <row r="696">
          <cell r="F696">
            <v>650</v>
          </cell>
          <cell r="G696">
            <v>1</v>
          </cell>
          <cell r="H696">
            <v>37</v>
          </cell>
          <cell r="I696">
            <v>49</v>
          </cell>
          <cell r="J696">
            <v>252</v>
          </cell>
        </row>
        <row r="697">
          <cell r="F697">
            <v>651</v>
          </cell>
          <cell r="G697">
            <v>1</v>
          </cell>
          <cell r="H697">
            <v>37</v>
          </cell>
          <cell r="I697">
            <v>50</v>
          </cell>
          <cell r="J697">
            <v>234</v>
          </cell>
        </row>
        <row r="698">
          <cell r="F698">
            <v>652</v>
          </cell>
          <cell r="G698">
            <v>1</v>
          </cell>
          <cell r="H698">
            <v>38</v>
          </cell>
          <cell r="I698">
            <v>1</v>
          </cell>
          <cell r="J698">
            <v>320</v>
          </cell>
        </row>
        <row r="699">
          <cell r="F699">
            <v>653</v>
          </cell>
          <cell r="G699">
            <v>1</v>
          </cell>
          <cell r="H699">
            <v>38</v>
          </cell>
          <cell r="I699">
            <v>2</v>
          </cell>
          <cell r="J699">
            <v>300</v>
          </cell>
        </row>
        <row r="700">
          <cell r="F700">
            <v>654</v>
          </cell>
          <cell r="G700">
            <v>1</v>
          </cell>
          <cell r="H700">
            <v>38</v>
          </cell>
          <cell r="I700">
            <v>3</v>
          </cell>
          <cell r="J700">
            <v>247</v>
          </cell>
        </row>
        <row r="701">
          <cell r="F701">
            <v>655</v>
          </cell>
          <cell r="G701">
            <v>1</v>
          </cell>
          <cell r="H701">
            <v>38</v>
          </cell>
          <cell r="I701">
            <v>5</v>
          </cell>
          <cell r="J701">
            <v>254</v>
          </cell>
        </row>
        <row r="702">
          <cell r="F702">
            <v>656</v>
          </cell>
          <cell r="G702">
            <v>1</v>
          </cell>
          <cell r="H702">
            <v>38</v>
          </cell>
          <cell r="I702">
            <v>6</v>
          </cell>
          <cell r="J702">
            <v>260</v>
          </cell>
        </row>
        <row r="703">
          <cell r="F703">
            <v>657</v>
          </cell>
          <cell r="G703">
            <v>1</v>
          </cell>
          <cell r="H703">
            <v>38</v>
          </cell>
          <cell r="I703">
            <v>7</v>
          </cell>
          <cell r="J703">
            <v>280</v>
          </cell>
        </row>
        <row r="704">
          <cell r="F704">
            <v>658</v>
          </cell>
          <cell r="G704">
            <v>1</v>
          </cell>
          <cell r="H704">
            <v>38</v>
          </cell>
          <cell r="I704">
            <v>8</v>
          </cell>
          <cell r="J704">
            <v>263</v>
          </cell>
        </row>
        <row r="705">
          <cell r="F705">
            <v>659</v>
          </cell>
          <cell r="G705">
            <v>1</v>
          </cell>
          <cell r="H705">
            <v>38</v>
          </cell>
          <cell r="I705">
            <v>9</v>
          </cell>
          <cell r="J705">
            <v>319</v>
          </cell>
        </row>
        <row r="706">
          <cell r="F706">
            <v>660</v>
          </cell>
          <cell r="G706">
            <v>1</v>
          </cell>
          <cell r="H706">
            <v>38</v>
          </cell>
          <cell r="I706">
            <v>10</v>
          </cell>
          <cell r="J706">
            <v>285</v>
          </cell>
        </row>
        <row r="707">
          <cell r="F707">
            <v>661</v>
          </cell>
          <cell r="G707">
            <v>1</v>
          </cell>
          <cell r="H707">
            <v>38</v>
          </cell>
          <cell r="I707">
            <v>11</v>
          </cell>
          <cell r="J707">
            <v>341</v>
          </cell>
        </row>
        <row r="708">
          <cell r="F708">
            <v>662</v>
          </cell>
          <cell r="G708">
            <v>1</v>
          </cell>
          <cell r="H708">
            <v>38</v>
          </cell>
          <cell r="I708">
            <v>12</v>
          </cell>
          <cell r="J708">
            <v>289</v>
          </cell>
        </row>
        <row r="709">
          <cell r="F709">
            <v>663</v>
          </cell>
          <cell r="G709">
            <v>1</v>
          </cell>
          <cell r="H709">
            <v>38</v>
          </cell>
          <cell r="I709">
            <v>15</v>
          </cell>
          <cell r="J709">
            <v>372</v>
          </cell>
        </row>
        <row r="710">
          <cell r="F710">
            <v>664</v>
          </cell>
          <cell r="G710">
            <v>1</v>
          </cell>
          <cell r="H710">
            <v>38</v>
          </cell>
          <cell r="I710">
            <v>16</v>
          </cell>
          <cell r="J710">
            <v>403</v>
          </cell>
        </row>
        <row r="711">
          <cell r="F711">
            <v>665</v>
          </cell>
          <cell r="G711">
            <v>1</v>
          </cell>
          <cell r="H711">
            <v>38</v>
          </cell>
          <cell r="I711">
            <v>17</v>
          </cell>
          <cell r="J711">
            <v>373</v>
          </cell>
        </row>
        <row r="712">
          <cell r="F712">
            <v>666</v>
          </cell>
          <cell r="G712">
            <v>1</v>
          </cell>
          <cell r="H712">
            <v>38</v>
          </cell>
          <cell r="I712">
            <v>18</v>
          </cell>
          <cell r="J712">
            <v>313</v>
          </cell>
        </row>
        <row r="713">
          <cell r="F713">
            <v>667</v>
          </cell>
          <cell r="G713">
            <v>1</v>
          </cell>
          <cell r="H713">
            <v>38</v>
          </cell>
          <cell r="I713">
            <v>19</v>
          </cell>
          <cell r="J713">
            <v>252</v>
          </cell>
        </row>
        <row r="714">
          <cell r="F714">
            <v>668</v>
          </cell>
          <cell r="G714">
            <v>1</v>
          </cell>
          <cell r="H714">
            <v>38</v>
          </cell>
          <cell r="I714">
            <v>20</v>
          </cell>
          <cell r="J714">
            <v>272</v>
          </cell>
        </row>
        <row r="715">
          <cell r="F715">
            <v>669</v>
          </cell>
          <cell r="G715">
            <v>1</v>
          </cell>
          <cell r="H715">
            <v>38</v>
          </cell>
          <cell r="I715">
            <v>21</v>
          </cell>
          <cell r="J715">
            <v>252</v>
          </cell>
        </row>
        <row r="716">
          <cell r="F716">
            <v>670</v>
          </cell>
          <cell r="G716">
            <v>1</v>
          </cell>
          <cell r="H716">
            <v>38</v>
          </cell>
          <cell r="I716">
            <v>22</v>
          </cell>
          <cell r="J716">
            <v>314</v>
          </cell>
        </row>
        <row r="717">
          <cell r="F717">
            <v>671</v>
          </cell>
          <cell r="G717">
            <v>1</v>
          </cell>
          <cell r="H717">
            <v>38</v>
          </cell>
          <cell r="I717">
            <v>23</v>
          </cell>
          <cell r="J717">
            <v>250</v>
          </cell>
        </row>
        <row r="718">
          <cell r="F718">
            <v>672</v>
          </cell>
          <cell r="G718">
            <v>1</v>
          </cell>
          <cell r="H718">
            <v>38</v>
          </cell>
          <cell r="I718">
            <v>25</v>
          </cell>
          <cell r="J718">
            <v>313</v>
          </cell>
        </row>
        <row r="719">
          <cell r="F719">
            <v>673</v>
          </cell>
          <cell r="G719">
            <v>1</v>
          </cell>
          <cell r="H719">
            <v>39</v>
          </cell>
          <cell r="I719">
            <v>1</v>
          </cell>
          <cell r="J719">
            <v>300</v>
          </cell>
        </row>
        <row r="720">
          <cell r="F720">
            <v>674</v>
          </cell>
          <cell r="G720">
            <v>1</v>
          </cell>
          <cell r="H720">
            <v>39</v>
          </cell>
          <cell r="I720">
            <v>2</v>
          </cell>
          <cell r="J720">
            <v>358</v>
          </cell>
        </row>
        <row r="721">
          <cell r="F721">
            <v>675</v>
          </cell>
          <cell r="G721">
            <v>1</v>
          </cell>
          <cell r="H721">
            <v>39</v>
          </cell>
          <cell r="I721">
            <v>3</v>
          </cell>
          <cell r="J721">
            <v>251</v>
          </cell>
        </row>
        <row r="722">
          <cell r="F722">
            <v>0</v>
          </cell>
          <cell r="G722">
            <v>0</v>
          </cell>
          <cell r="H722">
            <v>0</v>
          </cell>
          <cell r="I722">
            <v>0</v>
          </cell>
          <cell r="J722">
            <v>0</v>
          </cell>
        </row>
        <row r="723">
          <cell r="F723">
            <v>676</v>
          </cell>
          <cell r="G723">
            <v>1</v>
          </cell>
          <cell r="H723">
            <v>39</v>
          </cell>
          <cell r="I723">
            <v>5</v>
          </cell>
          <cell r="J723">
            <v>259</v>
          </cell>
        </row>
        <row r="724">
          <cell r="F724">
            <v>677</v>
          </cell>
          <cell r="G724">
            <v>1</v>
          </cell>
          <cell r="H724">
            <v>39</v>
          </cell>
          <cell r="I724">
            <v>6</v>
          </cell>
          <cell r="J724">
            <v>286</v>
          </cell>
        </row>
        <row r="725">
          <cell r="F725">
            <v>678</v>
          </cell>
          <cell r="G725">
            <v>1</v>
          </cell>
          <cell r="H725">
            <v>39</v>
          </cell>
          <cell r="I725">
            <v>7</v>
          </cell>
          <cell r="J725">
            <v>255</v>
          </cell>
        </row>
        <row r="726">
          <cell r="F726">
            <v>679</v>
          </cell>
          <cell r="G726">
            <v>1</v>
          </cell>
          <cell r="H726">
            <v>39</v>
          </cell>
          <cell r="I726">
            <v>8</v>
          </cell>
          <cell r="J726">
            <v>281</v>
          </cell>
        </row>
        <row r="727">
          <cell r="F727">
            <v>680</v>
          </cell>
          <cell r="G727">
            <v>1</v>
          </cell>
          <cell r="H727">
            <v>39</v>
          </cell>
          <cell r="I727">
            <v>9</v>
          </cell>
          <cell r="J727">
            <v>285</v>
          </cell>
        </row>
        <row r="728">
          <cell r="F728">
            <v>681</v>
          </cell>
          <cell r="G728">
            <v>1</v>
          </cell>
          <cell r="H728">
            <v>39</v>
          </cell>
          <cell r="I728">
            <v>10</v>
          </cell>
          <cell r="J728">
            <v>324</v>
          </cell>
        </row>
        <row r="729">
          <cell r="F729">
            <v>682</v>
          </cell>
          <cell r="G729">
            <v>1</v>
          </cell>
          <cell r="H729">
            <v>39</v>
          </cell>
          <cell r="I729">
            <v>11</v>
          </cell>
          <cell r="J729">
            <v>238</v>
          </cell>
        </row>
        <row r="730">
          <cell r="F730">
            <v>683</v>
          </cell>
          <cell r="G730">
            <v>1</v>
          </cell>
          <cell r="H730">
            <v>39</v>
          </cell>
          <cell r="I730">
            <v>12</v>
          </cell>
          <cell r="J730">
            <v>229</v>
          </cell>
        </row>
        <row r="731">
          <cell r="F731">
            <v>684</v>
          </cell>
          <cell r="G731">
            <v>1</v>
          </cell>
          <cell r="H731">
            <v>39</v>
          </cell>
          <cell r="I731">
            <v>15</v>
          </cell>
          <cell r="J731">
            <v>226</v>
          </cell>
        </row>
        <row r="732">
          <cell r="F732">
            <v>685</v>
          </cell>
          <cell r="G732">
            <v>1</v>
          </cell>
          <cell r="H732">
            <v>39</v>
          </cell>
          <cell r="I732">
            <v>16</v>
          </cell>
          <cell r="J732">
            <v>237</v>
          </cell>
        </row>
        <row r="733">
          <cell r="F733">
            <v>686</v>
          </cell>
          <cell r="G733">
            <v>1</v>
          </cell>
          <cell r="H733">
            <v>39</v>
          </cell>
          <cell r="I733">
            <v>17</v>
          </cell>
          <cell r="J733">
            <v>240</v>
          </cell>
        </row>
        <row r="734">
          <cell r="F734">
            <v>687</v>
          </cell>
          <cell r="G734">
            <v>1</v>
          </cell>
          <cell r="H734">
            <v>39</v>
          </cell>
          <cell r="I734">
            <v>18</v>
          </cell>
          <cell r="J734">
            <v>241</v>
          </cell>
        </row>
        <row r="735">
          <cell r="F735">
            <v>688</v>
          </cell>
          <cell r="G735">
            <v>1</v>
          </cell>
          <cell r="H735">
            <v>39</v>
          </cell>
          <cell r="I735">
            <v>19</v>
          </cell>
          <cell r="J735">
            <v>252</v>
          </cell>
        </row>
        <row r="736">
          <cell r="F736">
            <v>689</v>
          </cell>
          <cell r="G736">
            <v>1</v>
          </cell>
          <cell r="H736">
            <v>39</v>
          </cell>
          <cell r="I736">
            <v>20</v>
          </cell>
          <cell r="J736">
            <v>280</v>
          </cell>
        </row>
        <row r="737">
          <cell r="F737">
            <v>690</v>
          </cell>
          <cell r="G737">
            <v>1</v>
          </cell>
          <cell r="H737">
            <v>39</v>
          </cell>
          <cell r="I737">
            <v>21</v>
          </cell>
          <cell r="J737">
            <v>263</v>
          </cell>
        </row>
        <row r="738">
          <cell r="F738">
            <v>691</v>
          </cell>
          <cell r="G738">
            <v>1</v>
          </cell>
          <cell r="H738">
            <v>39</v>
          </cell>
          <cell r="I738">
            <v>22</v>
          </cell>
          <cell r="J738">
            <v>334</v>
          </cell>
        </row>
        <row r="739">
          <cell r="F739">
            <v>692</v>
          </cell>
          <cell r="G739">
            <v>1</v>
          </cell>
          <cell r="H739">
            <v>39</v>
          </cell>
          <cell r="I739">
            <v>23</v>
          </cell>
          <cell r="J739">
            <v>327</v>
          </cell>
        </row>
        <row r="740">
          <cell r="F740">
            <v>693</v>
          </cell>
          <cell r="G740">
            <v>1</v>
          </cell>
          <cell r="H740">
            <v>40</v>
          </cell>
          <cell r="I740">
            <v>1</v>
          </cell>
          <cell r="J740">
            <v>384</v>
          </cell>
        </row>
        <row r="741">
          <cell r="F741">
            <v>694</v>
          </cell>
          <cell r="G741">
            <v>1</v>
          </cell>
          <cell r="H741">
            <v>40</v>
          </cell>
          <cell r="I741">
            <v>2</v>
          </cell>
          <cell r="J741">
            <v>341</v>
          </cell>
        </row>
        <row r="742">
          <cell r="F742">
            <v>695</v>
          </cell>
          <cell r="G742">
            <v>1</v>
          </cell>
          <cell r="H742">
            <v>40</v>
          </cell>
          <cell r="I742">
            <v>3</v>
          </cell>
          <cell r="J742">
            <v>539</v>
          </cell>
        </row>
        <row r="743">
          <cell r="F743">
            <v>0</v>
          </cell>
          <cell r="G743">
            <v>0</v>
          </cell>
          <cell r="H743">
            <v>0</v>
          </cell>
          <cell r="I743">
            <v>0</v>
          </cell>
          <cell r="J743">
            <v>0</v>
          </cell>
        </row>
        <row r="744">
          <cell r="F744">
            <v>696</v>
          </cell>
          <cell r="G744">
            <v>1</v>
          </cell>
          <cell r="H744">
            <v>40</v>
          </cell>
          <cell r="I744">
            <v>5</v>
          </cell>
          <cell r="J744">
            <v>230</v>
          </cell>
        </row>
        <row r="745">
          <cell r="F745">
            <v>697</v>
          </cell>
          <cell r="G745">
            <v>1</v>
          </cell>
          <cell r="H745">
            <v>40</v>
          </cell>
          <cell r="I745">
            <v>6</v>
          </cell>
          <cell r="J745">
            <v>231</v>
          </cell>
        </row>
        <row r="746">
          <cell r="F746">
            <v>698</v>
          </cell>
          <cell r="G746">
            <v>1</v>
          </cell>
          <cell r="H746">
            <v>40</v>
          </cell>
          <cell r="I746">
            <v>7</v>
          </cell>
          <cell r="J746">
            <v>488</v>
          </cell>
        </row>
        <row r="747">
          <cell r="F747">
            <v>699</v>
          </cell>
          <cell r="G747">
            <v>1</v>
          </cell>
          <cell r="H747">
            <v>40</v>
          </cell>
          <cell r="I747">
            <v>8</v>
          </cell>
          <cell r="J747">
            <v>408</v>
          </cell>
        </row>
        <row r="748">
          <cell r="F748">
            <v>700</v>
          </cell>
          <cell r="G748">
            <v>1</v>
          </cell>
          <cell r="H748">
            <v>40</v>
          </cell>
          <cell r="I748">
            <v>9</v>
          </cell>
          <cell r="J748">
            <v>357</v>
          </cell>
        </row>
        <row r="749">
          <cell r="F749">
            <v>701</v>
          </cell>
          <cell r="G749">
            <v>1</v>
          </cell>
          <cell r="H749">
            <v>40</v>
          </cell>
          <cell r="I749">
            <v>10</v>
          </cell>
          <cell r="J749">
            <v>349</v>
          </cell>
        </row>
        <row r="750">
          <cell r="F750">
            <v>702</v>
          </cell>
          <cell r="G750">
            <v>1</v>
          </cell>
          <cell r="H750">
            <v>40</v>
          </cell>
          <cell r="I750">
            <v>11</v>
          </cell>
          <cell r="J750">
            <v>430</v>
          </cell>
        </row>
        <row r="751">
          <cell r="F751">
            <v>703</v>
          </cell>
          <cell r="G751">
            <v>1</v>
          </cell>
          <cell r="H751">
            <v>40</v>
          </cell>
          <cell r="I751">
            <v>12</v>
          </cell>
          <cell r="J751">
            <v>277</v>
          </cell>
        </row>
        <row r="752">
          <cell r="F752">
            <v>0</v>
          </cell>
          <cell r="G752">
            <v>0</v>
          </cell>
          <cell r="H752">
            <v>0</v>
          </cell>
          <cell r="I752">
            <v>0</v>
          </cell>
          <cell r="J752">
            <v>0</v>
          </cell>
        </row>
        <row r="753">
          <cell r="F753">
            <v>0</v>
          </cell>
          <cell r="G753">
            <v>0</v>
          </cell>
          <cell r="H753">
            <v>0</v>
          </cell>
          <cell r="I753">
            <v>0</v>
          </cell>
          <cell r="J753">
            <v>0</v>
          </cell>
        </row>
        <row r="754">
          <cell r="F754">
            <v>704</v>
          </cell>
          <cell r="G754">
            <v>1</v>
          </cell>
          <cell r="H754">
            <v>40</v>
          </cell>
          <cell r="I754">
            <v>15</v>
          </cell>
          <cell r="J754">
            <v>240</v>
          </cell>
        </row>
        <row r="755">
          <cell r="F755">
            <v>705</v>
          </cell>
          <cell r="G755">
            <v>1</v>
          </cell>
          <cell r="H755">
            <v>40</v>
          </cell>
          <cell r="I755">
            <v>16</v>
          </cell>
          <cell r="J755">
            <v>261</v>
          </cell>
        </row>
        <row r="756">
          <cell r="F756">
            <v>706</v>
          </cell>
          <cell r="G756">
            <v>1</v>
          </cell>
          <cell r="H756">
            <v>40</v>
          </cell>
          <cell r="I756">
            <v>17</v>
          </cell>
          <cell r="J756">
            <v>260</v>
          </cell>
        </row>
        <row r="757">
          <cell r="F757">
            <v>707</v>
          </cell>
          <cell r="G757">
            <v>1</v>
          </cell>
          <cell r="H757">
            <v>40</v>
          </cell>
          <cell r="I757">
            <v>18</v>
          </cell>
          <cell r="J757">
            <v>266</v>
          </cell>
        </row>
        <row r="758">
          <cell r="F758">
            <v>708</v>
          </cell>
          <cell r="G758">
            <v>1</v>
          </cell>
          <cell r="H758">
            <v>40</v>
          </cell>
          <cell r="I758">
            <v>19</v>
          </cell>
          <cell r="J758">
            <v>316</v>
          </cell>
        </row>
        <row r="759">
          <cell r="F759">
            <v>709</v>
          </cell>
          <cell r="G759">
            <v>1</v>
          </cell>
          <cell r="H759">
            <v>40</v>
          </cell>
          <cell r="I759">
            <v>20</v>
          </cell>
          <cell r="J759">
            <v>340</v>
          </cell>
        </row>
        <row r="760">
          <cell r="F760">
            <v>710</v>
          </cell>
          <cell r="G760">
            <v>1</v>
          </cell>
          <cell r="H760">
            <v>40</v>
          </cell>
          <cell r="I760">
            <v>21</v>
          </cell>
          <cell r="J760">
            <v>331</v>
          </cell>
        </row>
        <row r="761">
          <cell r="F761">
            <v>711</v>
          </cell>
          <cell r="G761">
            <v>1</v>
          </cell>
          <cell r="H761">
            <v>40</v>
          </cell>
          <cell r="I761">
            <v>22</v>
          </cell>
          <cell r="J761">
            <v>279</v>
          </cell>
        </row>
        <row r="762">
          <cell r="F762">
            <v>712</v>
          </cell>
          <cell r="G762">
            <v>1</v>
          </cell>
          <cell r="H762">
            <v>40</v>
          </cell>
          <cell r="I762">
            <v>23</v>
          </cell>
          <cell r="J762">
            <v>243</v>
          </cell>
        </row>
        <row r="763">
          <cell r="F763">
            <v>0</v>
          </cell>
          <cell r="G763">
            <v>0</v>
          </cell>
          <cell r="H763">
            <v>0</v>
          </cell>
          <cell r="I763">
            <v>0</v>
          </cell>
          <cell r="J763">
            <v>0</v>
          </cell>
        </row>
        <row r="764">
          <cell r="F764">
            <v>713</v>
          </cell>
          <cell r="G764">
            <v>1</v>
          </cell>
          <cell r="H764">
            <v>40</v>
          </cell>
          <cell r="I764">
            <v>25</v>
          </cell>
          <cell r="J764">
            <v>269</v>
          </cell>
        </row>
        <row r="765">
          <cell r="F765">
            <v>714</v>
          </cell>
          <cell r="G765">
            <v>1</v>
          </cell>
          <cell r="H765">
            <v>40</v>
          </cell>
          <cell r="I765">
            <v>26</v>
          </cell>
          <cell r="J765">
            <v>361</v>
          </cell>
        </row>
        <row r="766">
          <cell r="F766">
            <v>715</v>
          </cell>
          <cell r="G766">
            <v>1</v>
          </cell>
          <cell r="H766">
            <v>40</v>
          </cell>
          <cell r="I766">
            <v>27</v>
          </cell>
          <cell r="J766">
            <v>267</v>
          </cell>
        </row>
        <row r="767">
          <cell r="F767">
            <v>716</v>
          </cell>
          <cell r="G767">
            <v>1</v>
          </cell>
          <cell r="H767">
            <v>40</v>
          </cell>
          <cell r="I767">
            <v>28</v>
          </cell>
          <cell r="J767">
            <v>259</v>
          </cell>
        </row>
        <row r="768">
          <cell r="F768">
            <v>717</v>
          </cell>
          <cell r="G768">
            <v>1</v>
          </cell>
          <cell r="H768">
            <v>40</v>
          </cell>
          <cell r="I768">
            <v>29</v>
          </cell>
          <cell r="J768">
            <v>249</v>
          </cell>
        </row>
        <row r="769">
          <cell r="F769">
            <v>718</v>
          </cell>
          <cell r="G769">
            <v>1</v>
          </cell>
          <cell r="H769">
            <v>40</v>
          </cell>
          <cell r="I769">
            <v>30</v>
          </cell>
          <cell r="J769">
            <v>241</v>
          </cell>
        </row>
        <row r="770">
          <cell r="F770">
            <v>719</v>
          </cell>
          <cell r="G770">
            <v>1</v>
          </cell>
          <cell r="H770">
            <v>40</v>
          </cell>
          <cell r="I770">
            <v>31</v>
          </cell>
          <cell r="J770">
            <v>241</v>
          </cell>
        </row>
        <row r="771">
          <cell r="F771">
            <v>720</v>
          </cell>
          <cell r="G771">
            <v>1</v>
          </cell>
          <cell r="H771">
            <v>40</v>
          </cell>
          <cell r="I771">
            <v>32</v>
          </cell>
          <cell r="J771">
            <v>241</v>
          </cell>
        </row>
        <row r="772">
          <cell r="F772">
            <v>721</v>
          </cell>
          <cell r="G772">
            <v>1</v>
          </cell>
          <cell r="H772">
            <v>40</v>
          </cell>
          <cell r="I772">
            <v>33</v>
          </cell>
          <cell r="J772">
            <v>242</v>
          </cell>
        </row>
        <row r="773">
          <cell r="F773">
            <v>722</v>
          </cell>
          <cell r="G773">
            <v>1</v>
          </cell>
          <cell r="H773">
            <v>40</v>
          </cell>
          <cell r="I773">
            <v>35</v>
          </cell>
          <cell r="J773">
            <v>242</v>
          </cell>
        </row>
        <row r="774">
          <cell r="F774">
            <v>723</v>
          </cell>
          <cell r="G774">
            <v>1</v>
          </cell>
          <cell r="H774">
            <v>40</v>
          </cell>
          <cell r="I774">
            <v>36</v>
          </cell>
          <cell r="J774">
            <v>242</v>
          </cell>
        </row>
        <row r="775">
          <cell r="F775">
            <v>724</v>
          </cell>
          <cell r="G775">
            <v>1</v>
          </cell>
          <cell r="H775">
            <v>40</v>
          </cell>
          <cell r="I775">
            <v>37</v>
          </cell>
          <cell r="J775">
            <v>241</v>
          </cell>
        </row>
        <row r="776">
          <cell r="F776">
            <v>725</v>
          </cell>
          <cell r="G776">
            <v>1</v>
          </cell>
          <cell r="H776">
            <v>40</v>
          </cell>
          <cell r="I776">
            <v>38</v>
          </cell>
          <cell r="J776">
            <v>242</v>
          </cell>
        </row>
        <row r="777">
          <cell r="F777">
            <v>726</v>
          </cell>
          <cell r="G777">
            <v>1</v>
          </cell>
          <cell r="H777">
            <v>40</v>
          </cell>
          <cell r="I777">
            <v>39</v>
          </cell>
          <cell r="J777">
            <v>241</v>
          </cell>
        </row>
        <row r="778">
          <cell r="F778">
            <v>727</v>
          </cell>
          <cell r="G778">
            <v>1</v>
          </cell>
          <cell r="H778">
            <v>40</v>
          </cell>
          <cell r="I778">
            <v>40</v>
          </cell>
          <cell r="J778">
            <v>242</v>
          </cell>
        </row>
        <row r="779">
          <cell r="F779">
            <v>728</v>
          </cell>
          <cell r="G779">
            <v>1</v>
          </cell>
          <cell r="H779">
            <v>40</v>
          </cell>
          <cell r="I779">
            <v>41</v>
          </cell>
          <cell r="J779">
            <v>241</v>
          </cell>
        </row>
        <row r="780">
          <cell r="F780">
            <v>729</v>
          </cell>
          <cell r="G780">
            <v>1</v>
          </cell>
          <cell r="H780">
            <v>40</v>
          </cell>
          <cell r="I780">
            <v>42</v>
          </cell>
          <cell r="J780">
            <v>242</v>
          </cell>
        </row>
        <row r="781">
          <cell r="F781">
            <v>730</v>
          </cell>
          <cell r="G781">
            <v>1</v>
          </cell>
          <cell r="H781">
            <v>40</v>
          </cell>
          <cell r="I781">
            <v>43</v>
          </cell>
          <cell r="J781">
            <v>241</v>
          </cell>
        </row>
        <row r="782">
          <cell r="F782">
            <v>731</v>
          </cell>
          <cell r="G782">
            <v>1</v>
          </cell>
          <cell r="H782">
            <v>40</v>
          </cell>
          <cell r="I782">
            <v>45</v>
          </cell>
          <cell r="J782">
            <v>242</v>
          </cell>
        </row>
        <row r="783">
          <cell r="F783">
            <v>732</v>
          </cell>
          <cell r="G783">
            <v>1</v>
          </cell>
          <cell r="H783">
            <v>40</v>
          </cell>
          <cell r="I783">
            <v>46</v>
          </cell>
          <cell r="J783">
            <v>241</v>
          </cell>
        </row>
        <row r="784">
          <cell r="F784">
            <v>733</v>
          </cell>
          <cell r="G784">
            <v>1</v>
          </cell>
          <cell r="H784">
            <v>40</v>
          </cell>
          <cell r="I784">
            <v>47</v>
          </cell>
          <cell r="J784">
            <v>241</v>
          </cell>
        </row>
        <row r="785">
          <cell r="F785">
            <v>734</v>
          </cell>
          <cell r="G785">
            <v>1</v>
          </cell>
          <cell r="H785">
            <v>40</v>
          </cell>
          <cell r="I785">
            <v>48</v>
          </cell>
          <cell r="J785">
            <v>241</v>
          </cell>
        </row>
        <row r="786">
          <cell r="F786">
            <v>735</v>
          </cell>
          <cell r="G786">
            <v>1</v>
          </cell>
          <cell r="H786">
            <v>40</v>
          </cell>
          <cell r="I786">
            <v>49</v>
          </cell>
          <cell r="J786">
            <v>241</v>
          </cell>
        </row>
        <row r="787">
          <cell r="F787">
            <v>736</v>
          </cell>
          <cell r="G787">
            <v>1</v>
          </cell>
          <cell r="H787">
            <v>40</v>
          </cell>
          <cell r="I787">
            <v>50</v>
          </cell>
          <cell r="J787">
            <v>432</v>
          </cell>
        </row>
        <row r="788">
          <cell r="F788">
            <v>737</v>
          </cell>
          <cell r="G788">
            <v>1</v>
          </cell>
          <cell r="H788">
            <v>41</v>
          </cell>
          <cell r="I788">
            <v>1</v>
          </cell>
          <cell r="J788">
            <v>348</v>
          </cell>
        </row>
        <row r="789">
          <cell r="F789">
            <v>738</v>
          </cell>
          <cell r="G789">
            <v>1</v>
          </cell>
          <cell r="H789">
            <v>41</v>
          </cell>
          <cell r="I789">
            <v>2</v>
          </cell>
          <cell r="J789">
            <v>273</v>
          </cell>
        </row>
        <row r="790">
          <cell r="F790">
            <v>739</v>
          </cell>
          <cell r="G790">
            <v>1</v>
          </cell>
          <cell r="H790">
            <v>41</v>
          </cell>
          <cell r="I790">
            <v>3</v>
          </cell>
          <cell r="J790">
            <v>252</v>
          </cell>
        </row>
        <row r="791">
          <cell r="F791">
            <v>740</v>
          </cell>
          <cell r="G791">
            <v>1</v>
          </cell>
          <cell r="H791">
            <v>41</v>
          </cell>
          <cell r="I791">
            <v>5</v>
          </cell>
          <cell r="J791">
            <v>255</v>
          </cell>
        </row>
        <row r="792">
          <cell r="F792">
            <v>741</v>
          </cell>
          <cell r="G792">
            <v>1</v>
          </cell>
          <cell r="H792">
            <v>41</v>
          </cell>
          <cell r="I792">
            <v>6</v>
          </cell>
          <cell r="J792">
            <v>257</v>
          </cell>
        </row>
        <row r="793">
          <cell r="F793">
            <v>742</v>
          </cell>
          <cell r="G793">
            <v>1</v>
          </cell>
          <cell r="H793">
            <v>41</v>
          </cell>
          <cell r="I793">
            <v>7</v>
          </cell>
          <cell r="J793">
            <v>255</v>
          </cell>
        </row>
        <row r="794">
          <cell r="F794">
            <v>743</v>
          </cell>
          <cell r="G794">
            <v>1</v>
          </cell>
          <cell r="H794">
            <v>41</v>
          </cell>
          <cell r="I794">
            <v>8</v>
          </cell>
          <cell r="J794">
            <v>252</v>
          </cell>
        </row>
        <row r="795">
          <cell r="F795">
            <v>744</v>
          </cell>
          <cell r="G795">
            <v>1</v>
          </cell>
          <cell r="H795">
            <v>41</v>
          </cell>
          <cell r="I795">
            <v>9</v>
          </cell>
          <cell r="J795">
            <v>255</v>
          </cell>
        </row>
        <row r="796">
          <cell r="F796">
            <v>745</v>
          </cell>
          <cell r="G796">
            <v>1</v>
          </cell>
          <cell r="H796">
            <v>41</v>
          </cell>
          <cell r="I796">
            <v>10</v>
          </cell>
          <cell r="J796">
            <v>251</v>
          </cell>
        </row>
        <row r="797">
          <cell r="F797">
            <v>746</v>
          </cell>
          <cell r="G797">
            <v>1</v>
          </cell>
          <cell r="H797">
            <v>41</v>
          </cell>
          <cell r="I797">
            <v>11</v>
          </cell>
          <cell r="J797">
            <v>279</v>
          </cell>
        </row>
        <row r="798">
          <cell r="F798">
            <v>747</v>
          </cell>
          <cell r="G798">
            <v>1</v>
          </cell>
          <cell r="H798">
            <v>41</v>
          </cell>
          <cell r="I798">
            <v>12</v>
          </cell>
          <cell r="J798">
            <v>469</v>
          </cell>
        </row>
        <row r="799">
          <cell r="F799">
            <v>0</v>
          </cell>
          <cell r="G799">
            <v>0</v>
          </cell>
          <cell r="H799">
            <v>0</v>
          </cell>
          <cell r="I799">
            <v>0</v>
          </cell>
          <cell r="J799">
            <v>0</v>
          </cell>
        </row>
        <row r="800">
          <cell r="F800">
            <v>748</v>
          </cell>
          <cell r="G800">
            <v>1</v>
          </cell>
          <cell r="H800">
            <v>41</v>
          </cell>
          <cell r="I800">
            <v>15</v>
          </cell>
          <cell r="J800">
            <v>263</v>
          </cell>
        </row>
        <row r="801">
          <cell r="F801">
            <v>749</v>
          </cell>
          <cell r="G801">
            <v>1</v>
          </cell>
          <cell r="H801">
            <v>41</v>
          </cell>
          <cell r="I801">
            <v>16</v>
          </cell>
          <cell r="J801">
            <v>262</v>
          </cell>
        </row>
        <row r="802">
          <cell r="F802">
            <v>750</v>
          </cell>
          <cell r="G802">
            <v>1</v>
          </cell>
          <cell r="H802">
            <v>41</v>
          </cell>
          <cell r="I802">
            <v>17</v>
          </cell>
          <cell r="J802">
            <v>267</v>
          </cell>
        </row>
        <row r="803">
          <cell r="F803">
            <v>751</v>
          </cell>
          <cell r="G803">
            <v>1</v>
          </cell>
          <cell r="H803">
            <v>41</v>
          </cell>
          <cell r="I803">
            <v>18</v>
          </cell>
          <cell r="J803">
            <v>311</v>
          </cell>
        </row>
        <row r="804">
          <cell r="F804">
            <v>752</v>
          </cell>
          <cell r="G804">
            <v>1</v>
          </cell>
          <cell r="H804">
            <v>41</v>
          </cell>
          <cell r="I804">
            <v>19</v>
          </cell>
          <cell r="J804">
            <v>255</v>
          </cell>
        </row>
        <row r="805">
          <cell r="F805">
            <v>753</v>
          </cell>
          <cell r="G805">
            <v>1</v>
          </cell>
          <cell r="H805">
            <v>41</v>
          </cell>
          <cell r="I805">
            <v>20</v>
          </cell>
          <cell r="J805">
            <v>247</v>
          </cell>
        </row>
        <row r="806">
          <cell r="F806">
            <v>754</v>
          </cell>
          <cell r="G806">
            <v>1</v>
          </cell>
          <cell r="H806">
            <v>41</v>
          </cell>
          <cell r="I806">
            <v>21</v>
          </cell>
          <cell r="J806">
            <v>265</v>
          </cell>
        </row>
        <row r="807">
          <cell r="F807">
            <v>755</v>
          </cell>
          <cell r="G807">
            <v>1</v>
          </cell>
          <cell r="H807">
            <v>41</v>
          </cell>
          <cell r="I807">
            <v>22</v>
          </cell>
          <cell r="J807">
            <v>296</v>
          </cell>
        </row>
        <row r="808">
          <cell r="F808">
            <v>756</v>
          </cell>
          <cell r="G808">
            <v>1</v>
          </cell>
          <cell r="H808">
            <v>41</v>
          </cell>
          <cell r="I808">
            <v>23</v>
          </cell>
          <cell r="J808">
            <v>286</v>
          </cell>
        </row>
        <row r="809">
          <cell r="F809">
            <v>757</v>
          </cell>
          <cell r="G809">
            <v>1</v>
          </cell>
          <cell r="H809">
            <v>41</v>
          </cell>
          <cell r="I809">
            <v>25</v>
          </cell>
          <cell r="J809">
            <v>264</v>
          </cell>
        </row>
        <row r="810">
          <cell r="F810">
            <v>758</v>
          </cell>
          <cell r="G810">
            <v>1</v>
          </cell>
          <cell r="H810">
            <v>41</v>
          </cell>
          <cell r="I810">
            <v>26</v>
          </cell>
          <cell r="J810">
            <v>279</v>
          </cell>
        </row>
        <row r="811">
          <cell r="F811">
            <v>759</v>
          </cell>
          <cell r="G811">
            <v>1</v>
          </cell>
          <cell r="H811">
            <v>41</v>
          </cell>
          <cell r="I811">
            <v>27</v>
          </cell>
          <cell r="J811">
            <v>296</v>
          </cell>
        </row>
        <row r="812">
          <cell r="F812">
            <v>760</v>
          </cell>
          <cell r="G812">
            <v>1</v>
          </cell>
          <cell r="H812">
            <v>41</v>
          </cell>
          <cell r="I812">
            <v>28</v>
          </cell>
          <cell r="J812">
            <v>504</v>
          </cell>
        </row>
        <row r="813">
          <cell r="F813">
            <v>761</v>
          </cell>
          <cell r="G813">
            <v>1</v>
          </cell>
          <cell r="H813">
            <v>41</v>
          </cell>
          <cell r="I813">
            <v>29</v>
          </cell>
          <cell r="J813">
            <v>390</v>
          </cell>
        </row>
        <row r="814">
          <cell r="F814">
            <v>762</v>
          </cell>
          <cell r="G814">
            <v>1</v>
          </cell>
          <cell r="H814">
            <v>41</v>
          </cell>
          <cell r="I814">
            <v>30</v>
          </cell>
          <cell r="J814">
            <v>295</v>
          </cell>
        </row>
        <row r="815">
          <cell r="F815">
            <v>763</v>
          </cell>
          <cell r="G815">
            <v>1</v>
          </cell>
          <cell r="H815">
            <v>41</v>
          </cell>
          <cell r="I815">
            <v>31</v>
          </cell>
          <cell r="J815">
            <v>289</v>
          </cell>
        </row>
        <row r="816">
          <cell r="F816">
            <v>764</v>
          </cell>
          <cell r="G816">
            <v>1</v>
          </cell>
          <cell r="H816">
            <v>41</v>
          </cell>
          <cell r="I816">
            <v>32</v>
          </cell>
          <cell r="J816">
            <v>284</v>
          </cell>
        </row>
        <row r="817">
          <cell r="F817">
            <v>765</v>
          </cell>
          <cell r="G817">
            <v>1</v>
          </cell>
          <cell r="H817">
            <v>41</v>
          </cell>
          <cell r="I817">
            <v>33</v>
          </cell>
          <cell r="J817">
            <v>279</v>
          </cell>
        </row>
        <row r="818">
          <cell r="F818">
            <v>766</v>
          </cell>
          <cell r="G818">
            <v>1</v>
          </cell>
          <cell r="H818">
            <v>41</v>
          </cell>
          <cell r="I818">
            <v>35</v>
          </cell>
          <cell r="J818">
            <v>328</v>
          </cell>
        </row>
        <row r="819">
          <cell r="F819">
            <v>767</v>
          </cell>
          <cell r="G819">
            <v>1</v>
          </cell>
          <cell r="H819">
            <v>41</v>
          </cell>
          <cell r="I819">
            <v>36</v>
          </cell>
          <cell r="J819">
            <v>501</v>
          </cell>
        </row>
        <row r="820">
          <cell r="F820">
            <v>768</v>
          </cell>
          <cell r="G820">
            <v>1</v>
          </cell>
          <cell r="H820">
            <v>41</v>
          </cell>
          <cell r="I820">
            <v>37</v>
          </cell>
          <cell r="J820">
            <v>373</v>
          </cell>
        </row>
        <row r="821">
          <cell r="F821">
            <v>769</v>
          </cell>
          <cell r="G821">
            <v>1</v>
          </cell>
          <cell r="H821">
            <v>41</v>
          </cell>
          <cell r="I821">
            <v>38</v>
          </cell>
          <cell r="J821">
            <v>318</v>
          </cell>
        </row>
        <row r="822">
          <cell r="F822">
            <v>770</v>
          </cell>
          <cell r="G822">
            <v>1</v>
          </cell>
          <cell r="H822">
            <v>41</v>
          </cell>
          <cell r="I822">
            <v>39</v>
          </cell>
          <cell r="J822">
            <v>303</v>
          </cell>
        </row>
        <row r="823">
          <cell r="F823">
            <v>771</v>
          </cell>
          <cell r="G823">
            <v>1</v>
          </cell>
          <cell r="H823">
            <v>41</v>
          </cell>
          <cell r="I823">
            <v>40</v>
          </cell>
          <cell r="J823">
            <v>295</v>
          </cell>
        </row>
        <row r="824">
          <cell r="F824">
            <v>772</v>
          </cell>
          <cell r="G824">
            <v>1</v>
          </cell>
          <cell r="H824">
            <v>41</v>
          </cell>
          <cell r="I824">
            <v>41</v>
          </cell>
          <cell r="J824">
            <v>479</v>
          </cell>
        </row>
        <row r="825">
          <cell r="F825">
            <v>773</v>
          </cell>
          <cell r="G825">
            <v>1</v>
          </cell>
          <cell r="H825">
            <v>42</v>
          </cell>
          <cell r="I825">
            <v>1</v>
          </cell>
          <cell r="J825">
            <v>330</v>
          </cell>
        </row>
        <row r="826">
          <cell r="F826">
            <v>774</v>
          </cell>
          <cell r="G826">
            <v>1</v>
          </cell>
          <cell r="H826">
            <v>42</v>
          </cell>
          <cell r="I826">
            <v>2</v>
          </cell>
          <cell r="J826">
            <v>261</v>
          </cell>
        </row>
        <row r="827">
          <cell r="F827">
            <v>775</v>
          </cell>
          <cell r="G827">
            <v>1</v>
          </cell>
          <cell r="H827">
            <v>42</v>
          </cell>
          <cell r="I827">
            <v>3</v>
          </cell>
          <cell r="J827">
            <v>251</v>
          </cell>
        </row>
        <row r="828">
          <cell r="F828">
            <v>0</v>
          </cell>
          <cell r="G828">
            <v>0</v>
          </cell>
          <cell r="H828">
            <v>0</v>
          </cell>
          <cell r="I828">
            <v>0</v>
          </cell>
          <cell r="J828">
            <v>0</v>
          </cell>
        </row>
        <row r="829">
          <cell r="F829">
            <v>776</v>
          </cell>
          <cell r="G829">
            <v>1</v>
          </cell>
          <cell r="H829">
            <v>42</v>
          </cell>
          <cell r="I829">
            <v>5</v>
          </cell>
          <cell r="J829">
            <v>251</v>
          </cell>
        </row>
        <row r="830">
          <cell r="F830">
            <v>777</v>
          </cell>
          <cell r="G830">
            <v>1</v>
          </cell>
          <cell r="H830">
            <v>42</v>
          </cell>
          <cell r="I830">
            <v>6</v>
          </cell>
          <cell r="J830">
            <v>234</v>
          </cell>
        </row>
        <row r="831">
          <cell r="F831">
            <v>778</v>
          </cell>
          <cell r="G831">
            <v>1</v>
          </cell>
          <cell r="H831">
            <v>42</v>
          </cell>
          <cell r="I831">
            <v>7</v>
          </cell>
          <cell r="J831">
            <v>252</v>
          </cell>
        </row>
        <row r="832">
          <cell r="F832">
            <v>779</v>
          </cell>
          <cell r="G832">
            <v>1</v>
          </cell>
          <cell r="H832">
            <v>42</v>
          </cell>
          <cell r="I832">
            <v>8</v>
          </cell>
          <cell r="J832">
            <v>234</v>
          </cell>
        </row>
        <row r="833">
          <cell r="F833">
            <v>780</v>
          </cell>
          <cell r="G833">
            <v>1</v>
          </cell>
          <cell r="H833">
            <v>42</v>
          </cell>
          <cell r="I833">
            <v>9</v>
          </cell>
          <cell r="J833">
            <v>311</v>
          </cell>
        </row>
        <row r="834">
          <cell r="F834">
            <v>781</v>
          </cell>
          <cell r="G834">
            <v>1</v>
          </cell>
          <cell r="H834">
            <v>42</v>
          </cell>
          <cell r="I834">
            <v>10</v>
          </cell>
          <cell r="J834">
            <v>267</v>
          </cell>
        </row>
        <row r="835">
          <cell r="F835">
            <v>782</v>
          </cell>
          <cell r="G835">
            <v>1</v>
          </cell>
          <cell r="H835">
            <v>42</v>
          </cell>
          <cell r="I835">
            <v>11</v>
          </cell>
          <cell r="J835">
            <v>376</v>
          </cell>
        </row>
        <row r="836">
          <cell r="F836">
            <v>783</v>
          </cell>
          <cell r="G836">
            <v>1</v>
          </cell>
          <cell r="H836">
            <v>42</v>
          </cell>
          <cell r="I836">
            <v>12</v>
          </cell>
          <cell r="J836">
            <v>287</v>
          </cell>
        </row>
        <row r="837">
          <cell r="F837">
            <v>784</v>
          </cell>
          <cell r="G837">
            <v>1</v>
          </cell>
          <cell r="H837">
            <v>42</v>
          </cell>
          <cell r="I837">
            <v>15</v>
          </cell>
          <cell r="J837">
            <v>259</v>
          </cell>
        </row>
        <row r="838">
          <cell r="F838">
            <v>785</v>
          </cell>
          <cell r="G838">
            <v>1</v>
          </cell>
          <cell r="H838">
            <v>42</v>
          </cell>
          <cell r="I838">
            <v>16</v>
          </cell>
          <cell r="J838">
            <v>234</v>
          </cell>
        </row>
        <row r="839">
          <cell r="F839">
            <v>786</v>
          </cell>
          <cell r="G839">
            <v>1</v>
          </cell>
          <cell r="H839">
            <v>42</v>
          </cell>
          <cell r="I839">
            <v>17</v>
          </cell>
          <cell r="J839">
            <v>252</v>
          </cell>
        </row>
        <row r="840">
          <cell r="F840">
            <v>787</v>
          </cell>
          <cell r="G840">
            <v>1</v>
          </cell>
          <cell r="H840">
            <v>42</v>
          </cell>
          <cell r="I840">
            <v>18</v>
          </cell>
          <cell r="J840">
            <v>381</v>
          </cell>
        </row>
        <row r="841">
          <cell r="F841">
            <v>788</v>
          </cell>
          <cell r="G841">
            <v>1</v>
          </cell>
          <cell r="H841">
            <v>42</v>
          </cell>
          <cell r="I841">
            <v>19</v>
          </cell>
          <cell r="J841">
            <v>252</v>
          </cell>
        </row>
        <row r="842">
          <cell r="F842">
            <v>789</v>
          </cell>
          <cell r="G842">
            <v>1</v>
          </cell>
          <cell r="H842">
            <v>42</v>
          </cell>
          <cell r="I842">
            <v>20</v>
          </cell>
          <cell r="J842">
            <v>310</v>
          </cell>
        </row>
        <row r="843">
          <cell r="F843">
            <v>790</v>
          </cell>
          <cell r="G843">
            <v>1</v>
          </cell>
          <cell r="H843">
            <v>42</v>
          </cell>
          <cell r="I843">
            <v>21</v>
          </cell>
          <cell r="J843">
            <v>324</v>
          </cell>
        </row>
        <row r="844">
          <cell r="F844">
            <v>791</v>
          </cell>
          <cell r="G844">
            <v>1</v>
          </cell>
          <cell r="H844">
            <v>42</v>
          </cell>
          <cell r="I844">
            <v>22</v>
          </cell>
          <cell r="J844">
            <v>279</v>
          </cell>
        </row>
        <row r="845">
          <cell r="F845">
            <v>792</v>
          </cell>
          <cell r="G845">
            <v>1</v>
          </cell>
          <cell r="H845">
            <v>42</v>
          </cell>
          <cell r="I845">
            <v>23</v>
          </cell>
          <cell r="J845">
            <v>389</v>
          </cell>
        </row>
        <row r="846">
          <cell r="F846">
            <v>0</v>
          </cell>
          <cell r="G846">
            <v>0</v>
          </cell>
          <cell r="H846">
            <v>0</v>
          </cell>
          <cell r="I846">
            <v>0</v>
          </cell>
          <cell r="J846">
            <v>0</v>
          </cell>
        </row>
        <row r="847">
          <cell r="F847">
            <v>0</v>
          </cell>
          <cell r="G847">
            <v>0</v>
          </cell>
          <cell r="H847">
            <v>0</v>
          </cell>
          <cell r="I847">
            <v>0</v>
          </cell>
          <cell r="J847">
            <v>0</v>
          </cell>
        </row>
        <row r="848">
          <cell r="F848">
            <v>793</v>
          </cell>
          <cell r="G848">
            <v>1</v>
          </cell>
          <cell r="H848">
            <v>45</v>
          </cell>
          <cell r="I848">
            <v>1</v>
          </cell>
          <cell r="J848">
            <v>407</v>
          </cell>
        </row>
        <row r="849">
          <cell r="F849">
            <v>794</v>
          </cell>
          <cell r="G849">
            <v>1</v>
          </cell>
          <cell r="H849">
            <v>45</v>
          </cell>
          <cell r="I849">
            <v>2</v>
          </cell>
          <cell r="J849">
            <v>299</v>
          </cell>
        </row>
        <row r="850">
          <cell r="F850">
            <v>795</v>
          </cell>
          <cell r="G850">
            <v>1</v>
          </cell>
          <cell r="H850">
            <v>45</v>
          </cell>
          <cell r="I850">
            <v>3</v>
          </cell>
          <cell r="J850">
            <v>312</v>
          </cell>
        </row>
        <row r="851">
          <cell r="F851">
            <v>0</v>
          </cell>
          <cell r="G851">
            <v>0</v>
          </cell>
          <cell r="H851">
            <v>0</v>
          </cell>
          <cell r="I851">
            <v>0</v>
          </cell>
          <cell r="J851">
            <v>0</v>
          </cell>
        </row>
        <row r="852">
          <cell r="F852">
            <v>796</v>
          </cell>
          <cell r="G852">
            <v>1</v>
          </cell>
          <cell r="H852">
            <v>45</v>
          </cell>
          <cell r="I852">
            <v>5</v>
          </cell>
          <cell r="J852">
            <v>303</v>
          </cell>
        </row>
        <row r="853">
          <cell r="F853">
            <v>797</v>
          </cell>
          <cell r="G853">
            <v>1</v>
          </cell>
          <cell r="H853">
            <v>45</v>
          </cell>
          <cell r="I853">
            <v>6</v>
          </cell>
          <cell r="J853">
            <v>308</v>
          </cell>
        </row>
        <row r="854">
          <cell r="F854">
            <v>798</v>
          </cell>
          <cell r="G854">
            <v>1</v>
          </cell>
          <cell r="H854">
            <v>45</v>
          </cell>
          <cell r="I854">
            <v>7</v>
          </cell>
          <cell r="J854">
            <v>478</v>
          </cell>
        </row>
        <row r="855">
          <cell r="F855">
            <v>799</v>
          </cell>
          <cell r="G855">
            <v>1</v>
          </cell>
          <cell r="H855">
            <v>45</v>
          </cell>
          <cell r="I855">
            <v>8</v>
          </cell>
          <cell r="J855">
            <v>290</v>
          </cell>
        </row>
        <row r="856">
          <cell r="F856">
            <v>800</v>
          </cell>
          <cell r="G856">
            <v>1</v>
          </cell>
          <cell r="H856">
            <v>45</v>
          </cell>
          <cell r="I856">
            <v>9</v>
          </cell>
          <cell r="J856">
            <v>236</v>
          </cell>
        </row>
        <row r="857">
          <cell r="F857">
            <v>801</v>
          </cell>
          <cell r="G857">
            <v>1</v>
          </cell>
          <cell r="H857">
            <v>45</v>
          </cell>
          <cell r="I857">
            <v>10</v>
          </cell>
          <cell r="J857">
            <v>233</v>
          </cell>
        </row>
        <row r="858">
          <cell r="F858">
            <v>802</v>
          </cell>
          <cell r="G858">
            <v>1</v>
          </cell>
          <cell r="H858">
            <v>45</v>
          </cell>
          <cell r="I858">
            <v>11</v>
          </cell>
          <cell r="J858">
            <v>233</v>
          </cell>
        </row>
        <row r="859">
          <cell r="F859">
            <v>803</v>
          </cell>
          <cell r="G859">
            <v>1</v>
          </cell>
          <cell r="H859">
            <v>45</v>
          </cell>
          <cell r="I859">
            <v>12</v>
          </cell>
          <cell r="J859">
            <v>233</v>
          </cell>
        </row>
        <row r="860">
          <cell r="F860">
            <v>804</v>
          </cell>
          <cell r="G860">
            <v>1</v>
          </cell>
          <cell r="H860">
            <v>45</v>
          </cell>
          <cell r="I860">
            <v>15</v>
          </cell>
          <cell r="J860">
            <v>234</v>
          </cell>
        </row>
        <row r="861">
          <cell r="F861">
            <v>805</v>
          </cell>
          <cell r="G861">
            <v>1</v>
          </cell>
          <cell r="H861">
            <v>45</v>
          </cell>
          <cell r="I861">
            <v>16</v>
          </cell>
          <cell r="J861">
            <v>233</v>
          </cell>
        </row>
        <row r="862">
          <cell r="F862">
            <v>806</v>
          </cell>
          <cell r="G862">
            <v>1</v>
          </cell>
          <cell r="H862">
            <v>45</v>
          </cell>
          <cell r="I862">
            <v>17</v>
          </cell>
          <cell r="J862">
            <v>233</v>
          </cell>
        </row>
        <row r="863">
          <cell r="F863">
            <v>807</v>
          </cell>
          <cell r="G863">
            <v>1</v>
          </cell>
          <cell r="H863">
            <v>45</v>
          </cell>
          <cell r="I863">
            <v>18</v>
          </cell>
          <cell r="J863">
            <v>233</v>
          </cell>
        </row>
        <row r="864">
          <cell r="F864">
            <v>808</v>
          </cell>
          <cell r="G864">
            <v>1</v>
          </cell>
          <cell r="H864">
            <v>45</v>
          </cell>
          <cell r="I864">
            <v>19</v>
          </cell>
          <cell r="J864">
            <v>238</v>
          </cell>
        </row>
        <row r="865">
          <cell r="F865">
            <v>809</v>
          </cell>
          <cell r="G865">
            <v>1</v>
          </cell>
          <cell r="H865">
            <v>45</v>
          </cell>
          <cell r="I865">
            <v>20</v>
          </cell>
          <cell r="J865">
            <v>257</v>
          </cell>
        </row>
        <row r="866">
          <cell r="F866">
            <v>810</v>
          </cell>
          <cell r="G866">
            <v>1</v>
          </cell>
          <cell r="H866">
            <v>46</v>
          </cell>
          <cell r="I866">
            <v>1</v>
          </cell>
          <cell r="J866">
            <v>402</v>
          </cell>
        </row>
        <row r="867">
          <cell r="F867">
            <v>811</v>
          </cell>
          <cell r="G867">
            <v>1</v>
          </cell>
          <cell r="H867">
            <v>46</v>
          </cell>
          <cell r="I867">
            <v>2</v>
          </cell>
          <cell r="J867">
            <v>366</v>
          </cell>
        </row>
        <row r="868">
          <cell r="F868">
            <v>812</v>
          </cell>
          <cell r="G868">
            <v>1</v>
          </cell>
          <cell r="H868">
            <v>46</v>
          </cell>
          <cell r="I868">
            <v>3</v>
          </cell>
          <cell r="J868">
            <v>268</v>
          </cell>
        </row>
        <row r="869">
          <cell r="F869">
            <v>0</v>
          </cell>
          <cell r="G869">
            <v>0</v>
          </cell>
          <cell r="H869">
            <v>0</v>
          </cell>
          <cell r="I869">
            <v>0</v>
          </cell>
          <cell r="J869">
            <v>0</v>
          </cell>
        </row>
        <row r="870">
          <cell r="F870">
            <v>813</v>
          </cell>
          <cell r="G870">
            <v>1</v>
          </cell>
          <cell r="H870">
            <v>46</v>
          </cell>
          <cell r="I870">
            <v>5</v>
          </cell>
          <cell r="J870">
            <v>248</v>
          </cell>
        </row>
        <row r="871">
          <cell r="F871">
            <v>814</v>
          </cell>
          <cell r="G871">
            <v>1</v>
          </cell>
          <cell r="H871">
            <v>46</v>
          </cell>
          <cell r="I871">
            <v>6</v>
          </cell>
          <cell r="J871">
            <v>263</v>
          </cell>
        </row>
        <row r="872">
          <cell r="F872">
            <v>815</v>
          </cell>
          <cell r="G872">
            <v>1</v>
          </cell>
          <cell r="H872">
            <v>46</v>
          </cell>
          <cell r="I872">
            <v>7</v>
          </cell>
          <cell r="J872">
            <v>236</v>
          </cell>
        </row>
        <row r="873">
          <cell r="F873">
            <v>816</v>
          </cell>
          <cell r="G873">
            <v>1</v>
          </cell>
          <cell r="H873">
            <v>46</v>
          </cell>
          <cell r="I873">
            <v>8</v>
          </cell>
          <cell r="J873">
            <v>249</v>
          </cell>
        </row>
        <row r="874">
          <cell r="F874">
            <v>817</v>
          </cell>
          <cell r="G874">
            <v>1</v>
          </cell>
          <cell r="H874">
            <v>46</v>
          </cell>
          <cell r="I874">
            <v>9</v>
          </cell>
          <cell r="J874">
            <v>227</v>
          </cell>
        </row>
        <row r="875">
          <cell r="F875">
            <v>818</v>
          </cell>
          <cell r="G875">
            <v>1</v>
          </cell>
          <cell r="H875">
            <v>46</v>
          </cell>
          <cell r="I875">
            <v>10</v>
          </cell>
          <cell r="J875">
            <v>233</v>
          </cell>
        </row>
        <row r="876">
          <cell r="F876">
            <v>819</v>
          </cell>
          <cell r="G876">
            <v>1</v>
          </cell>
          <cell r="H876">
            <v>46</v>
          </cell>
          <cell r="I876">
            <v>11</v>
          </cell>
          <cell r="J876">
            <v>230</v>
          </cell>
        </row>
        <row r="877">
          <cell r="F877">
            <v>820</v>
          </cell>
          <cell r="G877">
            <v>1</v>
          </cell>
          <cell r="H877">
            <v>46</v>
          </cell>
          <cell r="I877">
            <v>12</v>
          </cell>
          <cell r="J877">
            <v>249</v>
          </cell>
        </row>
        <row r="878">
          <cell r="F878">
            <v>821</v>
          </cell>
          <cell r="G878">
            <v>1</v>
          </cell>
          <cell r="H878">
            <v>46</v>
          </cell>
          <cell r="I878">
            <v>15</v>
          </cell>
          <cell r="J878">
            <v>239</v>
          </cell>
        </row>
        <row r="879">
          <cell r="F879">
            <v>822</v>
          </cell>
          <cell r="G879">
            <v>1</v>
          </cell>
          <cell r="H879">
            <v>46</v>
          </cell>
          <cell r="I879">
            <v>16</v>
          </cell>
          <cell r="J879">
            <v>240</v>
          </cell>
        </row>
        <row r="880">
          <cell r="F880">
            <v>823</v>
          </cell>
          <cell r="G880">
            <v>1</v>
          </cell>
          <cell r="H880">
            <v>46</v>
          </cell>
          <cell r="I880">
            <v>17</v>
          </cell>
          <cell r="J880">
            <v>255</v>
          </cell>
        </row>
        <row r="881">
          <cell r="F881">
            <v>824</v>
          </cell>
          <cell r="G881">
            <v>1</v>
          </cell>
          <cell r="H881">
            <v>46</v>
          </cell>
          <cell r="I881">
            <v>18</v>
          </cell>
          <cell r="J881">
            <v>244</v>
          </cell>
        </row>
        <row r="882">
          <cell r="F882">
            <v>825</v>
          </cell>
          <cell r="G882">
            <v>1</v>
          </cell>
          <cell r="H882">
            <v>46</v>
          </cell>
          <cell r="I882">
            <v>19</v>
          </cell>
          <cell r="J882">
            <v>329</v>
          </cell>
        </row>
        <row r="883">
          <cell r="F883">
            <v>826</v>
          </cell>
          <cell r="G883">
            <v>1</v>
          </cell>
          <cell r="H883">
            <v>46</v>
          </cell>
          <cell r="I883">
            <v>20</v>
          </cell>
          <cell r="J883">
            <v>253</v>
          </cell>
        </row>
        <row r="884">
          <cell r="F884">
            <v>827</v>
          </cell>
          <cell r="G884">
            <v>1</v>
          </cell>
          <cell r="H884">
            <v>46</v>
          </cell>
          <cell r="I884">
            <v>21</v>
          </cell>
          <cell r="J884">
            <v>309</v>
          </cell>
        </row>
        <row r="885">
          <cell r="F885">
            <v>828</v>
          </cell>
          <cell r="G885">
            <v>1</v>
          </cell>
          <cell r="H885">
            <v>47</v>
          </cell>
          <cell r="I885">
            <v>1</v>
          </cell>
          <cell r="J885">
            <v>332</v>
          </cell>
        </row>
        <row r="886">
          <cell r="F886">
            <v>829</v>
          </cell>
          <cell r="G886">
            <v>1</v>
          </cell>
          <cell r="H886">
            <v>47</v>
          </cell>
          <cell r="I886">
            <v>2</v>
          </cell>
          <cell r="J886">
            <v>270</v>
          </cell>
        </row>
        <row r="887">
          <cell r="F887">
            <v>830</v>
          </cell>
          <cell r="G887">
            <v>1</v>
          </cell>
          <cell r="H887">
            <v>47</v>
          </cell>
          <cell r="I887">
            <v>3</v>
          </cell>
          <cell r="J887">
            <v>264</v>
          </cell>
        </row>
        <row r="888">
          <cell r="F888">
            <v>0</v>
          </cell>
          <cell r="G888">
            <v>0</v>
          </cell>
          <cell r="H888">
            <v>0</v>
          </cell>
          <cell r="I888">
            <v>0</v>
          </cell>
          <cell r="J888">
            <v>0</v>
          </cell>
        </row>
        <row r="889">
          <cell r="F889">
            <v>831</v>
          </cell>
          <cell r="G889">
            <v>1</v>
          </cell>
          <cell r="H889">
            <v>47</v>
          </cell>
          <cell r="I889">
            <v>5</v>
          </cell>
          <cell r="J889">
            <v>253</v>
          </cell>
        </row>
        <row r="890">
          <cell r="F890">
            <v>832</v>
          </cell>
          <cell r="G890">
            <v>1</v>
          </cell>
          <cell r="H890">
            <v>47</v>
          </cell>
          <cell r="I890">
            <v>6</v>
          </cell>
          <cell r="J890">
            <v>255</v>
          </cell>
        </row>
        <row r="891">
          <cell r="F891">
            <v>833</v>
          </cell>
          <cell r="G891">
            <v>1</v>
          </cell>
          <cell r="H891">
            <v>47</v>
          </cell>
          <cell r="I891">
            <v>7</v>
          </cell>
          <cell r="J891">
            <v>252</v>
          </cell>
        </row>
        <row r="892">
          <cell r="F892">
            <v>834</v>
          </cell>
          <cell r="G892">
            <v>1</v>
          </cell>
          <cell r="H892">
            <v>47</v>
          </cell>
          <cell r="I892">
            <v>8</v>
          </cell>
          <cell r="J892">
            <v>252</v>
          </cell>
        </row>
        <row r="893">
          <cell r="F893">
            <v>835</v>
          </cell>
          <cell r="G893">
            <v>1</v>
          </cell>
          <cell r="H893">
            <v>47</v>
          </cell>
          <cell r="I893">
            <v>9</v>
          </cell>
          <cell r="J893">
            <v>259</v>
          </cell>
        </row>
        <row r="894">
          <cell r="F894">
            <v>836</v>
          </cell>
          <cell r="G894">
            <v>1</v>
          </cell>
          <cell r="H894">
            <v>47</v>
          </cell>
          <cell r="I894">
            <v>10</v>
          </cell>
          <cell r="J894">
            <v>273</v>
          </cell>
        </row>
        <row r="895">
          <cell r="F895">
            <v>837</v>
          </cell>
          <cell r="G895">
            <v>1</v>
          </cell>
          <cell r="H895">
            <v>47</v>
          </cell>
          <cell r="I895">
            <v>11</v>
          </cell>
          <cell r="J895">
            <v>262</v>
          </cell>
        </row>
        <row r="896">
          <cell r="F896">
            <v>838</v>
          </cell>
          <cell r="G896">
            <v>1</v>
          </cell>
          <cell r="H896">
            <v>47</v>
          </cell>
          <cell r="I896">
            <v>12</v>
          </cell>
          <cell r="J896">
            <v>469</v>
          </cell>
        </row>
        <row r="897">
          <cell r="F897">
            <v>839</v>
          </cell>
          <cell r="G897">
            <v>1</v>
          </cell>
          <cell r="H897">
            <v>47</v>
          </cell>
          <cell r="I897">
            <v>15</v>
          </cell>
          <cell r="J897">
            <v>326</v>
          </cell>
        </row>
        <row r="898">
          <cell r="F898">
            <v>840</v>
          </cell>
          <cell r="G898">
            <v>1</v>
          </cell>
          <cell r="H898">
            <v>47</v>
          </cell>
          <cell r="I898">
            <v>16</v>
          </cell>
          <cell r="J898">
            <v>327</v>
          </cell>
        </row>
        <row r="899">
          <cell r="F899">
            <v>841</v>
          </cell>
          <cell r="G899">
            <v>1</v>
          </cell>
          <cell r="H899">
            <v>47</v>
          </cell>
          <cell r="I899">
            <v>17</v>
          </cell>
          <cell r="J899">
            <v>314</v>
          </cell>
        </row>
        <row r="900">
          <cell r="F900">
            <v>842</v>
          </cell>
          <cell r="G900">
            <v>1</v>
          </cell>
          <cell r="H900">
            <v>47</v>
          </cell>
          <cell r="I900">
            <v>18</v>
          </cell>
          <cell r="J900">
            <v>328</v>
          </cell>
        </row>
        <row r="901">
          <cell r="F901">
            <v>843</v>
          </cell>
          <cell r="G901">
            <v>1</v>
          </cell>
          <cell r="H901">
            <v>48</v>
          </cell>
          <cell r="I901">
            <v>1</v>
          </cell>
          <cell r="J901">
            <v>323</v>
          </cell>
        </row>
        <row r="902">
          <cell r="F902">
            <v>844</v>
          </cell>
          <cell r="G902">
            <v>1</v>
          </cell>
          <cell r="H902">
            <v>48</v>
          </cell>
          <cell r="I902">
            <v>2</v>
          </cell>
          <cell r="J902">
            <v>272</v>
          </cell>
        </row>
        <row r="903">
          <cell r="F903">
            <v>845</v>
          </cell>
          <cell r="G903">
            <v>1</v>
          </cell>
          <cell r="H903">
            <v>48</v>
          </cell>
          <cell r="I903">
            <v>3</v>
          </cell>
          <cell r="J903">
            <v>275</v>
          </cell>
        </row>
        <row r="904">
          <cell r="F904">
            <v>0</v>
          </cell>
          <cell r="G904">
            <v>0</v>
          </cell>
          <cell r="H904">
            <v>0</v>
          </cell>
          <cell r="I904">
            <v>0</v>
          </cell>
          <cell r="J904">
            <v>0</v>
          </cell>
        </row>
        <row r="905">
          <cell r="F905">
            <v>846</v>
          </cell>
          <cell r="G905">
            <v>1</v>
          </cell>
          <cell r="H905">
            <v>48</v>
          </cell>
          <cell r="I905">
            <v>5</v>
          </cell>
          <cell r="J905">
            <v>278</v>
          </cell>
        </row>
        <row r="906">
          <cell r="F906">
            <v>847</v>
          </cell>
          <cell r="G906">
            <v>1</v>
          </cell>
          <cell r="H906">
            <v>48</v>
          </cell>
          <cell r="I906">
            <v>6</v>
          </cell>
          <cell r="J906">
            <v>282</v>
          </cell>
        </row>
        <row r="907">
          <cell r="F907">
            <v>848</v>
          </cell>
          <cell r="G907">
            <v>1</v>
          </cell>
          <cell r="H907">
            <v>48</v>
          </cell>
          <cell r="I907">
            <v>7</v>
          </cell>
          <cell r="J907">
            <v>276</v>
          </cell>
        </row>
        <row r="908">
          <cell r="F908">
            <v>849</v>
          </cell>
          <cell r="G908">
            <v>1</v>
          </cell>
          <cell r="H908">
            <v>48</v>
          </cell>
          <cell r="I908">
            <v>8</v>
          </cell>
          <cell r="J908">
            <v>294</v>
          </cell>
        </row>
        <row r="909">
          <cell r="F909">
            <v>850</v>
          </cell>
          <cell r="G909">
            <v>1</v>
          </cell>
          <cell r="H909">
            <v>48</v>
          </cell>
          <cell r="I909">
            <v>9</v>
          </cell>
          <cell r="J909">
            <v>292</v>
          </cell>
        </row>
        <row r="910">
          <cell r="F910">
            <v>851</v>
          </cell>
          <cell r="G910">
            <v>1</v>
          </cell>
          <cell r="H910">
            <v>48</v>
          </cell>
          <cell r="I910">
            <v>10</v>
          </cell>
          <cell r="J910">
            <v>285</v>
          </cell>
        </row>
        <row r="911">
          <cell r="F911">
            <v>852</v>
          </cell>
          <cell r="G911">
            <v>1</v>
          </cell>
          <cell r="H911">
            <v>48</v>
          </cell>
          <cell r="I911">
            <v>11</v>
          </cell>
          <cell r="J911">
            <v>308</v>
          </cell>
        </row>
        <row r="912">
          <cell r="F912">
            <v>853</v>
          </cell>
          <cell r="G912">
            <v>1</v>
          </cell>
          <cell r="H912">
            <v>48</v>
          </cell>
          <cell r="I912">
            <v>12</v>
          </cell>
          <cell r="J912">
            <v>349</v>
          </cell>
        </row>
        <row r="913">
          <cell r="F913">
            <v>0</v>
          </cell>
          <cell r="G913">
            <v>0</v>
          </cell>
          <cell r="H913">
            <v>0</v>
          </cell>
          <cell r="I913">
            <v>0</v>
          </cell>
          <cell r="J913">
            <v>0</v>
          </cell>
        </row>
        <row r="914">
          <cell r="F914">
            <v>0</v>
          </cell>
          <cell r="G914">
            <v>0</v>
          </cell>
          <cell r="H914">
            <v>0</v>
          </cell>
          <cell r="I914">
            <v>0</v>
          </cell>
          <cell r="J914">
            <v>0</v>
          </cell>
        </row>
        <row r="915">
          <cell r="F915">
            <v>854</v>
          </cell>
          <cell r="G915">
            <v>1</v>
          </cell>
          <cell r="H915">
            <v>48</v>
          </cell>
          <cell r="I915">
            <v>15</v>
          </cell>
          <cell r="J915">
            <v>284</v>
          </cell>
        </row>
        <row r="916">
          <cell r="F916">
            <v>855</v>
          </cell>
          <cell r="G916">
            <v>1</v>
          </cell>
          <cell r="H916">
            <v>48</v>
          </cell>
          <cell r="I916">
            <v>16</v>
          </cell>
          <cell r="J916">
            <v>393</v>
          </cell>
        </row>
        <row r="917">
          <cell r="F917">
            <v>856</v>
          </cell>
          <cell r="G917">
            <v>1</v>
          </cell>
          <cell r="H917">
            <v>48</v>
          </cell>
          <cell r="I917">
            <v>17</v>
          </cell>
          <cell r="J917">
            <v>300</v>
          </cell>
        </row>
        <row r="918">
          <cell r="F918">
            <v>857</v>
          </cell>
          <cell r="G918">
            <v>1</v>
          </cell>
          <cell r="H918">
            <v>48</v>
          </cell>
          <cell r="I918">
            <v>18</v>
          </cell>
          <cell r="J918">
            <v>255</v>
          </cell>
        </row>
        <row r="919">
          <cell r="F919">
            <v>858</v>
          </cell>
          <cell r="G919">
            <v>1</v>
          </cell>
          <cell r="H919">
            <v>48</v>
          </cell>
          <cell r="I919">
            <v>19</v>
          </cell>
          <cell r="J919">
            <v>255</v>
          </cell>
        </row>
        <row r="920">
          <cell r="F920">
            <v>859</v>
          </cell>
          <cell r="G920">
            <v>1</v>
          </cell>
          <cell r="H920">
            <v>48</v>
          </cell>
          <cell r="I920">
            <v>20</v>
          </cell>
          <cell r="J920">
            <v>252</v>
          </cell>
        </row>
        <row r="921">
          <cell r="F921">
            <v>860</v>
          </cell>
          <cell r="G921">
            <v>1</v>
          </cell>
          <cell r="H921">
            <v>48</v>
          </cell>
          <cell r="I921">
            <v>21</v>
          </cell>
          <cell r="J921">
            <v>262</v>
          </cell>
        </row>
        <row r="922">
          <cell r="F922">
            <v>861</v>
          </cell>
          <cell r="G922">
            <v>1</v>
          </cell>
          <cell r="H922">
            <v>48</v>
          </cell>
          <cell r="I922">
            <v>22</v>
          </cell>
          <cell r="J922">
            <v>261</v>
          </cell>
        </row>
        <row r="923">
          <cell r="F923">
            <v>862</v>
          </cell>
          <cell r="G923">
            <v>1</v>
          </cell>
          <cell r="H923">
            <v>48</v>
          </cell>
          <cell r="I923">
            <v>23</v>
          </cell>
          <cell r="J923">
            <v>265</v>
          </cell>
        </row>
        <row r="924">
          <cell r="F924">
            <v>0</v>
          </cell>
          <cell r="G924">
            <v>0</v>
          </cell>
          <cell r="H924">
            <v>0</v>
          </cell>
          <cell r="I924">
            <v>0</v>
          </cell>
          <cell r="J924">
            <v>0</v>
          </cell>
        </row>
        <row r="925">
          <cell r="F925">
            <v>863</v>
          </cell>
          <cell r="G925">
            <v>1</v>
          </cell>
          <cell r="H925">
            <v>48</v>
          </cell>
          <cell r="I925">
            <v>25</v>
          </cell>
          <cell r="J925">
            <v>258</v>
          </cell>
        </row>
        <row r="926">
          <cell r="F926">
            <v>864</v>
          </cell>
          <cell r="G926">
            <v>1</v>
          </cell>
          <cell r="H926">
            <v>48</v>
          </cell>
          <cell r="I926">
            <v>26</v>
          </cell>
          <cell r="J926">
            <v>258</v>
          </cell>
        </row>
        <row r="927">
          <cell r="F927">
            <v>865</v>
          </cell>
          <cell r="G927">
            <v>1</v>
          </cell>
          <cell r="H927">
            <v>48</v>
          </cell>
          <cell r="I927">
            <v>27</v>
          </cell>
          <cell r="J927">
            <v>260</v>
          </cell>
        </row>
        <row r="928">
          <cell r="F928">
            <v>866</v>
          </cell>
          <cell r="G928">
            <v>1</v>
          </cell>
          <cell r="H928">
            <v>48</v>
          </cell>
          <cell r="I928">
            <v>28</v>
          </cell>
          <cell r="J928">
            <v>258</v>
          </cell>
        </row>
        <row r="929">
          <cell r="F929">
            <v>867</v>
          </cell>
          <cell r="G929">
            <v>1</v>
          </cell>
          <cell r="H929">
            <v>48</v>
          </cell>
          <cell r="I929">
            <v>29</v>
          </cell>
          <cell r="J929">
            <v>258</v>
          </cell>
        </row>
        <row r="930">
          <cell r="F930">
            <v>868</v>
          </cell>
          <cell r="G930">
            <v>1</v>
          </cell>
          <cell r="H930">
            <v>48</v>
          </cell>
          <cell r="I930">
            <v>30</v>
          </cell>
          <cell r="J930">
            <v>258</v>
          </cell>
        </row>
        <row r="931">
          <cell r="F931">
            <v>869</v>
          </cell>
          <cell r="G931">
            <v>1</v>
          </cell>
          <cell r="H931">
            <v>48</v>
          </cell>
          <cell r="I931">
            <v>31</v>
          </cell>
          <cell r="J931">
            <v>284</v>
          </cell>
        </row>
        <row r="932">
          <cell r="F932">
            <v>870</v>
          </cell>
          <cell r="G932">
            <v>1</v>
          </cell>
          <cell r="H932">
            <v>48</v>
          </cell>
          <cell r="I932">
            <v>32</v>
          </cell>
          <cell r="J932">
            <v>532</v>
          </cell>
        </row>
        <row r="933">
          <cell r="F933">
            <v>871</v>
          </cell>
          <cell r="G933">
            <v>1</v>
          </cell>
          <cell r="H933">
            <v>48</v>
          </cell>
          <cell r="I933">
            <v>33</v>
          </cell>
          <cell r="J933">
            <v>276</v>
          </cell>
        </row>
        <row r="934">
          <cell r="F934">
            <v>872</v>
          </cell>
          <cell r="G934">
            <v>1</v>
          </cell>
          <cell r="H934">
            <v>48</v>
          </cell>
          <cell r="I934">
            <v>35</v>
          </cell>
          <cell r="J934">
            <v>273</v>
          </cell>
        </row>
        <row r="935">
          <cell r="F935">
            <v>873</v>
          </cell>
          <cell r="G935">
            <v>1</v>
          </cell>
          <cell r="H935">
            <v>48</v>
          </cell>
          <cell r="I935">
            <v>36</v>
          </cell>
          <cell r="J935">
            <v>279</v>
          </cell>
        </row>
        <row r="936">
          <cell r="F936">
            <v>874</v>
          </cell>
          <cell r="G936">
            <v>1</v>
          </cell>
          <cell r="H936">
            <v>48</v>
          </cell>
          <cell r="I936">
            <v>37</v>
          </cell>
          <cell r="J936">
            <v>279</v>
          </cell>
        </row>
        <row r="937">
          <cell r="F937">
            <v>875</v>
          </cell>
          <cell r="G937">
            <v>1</v>
          </cell>
          <cell r="H937">
            <v>48</v>
          </cell>
          <cell r="I937">
            <v>38</v>
          </cell>
          <cell r="J937">
            <v>286</v>
          </cell>
        </row>
        <row r="938">
          <cell r="F938">
            <v>876</v>
          </cell>
          <cell r="G938">
            <v>1</v>
          </cell>
          <cell r="H938">
            <v>48</v>
          </cell>
          <cell r="I938">
            <v>39</v>
          </cell>
          <cell r="J938">
            <v>276</v>
          </cell>
        </row>
        <row r="939">
          <cell r="F939">
            <v>877</v>
          </cell>
          <cell r="G939">
            <v>1</v>
          </cell>
          <cell r="H939">
            <v>48</v>
          </cell>
          <cell r="I939">
            <v>40</v>
          </cell>
          <cell r="J939">
            <v>249</v>
          </cell>
        </row>
        <row r="940">
          <cell r="F940">
            <v>878</v>
          </cell>
          <cell r="G940">
            <v>1</v>
          </cell>
          <cell r="H940">
            <v>48</v>
          </cell>
          <cell r="I940">
            <v>41</v>
          </cell>
          <cell r="J940">
            <v>257</v>
          </cell>
        </row>
        <row r="941">
          <cell r="F941">
            <v>879</v>
          </cell>
          <cell r="G941">
            <v>1</v>
          </cell>
          <cell r="H941">
            <v>48</v>
          </cell>
          <cell r="I941">
            <v>42</v>
          </cell>
          <cell r="J941">
            <v>259</v>
          </cell>
        </row>
        <row r="942">
          <cell r="F942">
            <v>880</v>
          </cell>
          <cell r="G942">
            <v>1</v>
          </cell>
          <cell r="H942">
            <v>48</v>
          </cell>
          <cell r="I942">
            <v>43</v>
          </cell>
          <cell r="J942">
            <v>339</v>
          </cell>
        </row>
        <row r="943">
          <cell r="F943">
            <v>881</v>
          </cell>
          <cell r="G943">
            <v>1</v>
          </cell>
          <cell r="H943">
            <v>48</v>
          </cell>
          <cell r="I943">
            <v>45</v>
          </cell>
          <cell r="J943">
            <v>310</v>
          </cell>
        </row>
        <row r="944">
          <cell r="F944">
            <v>882</v>
          </cell>
          <cell r="G944">
            <v>1</v>
          </cell>
          <cell r="H944">
            <v>48</v>
          </cell>
          <cell r="I944">
            <v>46</v>
          </cell>
          <cell r="J944">
            <v>256</v>
          </cell>
        </row>
        <row r="945">
          <cell r="F945">
            <v>883</v>
          </cell>
          <cell r="G945">
            <v>1</v>
          </cell>
          <cell r="H945">
            <v>48</v>
          </cell>
          <cell r="I945">
            <v>47</v>
          </cell>
          <cell r="J945">
            <v>324</v>
          </cell>
        </row>
        <row r="946">
          <cell r="F946">
            <v>884</v>
          </cell>
          <cell r="G946">
            <v>1</v>
          </cell>
          <cell r="H946">
            <v>49</v>
          </cell>
          <cell r="I946">
            <v>1</v>
          </cell>
          <cell r="J946">
            <v>290</v>
          </cell>
        </row>
        <row r="947">
          <cell r="F947">
            <v>885</v>
          </cell>
          <cell r="G947">
            <v>1</v>
          </cell>
          <cell r="H947">
            <v>49</v>
          </cell>
          <cell r="I947">
            <v>2</v>
          </cell>
          <cell r="J947">
            <v>299</v>
          </cell>
        </row>
        <row r="948">
          <cell r="F948">
            <v>886</v>
          </cell>
          <cell r="G948">
            <v>1</v>
          </cell>
          <cell r="H948">
            <v>49</v>
          </cell>
          <cell r="I948">
            <v>3</v>
          </cell>
          <cell r="J948">
            <v>237</v>
          </cell>
        </row>
        <row r="949">
          <cell r="F949">
            <v>887</v>
          </cell>
          <cell r="G949">
            <v>1</v>
          </cell>
          <cell r="H949">
            <v>49</v>
          </cell>
          <cell r="I949">
            <v>5</v>
          </cell>
          <cell r="J949">
            <v>260</v>
          </cell>
        </row>
        <row r="950">
          <cell r="F950">
            <v>888</v>
          </cell>
          <cell r="G950">
            <v>1</v>
          </cell>
          <cell r="H950">
            <v>49</v>
          </cell>
          <cell r="I950">
            <v>6</v>
          </cell>
          <cell r="J950">
            <v>298</v>
          </cell>
        </row>
        <row r="951">
          <cell r="F951">
            <v>889</v>
          </cell>
          <cell r="G951">
            <v>1</v>
          </cell>
          <cell r="H951">
            <v>49</v>
          </cell>
          <cell r="I951">
            <v>7</v>
          </cell>
          <cell r="J951">
            <v>263</v>
          </cell>
        </row>
        <row r="952">
          <cell r="F952">
            <v>890</v>
          </cell>
          <cell r="G952">
            <v>1</v>
          </cell>
          <cell r="H952">
            <v>49</v>
          </cell>
          <cell r="I952">
            <v>8</v>
          </cell>
          <cell r="J952">
            <v>286</v>
          </cell>
        </row>
        <row r="953">
          <cell r="F953">
            <v>891</v>
          </cell>
          <cell r="G953">
            <v>1</v>
          </cell>
          <cell r="H953">
            <v>49</v>
          </cell>
          <cell r="I953">
            <v>9</v>
          </cell>
          <cell r="J953">
            <v>258</v>
          </cell>
        </row>
        <row r="954">
          <cell r="F954">
            <v>892</v>
          </cell>
          <cell r="G954">
            <v>1</v>
          </cell>
          <cell r="H954">
            <v>49</v>
          </cell>
          <cell r="I954">
            <v>10</v>
          </cell>
          <cell r="J954">
            <v>287</v>
          </cell>
        </row>
        <row r="955">
          <cell r="F955">
            <v>893</v>
          </cell>
          <cell r="G955">
            <v>1</v>
          </cell>
          <cell r="H955">
            <v>49</v>
          </cell>
          <cell r="I955">
            <v>11</v>
          </cell>
          <cell r="J955">
            <v>258</v>
          </cell>
        </row>
        <row r="956">
          <cell r="F956">
            <v>894</v>
          </cell>
          <cell r="G956">
            <v>1</v>
          </cell>
          <cell r="H956">
            <v>49</v>
          </cell>
          <cell r="I956">
            <v>12</v>
          </cell>
          <cell r="J956">
            <v>296</v>
          </cell>
        </row>
        <row r="957">
          <cell r="F957">
            <v>895</v>
          </cell>
          <cell r="G957">
            <v>1</v>
          </cell>
          <cell r="H957">
            <v>49</v>
          </cell>
          <cell r="I957">
            <v>15</v>
          </cell>
          <cell r="J957">
            <v>308</v>
          </cell>
        </row>
        <row r="958">
          <cell r="F958">
            <v>896</v>
          </cell>
          <cell r="G958">
            <v>1</v>
          </cell>
          <cell r="H958">
            <v>49</v>
          </cell>
          <cell r="I958">
            <v>16</v>
          </cell>
          <cell r="J958">
            <v>324</v>
          </cell>
        </row>
        <row r="959">
          <cell r="F959">
            <v>897</v>
          </cell>
          <cell r="G959">
            <v>1</v>
          </cell>
          <cell r="H959">
            <v>49</v>
          </cell>
          <cell r="I959">
            <v>17</v>
          </cell>
          <cell r="J959">
            <v>400</v>
          </cell>
        </row>
        <row r="960">
          <cell r="F960">
            <v>898</v>
          </cell>
          <cell r="G960">
            <v>1</v>
          </cell>
          <cell r="H960">
            <v>49</v>
          </cell>
          <cell r="I960">
            <v>18</v>
          </cell>
          <cell r="J960">
            <v>252</v>
          </cell>
        </row>
        <row r="961">
          <cell r="F961">
            <v>899</v>
          </cell>
          <cell r="G961">
            <v>1</v>
          </cell>
          <cell r="H961">
            <v>49</v>
          </cell>
          <cell r="I961">
            <v>19</v>
          </cell>
          <cell r="J961">
            <v>311</v>
          </cell>
        </row>
        <row r="962">
          <cell r="F962">
            <v>900</v>
          </cell>
          <cell r="G962">
            <v>1</v>
          </cell>
          <cell r="H962">
            <v>49</v>
          </cell>
          <cell r="I962">
            <v>20</v>
          </cell>
          <cell r="J962">
            <v>312</v>
          </cell>
        </row>
        <row r="963">
          <cell r="F963">
            <v>0</v>
          </cell>
          <cell r="G963">
            <v>0</v>
          </cell>
          <cell r="H963">
            <v>0</v>
          </cell>
          <cell r="I963">
            <v>0</v>
          </cell>
          <cell r="J963">
            <v>0</v>
          </cell>
        </row>
        <row r="964">
          <cell r="F964">
            <v>901</v>
          </cell>
          <cell r="G964">
            <v>1</v>
          </cell>
          <cell r="H964">
            <v>51</v>
          </cell>
          <cell r="I964">
            <v>1</v>
          </cell>
          <cell r="J964">
            <v>276</v>
          </cell>
        </row>
        <row r="965">
          <cell r="F965">
            <v>902</v>
          </cell>
          <cell r="G965">
            <v>1</v>
          </cell>
          <cell r="H965">
            <v>51</v>
          </cell>
          <cell r="I965">
            <v>2</v>
          </cell>
          <cell r="J965">
            <v>288</v>
          </cell>
        </row>
        <row r="966">
          <cell r="F966">
            <v>903</v>
          </cell>
          <cell r="G966">
            <v>1</v>
          </cell>
          <cell r="H966">
            <v>51</v>
          </cell>
          <cell r="I966">
            <v>3</v>
          </cell>
          <cell r="J966">
            <v>265</v>
          </cell>
        </row>
        <row r="967">
          <cell r="F967">
            <v>0</v>
          </cell>
          <cell r="G967">
            <v>0</v>
          </cell>
          <cell r="H967">
            <v>0</v>
          </cell>
          <cell r="I967">
            <v>0</v>
          </cell>
          <cell r="J967">
            <v>0</v>
          </cell>
        </row>
        <row r="968">
          <cell r="F968">
            <v>904</v>
          </cell>
          <cell r="G968">
            <v>1</v>
          </cell>
          <cell r="H968">
            <v>51</v>
          </cell>
          <cell r="I968">
            <v>5</v>
          </cell>
          <cell r="J968">
            <v>254</v>
          </cell>
        </row>
        <row r="969">
          <cell r="F969">
            <v>905</v>
          </cell>
          <cell r="G969">
            <v>1</v>
          </cell>
          <cell r="H969">
            <v>51</v>
          </cell>
          <cell r="I969">
            <v>6</v>
          </cell>
          <cell r="J969">
            <v>262</v>
          </cell>
        </row>
        <row r="970">
          <cell r="F970">
            <v>906</v>
          </cell>
          <cell r="G970">
            <v>1</v>
          </cell>
          <cell r="H970">
            <v>51</v>
          </cell>
          <cell r="I970">
            <v>7</v>
          </cell>
          <cell r="J970">
            <v>271</v>
          </cell>
        </row>
        <row r="971">
          <cell r="F971">
            <v>907</v>
          </cell>
          <cell r="G971">
            <v>1</v>
          </cell>
          <cell r="H971">
            <v>51</v>
          </cell>
          <cell r="I971">
            <v>8</v>
          </cell>
          <cell r="J971">
            <v>255</v>
          </cell>
        </row>
        <row r="972">
          <cell r="F972">
            <v>908</v>
          </cell>
          <cell r="G972">
            <v>1</v>
          </cell>
          <cell r="H972">
            <v>51</v>
          </cell>
          <cell r="I972">
            <v>9</v>
          </cell>
          <cell r="J972">
            <v>255</v>
          </cell>
        </row>
        <row r="973">
          <cell r="F973">
            <v>909</v>
          </cell>
          <cell r="G973">
            <v>1</v>
          </cell>
          <cell r="H973">
            <v>51</v>
          </cell>
          <cell r="I973">
            <v>10</v>
          </cell>
          <cell r="J973">
            <v>273</v>
          </cell>
        </row>
        <row r="974">
          <cell r="F974">
            <v>910</v>
          </cell>
          <cell r="G974">
            <v>1</v>
          </cell>
          <cell r="H974">
            <v>51</v>
          </cell>
          <cell r="I974">
            <v>11</v>
          </cell>
          <cell r="J974">
            <v>318</v>
          </cell>
        </row>
        <row r="975">
          <cell r="F975">
            <v>911</v>
          </cell>
          <cell r="G975">
            <v>1</v>
          </cell>
          <cell r="H975">
            <v>51</v>
          </cell>
          <cell r="I975">
            <v>12</v>
          </cell>
          <cell r="J975">
            <v>260</v>
          </cell>
        </row>
        <row r="976">
          <cell r="F976">
            <v>912</v>
          </cell>
          <cell r="G976">
            <v>1</v>
          </cell>
          <cell r="H976">
            <v>51</v>
          </cell>
          <cell r="I976">
            <v>15</v>
          </cell>
          <cell r="J976">
            <v>410</v>
          </cell>
        </row>
        <row r="977">
          <cell r="F977">
            <v>913</v>
          </cell>
          <cell r="G977">
            <v>1</v>
          </cell>
          <cell r="H977">
            <v>51</v>
          </cell>
          <cell r="I977">
            <v>16</v>
          </cell>
          <cell r="J977">
            <v>368</v>
          </cell>
        </row>
        <row r="978">
          <cell r="F978">
            <v>914</v>
          </cell>
          <cell r="G978">
            <v>1</v>
          </cell>
          <cell r="H978">
            <v>51</v>
          </cell>
          <cell r="I978">
            <v>17</v>
          </cell>
          <cell r="J978">
            <v>259</v>
          </cell>
        </row>
        <row r="979">
          <cell r="F979">
            <v>915</v>
          </cell>
          <cell r="G979">
            <v>1</v>
          </cell>
          <cell r="H979">
            <v>51</v>
          </cell>
          <cell r="I979">
            <v>18</v>
          </cell>
          <cell r="J979">
            <v>250</v>
          </cell>
        </row>
        <row r="980">
          <cell r="F980">
            <v>916</v>
          </cell>
          <cell r="G980">
            <v>1</v>
          </cell>
          <cell r="H980">
            <v>51</v>
          </cell>
          <cell r="I980">
            <v>19</v>
          </cell>
          <cell r="J980">
            <v>241</v>
          </cell>
        </row>
        <row r="981">
          <cell r="F981">
            <v>917</v>
          </cell>
          <cell r="G981">
            <v>1</v>
          </cell>
          <cell r="H981">
            <v>51</v>
          </cell>
          <cell r="I981">
            <v>20</v>
          </cell>
          <cell r="J981">
            <v>266</v>
          </cell>
        </row>
        <row r="982">
          <cell r="F982">
            <v>918</v>
          </cell>
          <cell r="G982">
            <v>1</v>
          </cell>
          <cell r="H982">
            <v>51</v>
          </cell>
          <cell r="I982">
            <v>21</v>
          </cell>
          <cell r="J982">
            <v>240</v>
          </cell>
        </row>
        <row r="983">
          <cell r="F983">
            <v>919</v>
          </cell>
          <cell r="G983">
            <v>1</v>
          </cell>
          <cell r="H983">
            <v>51</v>
          </cell>
          <cell r="I983">
            <v>22</v>
          </cell>
          <cell r="J983">
            <v>266</v>
          </cell>
        </row>
        <row r="984">
          <cell r="F984">
            <v>920</v>
          </cell>
          <cell r="G984">
            <v>1</v>
          </cell>
          <cell r="H984">
            <v>51</v>
          </cell>
          <cell r="I984">
            <v>23</v>
          </cell>
          <cell r="J984">
            <v>254</v>
          </cell>
        </row>
        <row r="985">
          <cell r="F985">
            <v>921</v>
          </cell>
          <cell r="G985">
            <v>1</v>
          </cell>
          <cell r="H985">
            <v>51</v>
          </cell>
          <cell r="I985">
            <v>25</v>
          </cell>
          <cell r="J985">
            <v>252</v>
          </cell>
        </row>
        <row r="986">
          <cell r="F986">
            <v>922</v>
          </cell>
          <cell r="G986">
            <v>1</v>
          </cell>
          <cell r="H986">
            <v>51</v>
          </cell>
          <cell r="I986">
            <v>26</v>
          </cell>
          <cell r="J986">
            <v>307</v>
          </cell>
        </row>
        <row r="987">
          <cell r="F987">
            <v>923</v>
          </cell>
          <cell r="G987">
            <v>1</v>
          </cell>
          <cell r="H987">
            <v>51</v>
          </cell>
          <cell r="I987">
            <v>27</v>
          </cell>
          <cell r="J987">
            <v>299</v>
          </cell>
        </row>
        <row r="988">
          <cell r="F988">
            <v>924</v>
          </cell>
          <cell r="G988">
            <v>1</v>
          </cell>
          <cell r="H988">
            <v>52</v>
          </cell>
          <cell r="I988">
            <v>1</v>
          </cell>
          <cell r="J988">
            <v>343</v>
          </cell>
        </row>
        <row r="989">
          <cell r="F989">
            <v>925</v>
          </cell>
          <cell r="G989">
            <v>1</v>
          </cell>
          <cell r="H989">
            <v>52</v>
          </cell>
          <cell r="I989">
            <v>2</v>
          </cell>
          <cell r="J989">
            <v>252</v>
          </cell>
        </row>
        <row r="990">
          <cell r="F990">
            <v>926</v>
          </cell>
          <cell r="G990">
            <v>1</v>
          </cell>
          <cell r="H990">
            <v>52</v>
          </cell>
          <cell r="I990">
            <v>3</v>
          </cell>
          <cell r="J990">
            <v>252</v>
          </cell>
        </row>
        <row r="991">
          <cell r="F991">
            <v>0</v>
          </cell>
          <cell r="G991">
            <v>0</v>
          </cell>
          <cell r="H991">
            <v>0</v>
          </cell>
          <cell r="I991">
            <v>0</v>
          </cell>
          <cell r="J991">
            <v>0</v>
          </cell>
        </row>
        <row r="992">
          <cell r="F992">
            <v>927</v>
          </cell>
          <cell r="G992">
            <v>1</v>
          </cell>
          <cell r="H992">
            <v>52</v>
          </cell>
          <cell r="I992">
            <v>5</v>
          </cell>
          <cell r="J992">
            <v>252</v>
          </cell>
        </row>
        <row r="993">
          <cell r="F993">
            <v>928</v>
          </cell>
          <cell r="G993">
            <v>1</v>
          </cell>
          <cell r="H993">
            <v>52</v>
          </cell>
          <cell r="I993">
            <v>6</v>
          </cell>
          <cell r="J993">
            <v>257</v>
          </cell>
        </row>
        <row r="994">
          <cell r="F994">
            <v>929</v>
          </cell>
          <cell r="G994">
            <v>1</v>
          </cell>
          <cell r="H994">
            <v>52</v>
          </cell>
          <cell r="I994">
            <v>7</v>
          </cell>
          <cell r="J994">
            <v>252</v>
          </cell>
        </row>
        <row r="995">
          <cell r="F995">
            <v>930</v>
          </cell>
          <cell r="G995">
            <v>1</v>
          </cell>
          <cell r="H995">
            <v>52</v>
          </cell>
          <cell r="I995">
            <v>8</v>
          </cell>
          <cell r="J995">
            <v>353</v>
          </cell>
        </row>
        <row r="996">
          <cell r="F996">
            <v>931</v>
          </cell>
          <cell r="G996">
            <v>1</v>
          </cell>
          <cell r="H996">
            <v>52</v>
          </cell>
          <cell r="I996">
            <v>9</v>
          </cell>
          <cell r="J996">
            <v>445</v>
          </cell>
        </row>
        <row r="997">
          <cell r="F997">
            <v>932</v>
          </cell>
          <cell r="G997">
            <v>1</v>
          </cell>
          <cell r="H997">
            <v>52</v>
          </cell>
          <cell r="I997">
            <v>10</v>
          </cell>
          <cell r="J997">
            <v>289</v>
          </cell>
        </row>
        <row r="998">
          <cell r="F998">
            <v>933</v>
          </cell>
          <cell r="G998">
            <v>1</v>
          </cell>
          <cell r="H998">
            <v>52</v>
          </cell>
          <cell r="I998">
            <v>11</v>
          </cell>
          <cell r="J998">
            <v>261</v>
          </cell>
        </row>
        <row r="999">
          <cell r="F999">
            <v>934</v>
          </cell>
          <cell r="G999">
            <v>1</v>
          </cell>
          <cell r="H999">
            <v>52</v>
          </cell>
          <cell r="I999">
            <v>12</v>
          </cell>
          <cell r="J999">
            <v>281</v>
          </cell>
        </row>
        <row r="1000">
          <cell r="F1000">
            <v>0</v>
          </cell>
          <cell r="G1000">
            <v>0</v>
          </cell>
          <cell r="H1000">
            <v>0</v>
          </cell>
          <cell r="I1000">
            <v>0</v>
          </cell>
          <cell r="J1000">
            <v>0</v>
          </cell>
        </row>
        <row r="1001">
          <cell r="F1001">
            <v>0</v>
          </cell>
          <cell r="G1001">
            <v>0</v>
          </cell>
          <cell r="H1001">
            <v>0</v>
          </cell>
          <cell r="I1001">
            <v>0</v>
          </cell>
          <cell r="J1001">
            <v>0</v>
          </cell>
        </row>
        <row r="1002">
          <cell r="F1002">
            <v>935</v>
          </cell>
          <cell r="G1002">
            <v>1</v>
          </cell>
          <cell r="H1002">
            <v>52</v>
          </cell>
          <cell r="I1002">
            <v>15</v>
          </cell>
          <cell r="J1002">
            <v>290</v>
          </cell>
        </row>
        <row r="1003">
          <cell r="F1003">
            <v>936</v>
          </cell>
          <cell r="G1003">
            <v>1</v>
          </cell>
          <cell r="H1003">
            <v>52</v>
          </cell>
          <cell r="I1003">
            <v>16</v>
          </cell>
          <cell r="J1003">
            <v>269</v>
          </cell>
        </row>
        <row r="1004">
          <cell r="F1004">
            <v>937</v>
          </cell>
          <cell r="G1004">
            <v>1</v>
          </cell>
          <cell r="H1004">
            <v>52</v>
          </cell>
          <cell r="I1004">
            <v>17</v>
          </cell>
          <cell r="J1004">
            <v>262</v>
          </cell>
        </row>
        <row r="1005">
          <cell r="F1005">
            <v>938</v>
          </cell>
          <cell r="G1005">
            <v>1</v>
          </cell>
          <cell r="H1005">
            <v>52</v>
          </cell>
          <cell r="I1005">
            <v>18</v>
          </cell>
          <cell r="J1005">
            <v>255</v>
          </cell>
        </row>
        <row r="1006">
          <cell r="F1006">
            <v>939</v>
          </cell>
          <cell r="G1006">
            <v>1</v>
          </cell>
          <cell r="H1006">
            <v>52</v>
          </cell>
          <cell r="I1006">
            <v>19</v>
          </cell>
          <cell r="J1006">
            <v>260</v>
          </cell>
        </row>
        <row r="1007">
          <cell r="F1007">
            <v>940</v>
          </cell>
          <cell r="G1007">
            <v>1</v>
          </cell>
          <cell r="H1007">
            <v>52</v>
          </cell>
          <cell r="I1007">
            <v>20</v>
          </cell>
          <cell r="J1007">
            <v>256</v>
          </cell>
        </row>
        <row r="1008">
          <cell r="F1008">
            <v>941</v>
          </cell>
          <cell r="G1008">
            <v>1</v>
          </cell>
          <cell r="H1008">
            <v>52</v>
          </cell>
          <cell r="I1008">
            <v>21</v>
          </cell>
          <cell r="J1008">
            <v>354</v>
          </cell>
        </row>
        <row r="1009">
          <cell r="F1009">
            <v>942</v>
          </cell>
          <cell r="G1009">
            <v>1</v>
          </cell>
          <cell r="H1009">
            <v>52</v>
          </cell>
          <cell r="I1009">
            <v>22</v>
          </cell>
          <cell r="J1009">
            <v>252</v>
          </cell>
        </row>
        <row r="1010">
          <cell r="F1010">
            <v>943</v>
          </cell>
          <cell r="G1010">
            <v>1</v>
          </cell>
          <cell r="H1010">
            <v>52</v>
          </cell>
          <cell r="I1010">
            <v>23</v>
          </cell>
          <cell r="J1010">
            <v>257</v>
          </cell>
        </row>
        <row r="1011">
          <cell r="F1011">
            <v>944</v>
          </cell>
          <cell r="G1011">
            <v>1</v>
          </cell>
          <cell r="H1011">
            <v>52</v>
          </cell>
          <cell r="I1011">
            <v>25</v>
          </cell>
          <cell r="J1011">
            <v>255</v>
          </cell>
        </row>
        <row r="1012">
          <cell r="F1012">
            <v>945</v>
          </cell>
          <cell r="G1012">
            <v>1</v>
          </cell>
          <cell r="H1012">
            <v>52</v>
          </cell>
          <cell r="I1012">
            <v>26</v>
          </cell>
          <cell r="J1012">
            <v>255</v>
          </cell>
        </row>
        <row r="1013">
          <cell r="F1013">
            <v>946</v>
          </cell>
          <cell r="G1013">
            <v>1</v>
          </cell>
          <cell r="H1013">
            <v>52</v>
          </cell>
          <cell r="I1013">
            <v>27</v>
          </cell>
          <cell r="J1013">
            <v>255</v>
          </cell>
        </row>
        <row r="1014">
          <cell r="F1014">
            <v>947</v>
          </cell>
          <cell r="G1014">
            <v>1</v>
          </cell>
          <cell r="H1014">
            <v>52</v>
          </cell>
          <cell r="I1014">
            <v>28</v>
          </cell>
          <cell r="J1014">
            <v>252</v>
          </cell>
        </row>
        <row r="1015">
          <cell r="F1015">
            <v>948</v>
          </cell>
          <cell r="G1015">
            <v>1</v>
          </cell>
          <cell r="H1015">
            <v>52</v>
          </cell>
          <cell r="I1015">
            <v>29</v>
          </cell>
          <cell r="J1015">
            <v>269</v>
          </cell>
        </row>
        <row r="1016">
          <cell r="F1016">
            <v>949</v>
          </cell>
          <cell r="G1016">
            <v>1</v>
          </cell>
          <cell r="H1016">
            <v>52</v>
          </cell>
          <cell r="I1016">
            <v>30</v>
          </cell>
          <cell r="J1016">
            <v>252</v>
          </cell>
        </row>
        <row r="1017">
          <cell r="F1017">
            <v>950</v>
          </cell>
          <cell r="G1017">
            <v>1</v>
          </cell>
          <cell r="H1017">
            <v>52</v>
          </cell>
          <cell r="I1017">
            <v>31</v>
          </cell>
          <cell r="J1017">
            <v>257</v>
          </cell>
        </row>
        <row r="1018">
          <cell r="F1018">
            <v>951</v>
          </cell>
          <cell r="G1018">
            <v>1</v>
          </cell>
          <cell r="H1018">
            <v>52</v>
          </cell>
          <cell r="I1018">
            <v>32</v>
          </cell>
          <cell r="J1018">
            <v>252</v>
          </cell>
        </row>
        <row r="1019">
          <cell r="F1019">
            <v>952</v>
          </cell>
          <cell r="G1019">
            <v>1</v>
          </cell>
          <cell r="H1019">
            <v>52</v>
          </cell>
          <cell r="I1019">
            <v>33</v>
          </cell>
          <cell r="J1019">
            <v>252</v>
          </cell>
        </row>
        <row r="1020">
          <cell r="F1020">
            <v>953</v>
          </cell>
          <cell r="G1020">
            <v>1</v>
          </cell>
          <cell r="H1020">
            <v>52</v>
          </cell>
          <cell r="I1020">
            <v>35</v>
          </cell>
          <cell r="J1020">
            <v>252</v>
          </cell>
        </row>
        <row r="1021">
          <cell r="F1021">
            <v>954</v>
          </cell>
          <cell r="G1021">
            <v>1</v>
          </cell>
          <cell r="H1021">
            <v>52</v>
          </cell>
          <cell r="I1021">
            <v>36</v>
          </cell>
          <cell r="J1021">
            <v>262</v>
          </cell>
        </row>
        <row r="1022">
          <cell r="F1022">
            <v>955</v>
          </cell>
          <cell r="G1022">
            <v>1</v>
          </cell>
          <cell r="H1022">
            <v>52</v>
          </cell>
          <cell r="I1022">
            <v>37</v>
          </cell>
          <cell r="J1022">
            <v>307</v>
          </cell>
        </row>
        <row r="1023">
          <cell r="F1023">
            <v>956</v>
          </cell>
          <cell r="G1023">
            <v>1</v>
          </cell>
          <cell r="H1023">
            <v>52</v>
          </cell>
          <cell r="I1023">
            <v>38</v>
          </cell>
          <cell r="J1023">
            <v>329</v>
          </cell>
        </row>
        <row r="1024">
          <cell r="F1024">
            <v>957</v>
          </cell>
          <cell r="G1024">
            <v>1</v>
          </cell>
          <cell r="H1024">
            <v>52</v>
          </cell>
          <cell r="I1024">
            <v>39</v>
          </cell>
          <cell r="J1024">
            <v>265</v>
          </cell>
        </row>
        <row r="1025">
          <cell r="F1025">
            <v>958</v>
          </cell>
          <cell r="G1025">
            <v>1</v>
          </cell>
          <cell r="H1025">
            <v>52</v>
          </cell>
          <cell r="I1025">
            <v>40</v>
          </cell>
          <cell r="J1025">
            <v>270</v>
          </cell>
        </row>
        <row r="1026">
          <cell r="F1026">
            <v>959</v>
          </cell>
          <cell r="G1026">
            <v>1</v>
          </cell>
          <cell r="H1026">
            <v>52</v>
          </cell>
          <cell r="I1026">
            <v>41</v>
          </cell>
          <cell r="J1026">
            <v>372</v>
          </cell>
        </row>
        <row r="1027">
          <cell r="F1027">
            <v>960</v>
          </cell>
          <cell r="G1027">
            <v>1</v>
          </cell>
          <cell r="H1027">
            <v>52</v>
          </cell>
          <cell r="I1027">
            <v>42</v>
          </cell>
          <cell r="J1027">
            <v>242</v>
          </cell>
        </row>
        <row r="1028">
          <cell r="F1028">
            <v>961</v>
          </cell>
          <cell r="G1028">
            <v>1</v>
          </cell>
          <cell r="H1028">
            <v>52</v>
          </cell>
          <cell r="I1028">
            <v>43</v>
          </cell>
          <cell r="J1028">
            <v>252</v>
          </cell>
        </row>
        <row r="1029">
          <cell r="F1029">
            <v>962</v>
          </cell>
          <cell r="G1029">
            <v>1</v>
          </cell>
          <cell r="H1029">
            <v>52</v>
          </cell>
          <cell r="I1029">
            <v>45</v>
          </cell>
          <cell r="J1029">
            <v>252</v>
          </cell>
        </row>
        <row r="1030">
          <cell r="F1030">
            <v>963</v>
          </cell>
          <cell r="G1030">
            <v>1</v>
          </cell>
          <cell r="H1030">
            <v>52</v>
          </cell>
          <cell r="I1030">
            <v>46</v>
          </cell>
          <cell r="J1030">
            <v>252</v>
          </cell>
        </row>
        <row r="1031">
          <cell r="F1031">
            <v>964</v>
          </cell>
          <cell r="G1031">
            <v>1</v>
          </cell>
          <cell r="H1031">
            <v>52</v>
          </cell>
          <cell r="I1031">
            <v>47</v>
          </cell>
          <cell r="J1031">
            <v>257</v>
          </cell>
        </row>
        <row r="1032">
          <cell r="F1032">
            <v>965</v>
          </cell>
          <cell r="G1032">
            <v>1</v>
          </cell>
          <cell r="H1032">
            <v>52</v>
          </cell>
          <cell r="I1032">
            <v>48</v>
          </cell>
          <cell r="J1032">
            <v>278</v>
          </cell>
        </row>
        <row r="1033">
          <cell r="F1033">
            <v>966</v>
          </cell>
          <cell r="G1033">
            <v>1</v>
          </cell>
          <cell r="H1033">
            <v>52</v>
          </cell>
          <cell r="I1033">
            <v>49</v>
          </cell>
          <cell r="J1033">
            <v>286</v>
          </cell>
        </row>
        <row r="1034">
          <cell r="F1034">
            <v>967</v>
          </cell>
          <cell r="G1034">
            <v>1</v>
          </cell>
          <cell r="H1034">
            <v>52</v>
          </cell>
          <cell r="I1034">
            <v>50</v>
          </cell>
          <cell r="J1034">
            <v>261</v>
          </cell>
        </row>
        <row r="1035">
          <cell r="F1035">
            <v>968</v>
          </cell>
          <cell r="G1035">
            <v>1</v>
          </cell>
          <cell r="H1035">
            <v>52</v>
          </cell>
          <cell r="I1035">
            <v>51</v>
          </cell>
          <cell r="J1035">
            <v>281</v>
          </cell>
        </row>
        <row r="1036">
          <cell r="F1036">
            <v>969</v>
          </cell>
          <cell r="G1036">
            <v>1</v>
          </cell>
          <cell r="H1036">
            <v>52</v>
          </cell>
          <cell r="I1036">
            <v>52</v>
          </cell>
          <cell r="J1036">
            <v>286</v>
          </cell>
        </row>
        <row r="1037">
          <cell r="F1037">
            <v>970</v>
          </cell>
          <cell r="G1037">
            <v>1</v>
          </cell>
          <cell r="H1037">
            <v>52</v>
          </cell>
          <cell r="I1037">
            <v>53</v>
          </cell>
          <cell r="J1037">
            <v>256</v>
          </cell>
        </row>
        <row r="1038">
          <cell r="F1038">
            <v>971</v>
          </cell>
          <cell r="G1038">
            <v>1</v>
          </cell>
          <cell r="H1038">
            <v>52</v>
          </cell>
          <cell r="I1038">
            <v>55</v>
          </cell>
          <cell r="J1038">
            <v>257</v>
          </cell>
        </row>
        <row r="1039">
          <cell r="F1039">
            <v>972</v>
          </cell>
          <cell r="G1039">
            <v>1</v>
          </cell>
          <cell r="H1039">
            <v>52</v>
          </cell>
          <cell r="I1039">
            <v>56</v>
          </cell>
          <cell r="J1039">
            <v>252</v>
          </cell>
        </row>
        <row r="1040">
          <cell r="F1040">
            <v>973</v>
          </cell>
          <cell r="G1040">
            <v>1</v>
          </cell>
          <cell r="H1040">
            <v>52</v>
          </cell>
          <cell r="I1040">
            <v>57</v>
          </cell>
          <cell r="J1040">
            <v>262</v>
          </cell>
        </row>
        <row r="1041">
          <cell r="F1041">
            <v>974</v>
          </cell>
          <cell r="G1041">
            <v>1</v>
          </cell>
          <cell r="H1041">
            <v>52</v>
          </cell>
          <cell r="I1041">
            <v>58</v>
          </cell>
          <cell r="J1041">
            <v>252</v>
          </cell>
        </row>
        <row r="1042">
          <cell r="F1042">
            <v>975</v>
          </cell>
          <cell r="G1042">
            <v>1</v>
          </cell>
          <cell r="H1042">
            <v>52</v>
          </cell>
          <cell r="I1042">
            <v>59</v>
          </cell>
          <cell r="J1042">
            <v>262</v>
          </cell>
        </row>
        <row r="1043">
          <cell r="F1043">
            <v>976</v>
          </cell>
          <cell r="G1043">
            <v>1</v>
          </cell>
          <cell r="H1043">
            <v>52</v>
          </cell>
          <cell r="I1043">
            <v>60</v>
          </cell>
          <cell r="J1043">
            <v>252</v>
          </cell>
        </row>
        <row r="1044">
          <cell r="F1044">
            <v>977</v>
          </cell>
          <cell r="G1044">
            <v>1</v>
          </cell>
          <cell r="H1044">
            <v>52</v>
          </cell>
          <cell r="I1044">
            <v>61</v>
          </cell>
          <cell r="J1044">
            <v>252</v>
          </cell>
        </row>
        <row r="1045">
          <cell r="F1045">
            <v>978</v>
          </cell>
          <cell r="G1045">
            <v>1</v>
          </cell>
          <cell r="H1045">
            <v>52</v>
          </cell>
          <cell r="I1045">
            <v>62</v>
          </cell>
          <cell r="J1045">
            <v>252</v>
          </cell>
        </row>
        <row r="1046">
          <cell r="F1046">
            <v>979</v>
          </cell>
          <cell r="G1046">
            <v>1</v>
          </cell>
          <cell r="H1046">
            <v>52</v>
          </cell>
          <cell r="I1046">
            <v>63</v>
          </cell>
          <cell r="J1046">
            <v>252</v>
          </cell>
        </row>
        <row r="1047">
          <cell r="F1047">
            <v>980</v>
          </cell>
          <cell r="G1047">
            <v>1</v>
          </cell>
          <cell r="H1047">
            <v>52</v>
          </cell>
          <cell r="I1047">
            <v>65</v>
          </cell>
          <cell r="J1047">
            <v>307</v>
          </cell>
        </row>
        <row r="1048">
          <cell r="F1048">
            <v>981</v>
          </cell>
          <cell r="G1048">
            <v>1</v>
          </cell>
          <cell r="H1048">
            <v>53</v>
          </cell>
          <cell r="I1048">
            <v>1</v>
          </cell>
          <cell r="J1048">
            <v>253</v>
          </cell>
        </row>
        <row r="1049">
          <cell r="F1049">
            <v>982</v>
          </cell>
          <cell r="G1049">
            <v>1</v>
          </cell>
          <cell r="H1049">
            <v>53</v>
          </cell>
          <cell r="I1049">
            <v>2</v>
          </cell>
          <cell r="J1049">
            <v>237</v>
          </cell>
        </row>
        <row r="1050">
          <cell r="F1050">
            <v>983</v>
          </cell>
          <cell r="G1050">
            <v>1</v>
          </cell>
          <cell r="H1050">
            <v>53</v>
          </cell>
          <cell r="I1050">
            <v>3</v>
          </cell>
          <cell r="J1050">
            <v>261</v>
          </cell>
        </row>
        <row r="1051">
          <cell r="F1051">
            <v>0</v>
          </cell>
          <cell r="G1051">
            <v>0</v>
          </cell>
          <cell r="H1051">
            <v>0</v>
          </cell>
          <cell r="I1051">
            <v>0</v>
          </cell>
          <cell r="J1051">
            <v>0</v>
          </cell>
        </row>
        <row r="1052">
          <cell r="F1052">
            <v>984</v>
          </cell>
          <cell r="G1052">
            <v>1</v>
          </cell>
          <cell r="H1052">
            <v>53</v>
          </cell>
          <cell r="I1052">
            <v>5</v>
          </cell>
          <cell r="J1052">
            <v>269</v>
          </cell>
        </row>
        <row r="1053">
          <cell r="F1053">
            <v>985</v>
          </cell>
          <cell r="G1053">
            <v>1</v>
          </cell>
          <cell r="H1053">
            <v>53</v>
          </cell>
          <cell r="I1053">
            <v>6</v>
          </cell>
          <cell r="J1053">
            <v>217</v>
          </cell>
        </row>
        <row r="1054">
          <cell r="F1054">
            <v>986</v>
          </cell>
          <cell r="G1054">
            <v>1</v>
          </cell>
          <cell r="H1054">
            <v>53</v>
          </cell>
          <cell r="I1054">
            <v>7</v>
          </cell>
          <cell r="J1054">
            <v>244</v>
          </cell>
        </row>
        <row r="1055">
          <cell r="F1055">
            <v>987</v>
          </cell>
          <cell r="G1055">
            <v>1</v>
          </cell>
          <cell r="H1055">
            <v>53</v>
          </cell>
          <cell r="I1055">
            <v>8</v>
          </cell>
          <cell r="J1055">
            <v>253</v>
          </cell>
        </row>
        <row r="1056">
          <cell r="F1056">
            <v>988</v>
          </cell>
          <cell r="G1056">
            <v>1</v>
          </cell>
          <cell r="H1056">
            <v>53</v>
          </cell>
          <cell r="I1056">
            <v>9</v>
          </cell>
          <cell r="J1056">
            <v>245</v>
          </cell>
        </row>
        <row r="1057">
          <cell r="F1057">
            <v>989</v>
          </cell>
          <cell r="G1057">
            <v>1</v>
          </cell>
          <cell r="H1057">
            <v>53</v>
          </cell>
          <cell r="I1057">
            <v>10</v>
          </cell>
          <cell r="J1057">
            <v>443</v>
          </cell>
        </row>
        <row r="1058">
          <cell r="F1058">
            <v>990</v>
          </cell>
          <cell r="G1058">
            <v>1</v>
          </cell>
          <cell r="H1058">
            <v>53</v>
          </cell>
          <cell r="I1058">
            <v>11</v>
          </cell>
          <cell r="J1058">
            <v>271</v>
          </cell>
        </row>
        <row r="1059">
          <cell r="F1059">
            <v>991</v>
          </cell>
          <cell r="G1059">
            <v>1</v>
          </cell>
          <cell r="H1059">
            <v>53</v>
          </cell>
          <cell r="I1059">
            <v>12</v>
          </cell>
          <cell r="J1059">
            <v>267</v>
          </cell>
        </row>
        <row r="1060">
          <cell r="F1060">
            <v>0</v>
          </cell>
          <cell r="G1060">
            <v>0</v>
          </cell>
          <cell r="H1060">
            <v>0</v>
          </cell>
          <cell r="I1060">
            <v>0</v>
          </cell>
          <cell r="J1060">
            <v>0</v>
          </cell>
        </row>
        <row r="1061">
          <cell r="F1061">
            <v>0</v>
          </cell>
          <cell r="G1061">
            <v>0</v>
          </cell>
          <cell r="H1061">
            <v>0</v>
          </cell>
          <cell r="I1061">
            <v>0</v>
          </cell>
          <cell r="J1061">
            <v>0</v>
          </cell>
        </row>
        <row r="1062">
          <cell r="F1062">
            <v>992</v>
          </cell>
          <cell r="G1062">
            <v>1</v>
          </cell>
          <cell r="H1062">
            <v>53</v>
          </cell>
          <cell r="I1062">
            <v>15</v>
          </cell>
          <cell r="J1062">
            <v>255</v>
          </cell>
        </row>
        <row r="1063">
          <cell r="F1063">
            <v>993</v>
          </cell>
          <cell r="G1063">
            <v>1</v>
          </cell>
          <cell r="H1063">
            <v>53</v>
          </cell>
          <cell r="I1063">
            <v>16</v>
          </cell>
          <cell r="J1063">
            <v>253</v>
          </cell>
        </row>
        <row r="1064">
          <cell r="F1064">
            <v>994</v>
          </cell>
          <cell r="G1064">
            <v>1</v>
          </cell>
          <cell r="H1064">
            <v>53</v>
          </cell>
          <cell r="I1064">
            <v>17</v>
          </cell>
          <cell r="J1064">
            <v>259</v>
          </cell>
        </row>
        <row r="1065">
          <cell r="F1065">
            <v>995</v>
          </cell>
          <cell r="G1065">
            <v>1</v>
          </cell>
          <cell r="H1065">
            <v>53</v>
          </cell>
          <cell r="I1065">
            <v>18</v>
          </cell>
          <cell r="J1065">
            <v>272</v>
          </cell>
        </row>
        <row r="1066">
          <cell r="F1066">
            <v>996</v>
          </cell>
          <cell r="G1066">
            <v>1</v>
          </cell>
          <cell r="H1066">
            <v>53</v>
          </cell>
          <cell r="I1066">
            <v>19</v>
          </cell>
          <cell r="J1066">
            <v>305</v>
          </cell>
        </row>
        <row r="1067">
          <cell r="F1067">
            <v>997</v>
          </cell>
          <cell r="G1067">
            <v>1</v>
          </cell>
          <cell r="H1067">
            <v>53</v>
          </cell>
          <cell r="I1067">
            <v>20</v>
          </cell>
          <cell r="J1067">
            <v>289</v>
          </cell>
        </row>
        <row r="1068">
          <cell r="F1068">
            <v>998</v>
          </cell>
          <cell r="G1068">
            <v>1</v>
          </cell>
          <cell r="H1068">
            <v>53</v>
          </cell>
          <cell r="I1068">
            <v>21</v>
          </cell>
          <cell r="J1068">
            <v>288</v>
          </cell>
        </row>
        <row r="1069">
          <cell r="F1069">
            <v>999</v>
          </cell>
          <cell r="G1069">
            <v>1</v>
          </cell>
          <cell r="H1069">
            <v>53</v>
          </cell>
          <cell r="I1069">
            <v>22</v>
          </cell>
          <cell r="J1069">
            <v>292</v>
          </cell>
        </row>
        <row r="1070">
          <cell r="F1070">
            <v>1000</v>
          </cell>
          <cell r="G1070">
            <v>1</v>
          </cell>
          <cell r="H1070">
            <v>53</v>
          </cell>
          <cell r="I1070">
            <v>23</v>
          </cell>
          <cell r="J1070">
            <v>302</v>
          </cell>
        </row>
        <row r="1071">
          <cell r="F1071">
            <v>1001</v>
          </cell>
          <cell r="G1071">
            <v>1</v>
          </cell>
          <cell r="H1071">
            <v>53</v>
          </cell>
          <cell r="I1071">
            <v>25</v>
          </cell>
          <cell r="J1071">
            <v>285</v>
          </cell>
        </row>
        <row r="1072">
          <cell r="F1072">
            <v>1002</v>
          </cell>
          <cell r="G1072">
            <v>1</v>
          </cell>
          <cell r="H1072">
            <v>53</v>
          </cell>
          <cell r="I1072">
            <v>26</v>
          </cell>
          <cell r="J1072">
            <v>247</v>
          </cell>
        </row>
        <row r="1073">
          <cell r="F1073">
            <v>1003</v>
          </cell>
          <cell r="G1073">
            <v>1</v>
          </cell>
          <cell r="H1073">
            <v>53</v>
          </cell>
          <cell r="I1073">
            <v>27</v>
          </cell>
          <cell r="J1073">
            <v>258</v>
          </cell>
        </row>
        <row r="1074">
          <cell r="F1074">
            <v>1004</v>
          </cell>
          <cell r="G1074">
            <v>1</v>
          </cell>
          <cell r="H1074">
            <v>53</v>
          </cell>
          <cell r="I1074">
            <v>28</v>
          </cell>
          <cell r="J1074">
            <v>295</v>
          </cell>
        </row>
        <row r="1075">
          <cell r="F1075">
            <v>0</v>
          </cell>
          <cell r="G1075">
            <v>0</v>
          </cell>
          <cell r="H1075">
            <v>0</v>
          </cell>
          <cell r="I1075">
            <v>0</v>
          </cell>
          <cell r="J1075">
            <v>0</v>
          </cell>
        </row>
        <row r="1076">
          <cell r="F1076">
            <v>1005</v>
          </cell>
          <cell r="G1076">
            <v>1</v>
          </cell>
          <cell r="H1076">
            <v>55</v>
          </cell>
          <cell r="I1076">
            <v>1</v>
          </cell>
          <cell r="J1076">
            <v>263</v>
          </cell>
        </row>
        <row r="1077">
          <cell r="F1077">
            <v>1006</v>
          </cell>
          <cell r="G1077">
            <v>1</v>
          </cell>
          <cell r="H1077">
            <v>55</v>
          </cell>
          <cell r="I1077">
            <v>2</v>
          </cell>
          <cell r="J1077">
            <v>281</v>
          </cell>
        </row>
        <row r="1078">
          <cell r="F1078">
            <v>1007</v>
          </cell>
          <cell r="G1078">
            <v>1</v>
          </cell>
          <cell r="H1078">
            <v>55</v>
          </cell>
          <cell r="I1078">
            <v>3</v>
          </cell>
          <cell r="J1078">
            <v>246</v>
          </cell>
        </row>
        <row r="1079">
          <cell r="F1079">
            <v>1008</v>
          </cell>
          <cell r="G1079">
            <v>1</v>
          </cell>
          <cell r="H1079">
            <v>55</v>
          </cell>
          <cell r="I1079">
            <v>5</v>
          </cell>
          <cell r="J1079">
            <v>247</v>
          </cell>
        </row>
        <row r="1080">
          <cell r="F1080">
            <v>1009</v>
          </cell>
          <cell r="G1080">
            <v>1</v>
          </cell>
          <cell r="H1080">
            <v>55</v>
          </cell>
          <cell r="I1080">
            <v>6</v>
          </cell>
          <cell r="J1080">
            <v>248</v>
          </cell>
        </row>
        <row r="1081">
          <cell r="F1081">
            <v>1010</v>
          </cell>
          <cell r="G1081">
            <v>1</v>
          </cell>
          <cell r="H1081">
            <v>55</v>
          </cell>
          <cell r="I1081">
            <v>7</v>
          </cell>
          <cell r="J1081">
            <v>259</v>
          </cell>
        </row>
        <row r="1082">
          <cell r="F1082">
            <v>1011</v>
          </cell>
          <cell r="G1082">
            <v>1</v>
          </cell>
          <cell r="H1082">
            <v>55</v>
          </cell>
          <cell r="I1082">
            <v>8</v>
          </cell>
          <cell r="J1082">
            <v>253</v>
          </cell>
        </row>
        <row r="1083">
          <cell r="F1083">
            <v>1012</v>
          </cell>
          <cell r="G1083">
            <v>1</v>
          </cell>
          <cell r="H1083">
            <v>55</v>
          </cell>
          <cell r="I1083">
            <v>9</v>
          </cell>
          <cell r="J1083">
            <v>267</v>
          </cell>
        </row>
        <row r="1084">
          <cell r="F1084">
            <v>1013</v>
          </cell>
          <cell r="G1084">
            <v>1</v>
          </cell>
          <cell r="H1084">
            <v>55</v>
          </cell>
          <cell r="I1084">
            <v>10</v>
          </cell>
          <cell r="J1084">
            <v>253</v>
          </cell>
        </row>
        <row r="1085">
          <cell r="F1085">
            <v>1014</v>
          </cell>
          <cell r="G1085">
            <v>1</v>
          </cell>
          <cell r="H1085">
            <v>55</v>
          </cell>
          <cell r="I1085">
            <v>11</v>
          </cell>
          <cell r="J1085">
            <v>277</v>
          </cell>
        </row>
        <row r="1086">
          <cell r="F1086">
            <v>1015</v>
          </cell>
          <cell r="G1086">
            <v>1</v>
          </cell>
          <cell r="H1086">
            <v>55</v>
          </cell>
          <cell r="I1086">
            <v>12</v>
          </cell>
          <cell r="J1086">
            <v>259</v>
          </cell>
        </row>
        <row r="1087">
          <cell r="F1087">
            <v>1016</v>
          </cell>
          <cell r="G1087">
            <v>1</v>
          </cell>
          <cell r="H1087">
            <v>55</v>
          </cell>
          <cell r="I1087">
            <v>15</v>
          </cell>
          <cell r="J1087">
            <v>291</v>
          </cell>
        </row>
        <row r="1088">
          <cell r="F1088">
            <v>1017</v>
          </cell>
          <cell r="G1088">
            <v>1</v>
          </cell>
          <cell r="H1088">
            <v>55</v>
          </cell>
          <cell r="I1088">
            <v>16</v>
          </cell>
          <cell r="J1088">
            <v>261</v>
          </cell>
        </row>
        <row r="1089">
          <cell r="F1089">
            <v>1018</v>
          </cell>
          <cell r="G1089">
            <v>1</v>
          </cell>
          <cell r="H1089">
            <v>55</v>
          </cell>
          <cell r="I1089">
            <v>17</v>
          </cell>
          <cell r="J1089">
            <v>290</v>
          </cell>
        </row>
        <row r="1090">
          <cell r="F1090">
            <v>1019</v>
          </cell>
          <cell r="G1090">
            <v>1</v>
          </cell>
          <cell r="H1090">
            <v>55</v>
          </cell>
          <cell r="I1090">
            <v>18</v>
          </cell>
          <cell r="J1090">
            <v>263</v>
          </cell>
        </row>
        <row r="1091">
          <cell r="F1091">
            <v>1020</v>
          </cell>
          <cell r="G1091">
            <v>1</v>
          </cell>
          <cell r="H1091">
            <v>55</v>
          </cell>
          <cell r="I1091">
            <v>19</v>
          </cell>
          <cell r="J1091">
            <v>302</v>
          </cell>
        </row>
        <row r="1092">
          <cell r="F1092">
            <v>1021</v>
          </cell>
          <cell r="G1092">
            <v>1</v>
          </cell>
          <cell r="H1092">
            <v>55</v>
          </cell>
          <cell r="I1092">
            <v>20</v>
          </cell>
          <cell r="J1092">
            <v>261</v>
          </cell>
        </row>
        <row r="1093">
          <cell r="F1093">
            <v>1022</v>
          </cell>
          <cell r="G1093">
            <v>1</v>
          </cell>
          <cell r="H1093">
            <v>55</v>
          </cell>
          <cell r="I1093">
            <v>21</v>
          </cell>
          <cell r="J1093">
            <v>263</v>
          </cell>
        </row>
        <row r="1094">
          <cell r="F1094">
            <v>1023</v>
          </cell>
          <cell r="G1094">
            <v>1</v>
          </cell>
          <cell r="H1094">
            <v>55</v>
          </cell>
          <cell r="I1094">
            <v>22</v>
          </cell>
          <cell r="J1094">
            <v>269</v>
          </cell>
        </row>
        <row r="1095">
          <cell r="F1095">
            <v>1024</v>
          </cell>
          <cell r="G1095">
            <v>1</v>
          </cell>
          <cell r="H1095">
            <v>55</v>
          </cell>
          <cell r="I1095">
            <v>23</v>
          </cell>
          <cell r="J1095">
            <v>349</v>
          </cell>
        </row>
        <row r="1096">
          <cell r="F1096">
            <v>1025</v>
          </cell>
          <cell r="G1096">
            <v>1</v>
          </cell>
          <cell r="H1096">
            <v>55</v>
          </cell>
          <cell r="I1096">
            <v>25</v>
          </cell>
          <cell r="J1096">
            <v>339</v>
          </cell>
        </row>
        <row r="1097">
          <cell r="F1097">
            <v>1026</v>
          </cell>
          <cell r="G1097">
            <v>1</v>
          </cell>
          <cell r="H1097">
            <v>55</v>
          </cell>
          <cell r="I1097">
            <v>26</v>
          </cell>
          <cell r="J1097">
            <v>265</v>
          </cell>
        </row>
        <row r="1098">
          <cell r="F1098">
            <v>1027</v>
          </cell>
          <cell r="G1098">
            <v>1</v>
          </cell>
          <cell r="H1098">
            <v>55</v>
          </cell>
          <cell r="I1098">
            <v>27</v>
          </cell>
          <cell r="J1098">
            <v>335</v>
          </cell>
        </row>
        <row r="1099">
          <cell r="F1099">
            <v>1028</v>
          </cell>
          <cell r="G1099">
            <v>1</v>
          </cell>
          <cell r="H1099">
            <v>55</v>
          </cell>
          <cell r="I1099">
            <v>28</v>
          </cell>
          <cell r="J1099">
            <v>333</v>
          </cell>
        </row>
        <row r="1100">
          <cell r="F1100">
            <v>1029</v>
          </cell>
          <cell r="G1100">
            <v>1</v>
          </cell>
          <cell r="H1100">
            <v>55</v>
          </cell>
          <cell r="I1100">
            <v>29</v>
          </cell>
          <cell r="J1100">
            <v>290</v>
          </cell>
        </row>
        <row r="1101">
          <cell r="F1101">
            <v>1030</v>
          </cell>
          <cell r="G1101">
            <v>1</v>
          </cell>
          <cell r="H1101">
            <v>55</v>
          </cell>
          <cell r="I1101">
            <v>30</v>
          </cell>
          <cell r="J1101">
            <v>257</v>
          </cell>
        </row>
        <row r="1102">
          <cell r="F1102">
            <v>1031</v>
          </cell>
          <cell r="G1102">
            <v>1</v>
          </cell>
          <cell r="H1102">
            <v>55</v>
          </cell>
          <cell r="I1102">
            <v>31</v>
          </cell>
          <cell r="J1102">
            <v>279</v>
          </cell>
        </row>
        <row r="1103">
          <cell r="F1103">
            <v>1032</v>
          </cell>
          <cell r="G1103">
            <v>1</v>
          </cell>
          <cell r="H1103">
            <v>55</v>
          </cell>
          <cell r="I1103">
            <v>32</v>
          </cell>
          <cell r="J1103">
            <v>268</v>
          </cell>
        </row>
        <row r="1104">
          <cell r="F1104">
            <v>1033</v>
          </cell>
          <cell r="G1104">
            <v>1</v>
          </cell>
          <cell r="H1104">
            <v>55</v>
          </cell>
          <cell r="I1104">
            <v>33</v>
          </cell>
          <cell r="J1104">
            <v>387</v>
          </cell>
        </row>
        <row r="1105">
          <cell r="F1105">
            <v>1034</v>
          </cell>
          <cell r="G1105">
            <v>1</v>
          </cell>
          <cell r="H1105">
            <v>55</v>
          </cell>
          <cell r="I1105">
            <v>35</v>
          </cell>
          <cell r="J1105">
            <v>261</v>
          </cell>
        </row>
        <row r="1106">
          <cell r="F1106">
            <v>1035</v>
          </cell>
          <cell r="G1106">
            <v>1</v>
          </cell>
          <cell r="H1106">
            <v>55</v>
          </cell>
          <cell r="I1106">
            <v>36</v>
          </cell>
          <cell r="J1106">
            <v>293</v>
          </cell>
        </row>
        <row r="1107">
          <cell r="F1107">
            <v>1036</v>
          </cell>
          <cell r="G1107">
            <v>1</v>
          </cell>
          <cell r="H1107">
            <v>56</v>
          </cell>
          <cell r="I1107">
            <v>1</v>
          </cell>
          <cell r="J1107">
            <v>299</v>
          </cell>
        </row>
        <row r="1108">
          <cell r="F1108">
            <v>1037</v>
          </cell>
          <cell r="G1108">
            <v>1</v>
          </cell>
          <cell r="H1108">
            <v>56</v>
          </cell>
          <cell r="I1108">
            <v>2</v>
          </cell>
          <cell r="J1108">
            <v>237</v>
          </cell>
        </row>
        <row r="1109">
          <cell r="F1109">
            <v>1038</v>
          </cell>
          <cell r="G1109">
            <v>1</v>
          </cell>
          <cell r="H1109">
            <v>56</v>
          </cell>
          <cell r="I1109">
            <v>3</v>
          </cell>
          <cell r="J1109">
            <v>258</v>
          </cell>
        </row>
        <row r="1110">
          <cell r="F1110">
            <v>0</v>
          </cell>
          <cell r="G1110">
            <v>0</v>
          </cell>
          <cell r="H1110">
            <v>0</v>
          </cell>
          <cell r="I1110">
            <v>0</v>
          </cell>
          <cell r="J1110">
            <v>0</v>
          </cell>
        </row>
        <row r="1111">
          <cell r="F1111">
            <v>1039</v>
          </cell>
          <cell r="G1111">
            <v>1</v>
          </cell>
          <cell r="H1111">
            <v>56</v>
          </cell>
          <cell r="I1111">
            <v>5</v>
          </cell>
          <cell r="J1111">
            <v>263</v>
          </cell>
        </row>
        <row r="1112">
          <cell r="F1112">
            <v>1040</v>
          </cell>
          <cell r="G1112">
            <v>1</v>
          </cell>
          <cell r="H1112">
            <v>56</v>
          </cell>
          <cell r="I1112">
            <v>6</v>
          </cell>
          <cell r="J1112">
            <v>235</v>
          </cell>
        </row>
        <row r="1113">
          <cell r="F1113">
            <v>1041</v>
          </cell>
          <cell r="G1113">
            <v>1</v>
          </cell>
          <cell r="H1113">
            <v>56</v>
          </cell>
          <cell r="I1113">
            <v>7</v>
          </cell>
          <cell r="J1113">
            <v>270</v>
          </cell>
        </row>
        <row r="1114">
          <cell r="F1114">
            <v>1042</v>
          </cell>
          <cell r="G1114">
            <v>1</v>
          </cell>
          <cell r="H1114">
            <v>56</v>
          </cell>
          <cell r="I1114">
            <v>8</v>
          </cell>
          <cell r="J1114">
            <v>248</v>
          </cell>
        </row>
        <row r="1115">
          <cell r="F1115">
            <v>1043</v>
          </cell>
          <cell r="G1115">
            <v>1</v>
          </cell>
          <cell r="H1115">
            <v>56</v>
          </cell>
          <cell r="I1115">
            <v>9</v>
          </cell>
          <cell r="J1115">
            <v>267</v>
          </cell>
        </row>
        <row r="1116">
          <cell r="F1116">
            <v>1044</v>
          </cell>
          <cell r="G1116">
            <v>1</v>
          </cell>
          <cell r="H1116">
            <v>56</v>
          </cell>
          <cell r="I1116">
            <v>10</v>
          </cell>
          <cell r="J1116">
            <v>271</v>
          </cell>
        </row>
        <row r="1117">
          <cell r="F1117">
            <v>1045</v>
          </cell>
          <cell r="G1117">
            <v>1</v>
          </cell>
          <cell r="H1117">
            <v>56</v>
          </cell>
          <cell r="I1117">
            <v>11</v>
          </cell>
          <cell r="J1117">
            <v>268</v>
          </cell>
        </row>
        <row r="1118">
          <cell r="F1118">
            <v>1046</v>
          </cell>
          <cell r="G1118">
            <v>1</v>
          </cell>
          <cell r="H1118">
            <v>56</v>
          </cell>
          <cell r="I1118">
            <v>12</v>
          </cell>
          <cell r="J1118">
            <v>274</v>
          </cell>
        </row>
        <row r="1119">
          <cell r="F1119">
            <v>0</v>
          </cell>
          <cell r="G1119">
            <v>0</v>
          </cell>
          <cell r="H1119">
            <v>0</v>
          </cell>
          <cell r="I1119">
            <v>0</v>
          </cell>
          <cell r="J1119">
            <v>0</v>
          </cell>
        </row>
        <row r="1120">
          <cell r="F1120">
            <v>1047</v>
          </cell>
          <cell r="G1120">
            <v>1</v>
          </cell>
          <cell r="H1120">
            <v>56</v>
          </cell>
          <cell r="I1120">
            <v>15</v>
          </cell>
          <cell r="J1120">
            <v>288</v>
          </cell>
        </row>
        <row r="1121">
          <cell r="F1121">
            <v>1048</v>
          </cell>
          <cell r="G1121">
            <v>1</v>
          </cell>
          <cell r="H1121">
            <v>56</v>
          </cell>
          <cell r="I1121">
            <v>16</v>
          </cell>
          <cell r="J1121">
            <v>293</v>
          </cell>
        </row>
        <row r="1122">
          <cell r="F1122">
            <v>1049</v>
          </cell>
          <cell r="G1122">
            <v>1</v>
          </cell>
          <cell r="H1122">
            <v>56</v>
          </cell>
          <cell r="I1122">
            <v>17</v>
          </cell>
          <cell r="J1122">
            <v>274</v>
          </cell>
        </row>
        <row r="1123">
          <cell r="F1123">
            <v>1050</v>
          </cell>
          <cell r="G1123">
            <v>1</v>
          </cell>
          <cell r="H1123">
            <v>56</v>
          </cell>
          <cell r="I1123">
            <v>18</v>
          </cell>
          <cell r="J1123">
            <v>303</v>
          </cell>
        </row>
        <row r="1124">
          <cell r="F1124">
            <v>1051</v>
          </cell>
          <cell r="G1124">
            <v>1</v>
          </cell>
          <cell r="H1124">
            <v>56</v>
          </cell>
          <cell r="I1124">
            <v>19</v>
          </cell>
          <cell r="J1124">
            <v>234</v>
          </cell>
        </row>
        <row r="1125">
          <cell r="F1125">
            <v>1052</v>
          </cell>
          <cell r="G1125">
            <v>1</v>
          </cell>
          <cell r="H1125">
            <v>56</v>
          </cell>
          <cell r="I1125">
            <v>20</v>
          </cell>
          <cell r="J1125">
            <v>262</v>
          </cell>
        </row>
        <row r="1126">
          <cell r="F1126">
            <v>1053</v>
          </cell>
          <cell r="G1126">
            <v>1</v>
          </cell>
          <cell r="H1126">
            <v>57</v>
          </cell>
          <cell r="I1126">
            <v>1</v>
          </cell>
          <cell r="J1126">
            <v>303</v>
          </cell>
        </row>
        <row r="1127">
          <cell r="F1127">
            <v>1054</v>
          </cell>
          <cell r="G1127">
            <v>1</v>
          </cell>
          <cell r="H1127">
            <v>57</v>
          </cell>
          <cell r="I1127">
            <v>2</v>
          </cell>
          <cell r="J1127">
            <v>264</v>
          </cell>
        </row>
        <row r="1128">
          <cell r="F1128">
            <v>1055</v>
          </cell>
          <cell r="G1128">
            <v>1</v>
          </cell>
          <cell r="H1128">
            <v>57</v>
          </cell>
          <cell r="I1128">
            <v>3</v>
          </cell>
          <cell r="J1128">
            <v>251</v>
          </cell>
        </row>
        <row r="1129">
          <cell r="F1129">
            <v>0</v>
          </cell>
          <cell r="G1129">
            <v>0</v>
          </cell>
          <cell r="H1129">
            <v>0</v>
          </cell>
          <cell r="I1129">
            <v>0</v>
          </cell>
          <cell r="J1129">
            <v>0</v>
          </cell>
        </row>
        <row r="1130">
          <cell r="F1130">
            <v>1056</v>
          </cell>
          <cell r="G1130">
            <v>1</v>
          </cell>
          <cell r="H1130">
            <v>57</v>
          </cell>
          <cell r="I1130">
            <v>5</v>
          </cell>
          <cell r="J1130">
            <v>420</v>
          </cell>
        </row>
        <row r="1131">
          <cell r="F1131">
            <v>1057</v>
          </cell>
          <cell r="G1131">
            <v>1</v>
          </cell>
          <cell r="H1131">
            <v>57</v>
          </cell>
          <cell r="I1131">
            <v>6</v>
          </cell>
          <cell r="J1131">
            <v>258</v>
          </cell>
        </row>
        <row r="1132">
          <cell r="F1132">
            <v>1058</v>
          </cell>
          <cell r="G1132">
            <v>1</v>
          </cell>
          <cell r="H1132">
            <v>57</v>
          </cell>
          <cell r="I1132">
            <v>7</v>
          </cell>
          <cell r="J1132">
            <v>246</v>
          </cell>
        </row>
        <row r="1133">
          <cell r="F1133">
            <v>1059</v>
          </cell>
          <cell r="G1133">
            <v>1</v>
          </cell>
          <cell r="H1133">
            <v>57</v>
          </cell>
          <cell r="I1133">
            <v>8</v>
          </cell>
          <cell r="J1133">
            <v>260</v>
          </cell>
        </row>
        <row r="1134">
          <cell r="F1134">
            <v>1060</v>
          </cell>
          <cell r="G1134">
            <v>1</v>
          </cell>
          <cell r="H1134">
            <v>57</v>
          </cell>
          <cell r="I1134">
            <v>9</v>
          </cell>
          <cell r="J1134">
            <v>267</v>
          </cell>
        </row>
        <row r="1135">
          <cell r="F1135">
            <v>1061</v>
          </cell>
          <cell r="G1135">
            <v>1</v>
          </cell>
          <cell r="H1135">
            <v>57</v>
          </cell>
          <cell r="I1135">
            <v>10</v>
          </cell>
          <cell r="J1135">
            <v>371</v>
          </cell>
        </row>
        <row r="1136">
          <cell r="F1136">
            <v>1062</v>
          </cell>
          <cell r="G1136">
            <v>1</v>
          </cell>
          <cell r="H1136">
            <v>57</v>
          </cell>
          <cell r="I1136">
            <v>11</v>
          </cell>
          <cell r="J1136">
            <v>345</v>
          </cell>
        </row>
        <row r="1137">
          <cell r="F1137">
            <v>1063</v>
          </cell>
          <cell r="G1137">
            <v>1</v>
          </cell>
          <cell r="H1137">
            <v>57</v>
          </cell>
          <cell r="I1137">
            <v>12</v>
          </cell>
          <cell r="J1137">
            <v>375</v>
          </cell>
        </row>
        <row r="1138">
          <cell r="F1138">
            <v>0</v>
          </cell>
          <cell r="G1138">
            <v>0</v>
          </cell>
          <cell r="H1138">
            <v>0</v>
          </cell>
          <cell r="I1138">
            <v>0</v>
          </cell>
          <cell r="J1138">
            <v>0</v>
          </cell>
        </row>
        <row r="1139">
          <cell r="F1139">
            <v>0</v>
          </cell>
          <cell r="G1139">
            <v>0</v>
          </cell>
          <cell r="H1139">
            <v>0</v>
          </cell>
          <cell r="I1139">
            <v>0</v>
          </cell>
          <cell r="J1139">
            <v>0</v>
          </cell>
        </row>
        <row r="1140">
          <cell r="F1140">
            <v>1064</v>
          </cell>
          <cell r="G1140">
            <v>1</v>
          </cell>
          <cell r="H1140">
            <v>57</v>
          </cell>
          <cell r="I1140">
            <v>15</v>
          </cell>
          <cell r="J1140">
            <v>296</v>
          </cell>
        </row>
        <row r="1141">
          <cell r="F1141">
            <v>1065</v>
          </cell>
          <cell r="G1141">
            <v>1</v>
          </cell>
          <cell r="H1141">
            <v>57</v>
          </cell>
          <cell r="I1141">
            <v>17</v>
          </cell>
          <cell r="J1141">
            <v>482</v>
          </cell>
        </row>
        <row r="1142">
          <cell r="F1142">
            <v>1066</v>
          </cell>
          <cell r="G1142">
            <v>1</v>
          </cell>
          <cell r="H1142">
            <v>57</v>
          </cell>
          <cell r="I1142">
            <v>18</v>
          </cell>
          <cell r="J1142">
            <v>263</v>
          </cell>
        </row>
        <row r="1143">
          <cell r="F1143">
            <v>1067</v>
          </cell>
          <cell r="G1143">
            <v>1</v>
          </cell>
          <cell r="H1143">
            <v>57</v>
          </cell>
          <cell r="I1143">
            <v>19</v>
          </cell>
          <cell r="J1143">
            <v>252</v>
          </cell>
        </row>
        <row r="1144">
          <cell r="F1144">
            <v>1068</v>
          </cell>
          <cell r="G1144">
            <v>1</v>
          </cell>
          <cell r="H1144">
            <v>57</v>
          </cell>
          <cell r="I1144">
            <v>20</v>
          </cell>
          <cell r="J1144">
            <v>312</v>
          </cell>
        </row>
        <row r="1145">
          <cell r="F1145">
            <v>1069</v>
          </cell>
          <cell r="G1145">
            <v>1</v>
          </cell>
          <cell r="H1145">
            <v>57</v>
          </cell>
          <cell r="I1145">
            <v>21</v>
          </cell>
          <cell r="J1145">
            <v>335</v>
          </cell>
        </row>
        <row r="1146">
          <cell r="F1146">
            <v>1070</v>
          </cell>
          <cell r="G1146">
            <v>1</v>
          </cell>
          <cell r="H1146">
            <v>57</v>
          </cell>
          <cell r="I1146">
            <v>22</v>
          </cell>
          <cell r="J1146">
            <v>295</v>
          </cell>
        </row>
        <row r="1147">
          <cell r="F1147">
            <v>1071</v>
          </cell>
          <cell r="G1147">
            <v>1</v>
          </cell>
          <cell r="H1147">
            <v>57</v>
          </cell>
          <cell r="I1147">
            <v>23</v>
          </cell>
          <cell r="J1147">
            <v>270</v>
          </cell>
        </row>
        <row r="1148">
          <cell r="F1148">
            <v>0</v>
          </cell>
          <cell r="G1148">
            <v>0</v>
          </cell>
          <cell r="H1148">
            <v>0</v>
          </cell>
          <cell r="I1148">
            <v>0</v>
          </cell>
          <cell r="J1148">
            <v>0</v>
          </cell>
        </row>
        <row r="1149">
          <cell r="F1149">
            <v>1072</v>
          </cell>
          <cell r="G1149">
            <v>1</v>
          </cell>
          <cell r="H1149">
            <v>57</v>
          </cell>
          <cell r="I1149">
            <v>25</v>
          </cell>
          <cell r="J1149">
            <v>270</v>
          </cell>
        </row>
        <row r="1150">
          <cell r="F1150">
            <v>1073</v>
          </cell>
          <cell r="G1150">
            <v>1</v>
          </cell>
          <cell r="H1150">
            <v>57</v>
          </cell>
          <cell r="I1150">
            <v>26</v>
          </cell>
          <cell r="J1150">
            <v>269</v>
          </cell>
        </row>
        <row r="1151">
          <cell r="F1151">
            <v>1074</v>
          </cell>
          <cell r="G1151">
            <v>1</v>
          </cell>
          <cell r="H1151">
            <v>57</v>
          </cell>
          <cell r="I1151">
            <v>27</v>
          </cell>
          <cell r="J1151">
            <v>273</v>
          </cell>
        </row>
        <row r="1152">
          <cell r="F1152">
            <v>1075</v>
          </cell>
          <cell r="G1152">
            <v>1</v>
          </cell>
          <cell r="H1152">
            <v>57</v>
          </cell>
          <cell r="I1152">
            <v>28</v>
          </cell>
          <cell r="J1152">
            <v>300</v>
          </cell>
        </row>
        <row r="1153">
          <cell r="F1153">
            <v>1076</v>
          </cell>
          <cell r="G1153">
            <v>1</v>
          </cell>
          <cell r="H1153">
            <v>57</v>
          </cell>
          <cell r="I1153">
            <v>29</v>
          </cell>
          <cell r="J1153">
            <v>301</v>
          </cell>
        </row>
        <row r="1154">
          <cell r="F1154">
            <v>1077</v>
          </cell>
          <cell r="G1154">
            <v>1</v>
          </cell>
          <cell r="H1154">
            <v>57</v>
          </cell>
          <cell r="I1154">
            <v>30</v>
          </cell>
          <cell r="J1154">
            <v>243</v>
          </cell>
        </row>
        <row r="1155">
          <cell r="F1155">
            <v>1078</v>
          </cell>
          <cell r="G1155">
            <v>1</v>
          </cell>
          <cell r="H1155">
            <v>57</v>
          </cell>
          <cell r="I1155">
            <v>31</v>
          </cell>
          <cell r="J1155">
            <v>243</v>
          </cell>
        </row>
        <row r="1156">
          <cell r="F1156">
            <v>1079</v>
          </cell>
          <cell r="G1156">
            <v>1</v>
          </cell>
          <cell r="H1156">
            <v>57</v>
          </cell>
          <cell r="I1156">
            <v>32</v>
          </cell>
          <cell r="J1156">
            <v>243</v>
          </cell>
        </row>
        <row r="1157">
          <cell r="F1157">
            <v>1080</v>
          </cell>
          <cell r="G1157">
            <v>1</v>
          </cell>
          <cell r="H1157">
            <v>57</v>
          </cell>
          <cell r="I1157">
            <v>33</v>
          </cell>
          <cell r="J1157">
            <v>244</v>
          </cell>
        </row>
        <row r="1158">
          <cell r="F1158">
            <v>0</v>
          </cell>
          <cell r="G1158">
            <v>0</v>
          </cell>
          <cell r="H1158">
            <v>0</v>
          </cell>
          <cell r="I1158">
            <v>0</v>
          </cell>
          <cell r="J1158">
            <v>0</v>
          </cell>
        </row>
        <row r="1159">
          <cell r="F1159">
            <v>1081</v>
          </cell>
          <cell r="G1159">
            <v>1</v>
          </cell>
          <cell r="H1159">
            <v>57</v>
          </cell>
          <cell r="I1159">
            <v>35</v>
          </cell>
          <cell r="J1159">
            <v>256</v>
          </cell>
        </row>
        <row r="1160">
          <cell r="F1160">
            <v>1082</v>
          </cell>
          <cell r="G1160">
            <v>1</v>
          </cell>
          <cell r="H1160">
            <v>57</v>
          </cell>
          <cell r="I1160">
            <v>36</v>
          </cell>
          <cell r="J1160">
            <v>248</v>
          </cell>
        </row>
        <row r="1161">
          <cell r="F1161">
            <v>1083</v>
          </cell>
          <cell r="G1161">
            <v>1</v>
          </cell>
          <cell r="H1161">
            <v>57</v>
          </cell>
          <cell r="I1161">
            <v>37</v>
          </cell>
          <cell r="J1161">
            <v>249</v>
          </cell>
        </row>
        <row r="1162">
          <cell r="F1162">
            <v>1084</v>
          </cell>
          <cell r="G1162">
            <v>1</v>
          </cell>
          <cell r="H1162">
            <v>57</v>
          </cell>
          <cell r="I1162">
            <v>38</v>
          </cell>
          <cell r="J1162">
            <v>361</v>
          </cell>
        </row>
        <row r="1163">
          <cell r="F1163">
            <v>1085</v>
          </cell>
          <cell r="G1163">
            <v>1</v>
          </cell>
          <cell r="H1163">
            <v>57</v>
          </cell>
          <cell r="I1163">
            <v>39</v>
          </cell>
          <cell r="J1163">
            <v>489</v>
          </cell>
        </row>
        <row r="1164">
          <cell r="F1164">
            <v>1086</v>
          </cell>
          <cell r="G1164">
            <v>1</v>
          </cell>
          <cell r="H1164">
            <v>57</v>
          </cell>
          <cell r="I1164">
            <v>40</v>
          </cell>
          <cell r="J1164">
            <v>300</v>
          </cell>
        </row>
        <row r="1165">
          <cell r="F1165">
            <v>1087</v>
          </cell>
          <cell r="G1165">
            <v>1</v>
          </cell>
          <cell r="H1165">
            <v>57</v>
          </cell>
          <cell r="I1165">
            <v>41</v>
          </cell>
          <cell r="J1165">
            <v>300</v>
          </cell>
        </row>
        <row r="1166">
          <cell r="F1166">
            <v>1088</v>
          </cell>
          <cell r="G1166">
            <v>1</v>
          </cell>
          <cell r="H1166">
            <v>57</v>
          </cell>
          <cell r="I1166">
            <v>42</v>
          </cell>
          <cell r="J1166">
            <v>330</v>
          </cell>
        </row>
        <row r="1167">
          <cell r="F1167">
            <v>1089</v>
          </cell>
          <cell r="G1167">
            <v>1</v>
          </cell>
          <cell r="H1167">
            <v>57</v>
          </cell>
          <cell r="I1167">
            <v>43</v>
          </cell>
          <cell r="J1167">
            <v>318</v>
          </cell>
        </row>
        <row r="1168">
          <cell r="F1168">
            <v>1090</v>
          </cell>
          <cell r="G1168">
            <v>1</v>
          </cell>
          <cell r="H1168">
            <v>57</v>
          </cell>
          <cell r="I1168">
            <v>45</v>
          </cell>
          <cell r="J1168">
            <v>295</v>
          </cell>
        </row>
        <row r="1169">
          <cell r="F1169">
            <v>1091</v>
          </cell>
          <cell r="G1169">
            <v>1</v>
          </cell>
          <cell r="H1169">
            <v>57</v>
          </cell>
          <cell r="I1169">
            <v>46</v>
          </cell>
          <cell r="J1169">
            <v>415</v>
          </cell>
        </row>
        <row r="1170">
          <cell r="F1170">
            <v>1092</v>
          </cell>
          <cell r="G1170">
            <v>1</v>
          </cell>
          <cell r="H1170">
            <v>57</v>
          </cell>
          <cell r="I1170">
            <v>47</v>
          </cell>
          <cell r="J1170">
            <v>395</v>
          </cell>
        </row>
        <row r="1171">
          <cell r="F1171">
            <v>1093</v>
          </cell>
          <cell r="G1171">
            <v>1</v>
          </cell>
          <cell r="H1171">
            <v>57</v>
          </cell>
          <cell r="I1171">
            <v>48</v>
          </cell>
          <cell r="J1171">
            <v>368</v>
          </cell>
        </row>
        <row r="1172">
          <cell r="F1172">
            <v>1094</v>
          </cell>
          <cell r="G1172">
            <v>1</v>
          </cell>
          <cell r="H1172">
            <v>57</v>
          </cell>
          <cell r="I1172">
            <v>49</v>
          </cell>
          <cell r="J1172">
            <v>258</v>
          </cell>
        </row>
        <row r="1173">
          <cell r="F1173">
            <v>1095</v>
          </cell>
          <cell r="G1173">
            <v>1</v>
          </cell>
          <cell r="H1173">
            <v>57</v>
          </cell>
          <cell r="I1173">
            <v>50</v>
          </cell>
          <cell r="J1173">
            <v>260</v>
          </cell>
        </row>
        <row r="1174">
          <cell r="F1174">
            <v>1096</v>
          </cell>
          <cell r="G1174">
            <v>1</v>
          </cell>
          <cell r="H1174">
            <v>57</v>
          </cell>
          <cell r="I1174">
            <v>51</v>
          </cell>
          <cell r="J1174">
            <v>254</v>
          </cell>
        </row>
        <row r="1175">
          <cell r="F1175">
            <v>1097</v>
          </cell>
          <cell r="G1175">
            <v>1</v>
          </cell>
          <cell r="H1175">
            <v>57</v>
          </cell>
          <cell r="I1175">
            <v>52</v>
          </cell>
          <cell r="J1175">
            <v>252</v>
          </cell>
        </row>
        <row r="1176">
          <cell r="F1176">
            <v>1098</v>
          </cell>
          <cell r="G1176">
            <v>1</v>
          </cell>
          <cell r="H1176">
            <v>57</v>
          </cell>
          <cell r="I1176">
            <v>53</v>
          </cell>
          <cell r="J1176">
            <v>310</v>
          </cell>
        </row>
        <row r="1177">
          <cell r="F1177">
            <v>1099</v>
          </cell>
          <cell r="G1177">
            <v>1</v>
          </cell>
          <cell r="H1177">
            <v>57</v>
          </cell>
          <cell r="I1177">
            <v>55</v>
          </cell>
          <cell r="J1177">
            <v>319</v>
          </cell>
        </row>
        <row r="1178">
          <cell r="F1178">
            <v>1100</v>
          </cell>
          <cell r="G1178">
            <v>1</v>
          </cell>
          <cell r="H1178">
            <v>57</v>
          </cell>
          <cell r="I1178">
            <v>56</v>
          </cell>
          <cell r="J1178">
            <v>253</v>
          </cell>
        </row>
        <row r="1179">
          <cell r="F1179">
            <v>1101</v>
          </cell>
          <cell r="G1179">
            <v>1</v>
          </cell>
          <cell r="H1179">
            <v>57</v>
          </cell>
          <cell r="I1179">
            <v>57</v>
          </cell>
          <cell r="J1179">
            <v>254</v>
          </cell>
        </row>
        <row r="1180">
          <cell r="F1180">
            <v>1102</v>
          </cell>
          <cell r="G1180">
            <v>1</v>
          </cell>
          <cell r="H1180">
            <v>57</v>
          </cell>
          <cell r="I1180">
            <v>58</v>
          </cell>
          <cell r="J1180">
            <v>255</v>
          </cell>
        </row>
        <row r="1181">
          <cell r="F1181">
            <v>1103</v>
          </cell>
          <cell r="G1181">
            <v>1</v>
          </cell>
          <cell r="H1181">
            <v>57</v>
          </cell>
          <cell r="I1181">
            <v>59</v>
          </cell>
          <cell r="J1181">
            <v>254</v>
          </cell>
        </row>
        <row r="1182">
          <cell r="F1182">
            <v>1104</v>
          </cell>
          <cell r="G1182">
            <v>1</v>
          </cell>
          <cell r="H1182">
            <v>57</v>
          </cell>
          <cell r="I1182">
            <v>60</v>
          </cell>
          <cell r="J1182">
            <v>254</v>
          </cell>
        </row>
        <row r="1183">
          <cell r="F1183">
            <v>1105</v>
          </cell>
          <cell r="G1183">
            <v>1</v>
          </cell>
          <cell r="H1183">
            <v>57</v>
          </cell>
          <cell r="I1183">
            <v>61</v>
          </cell>
          <cell r="J1183">
            <v>255</v>
          </cell>
        </row>
        <row r="1184">
          <cell r="F1184">
            <v>1106</v>
          </cell>
          <cell r="G1184">
            <v>1</v>
          </cell>
          <cell r="H1184">
            <v>57</v>
          </cell>
          <cell r="I1184">
            <v>62</v>
          </cell>
          <cell r="J1184">
            <v>256</v>
          </cell>
        </row>
        <row r="1185">
          <cell r="F1185">
            <v>1107</v>
          </cell>
          <cell r="G1185">
            <v>1</v>
          </cell>
          <cell r="H1185">
            <v>57</v>
          </cell>
          <cell r="I1185">
            <v>63</v>
          </cell>
          <cell r="J1185">
            <v>252</v>
          </cell>
        </row>
        <row r="1186">
          <cell r="F1186">
            <v>1108</v>
          </cell>
          <cell r="G1186">
            <v>1</v>
          </cell>
          <cell r="H1186">
            <v>57</v>
          </cell>
          <cell r="I1186">
            <v>65</v>
          </cell>
          <cell r="J1186">
            <v>252</v>
          </cell>
        </row>
        <row r="1187">
          <cell r="F1187">
            <v>1109</v>
          </cell>
          <cell r="G1187">
            <v>1</v>
          </cell>
          <cell r="H1187">
            <v>57</v>
          </cell>
          <cell r="I1187">
            <v>66</v>
          </cell>
          <cell r="J1187">
            <v>252</v>
          </cell>
        </row>
        <row r="1188">
          <cell r="F1188">
            <v>1110</v>
          </cell>
          <cell r="G1188">
            <v>1</v>
          </cell>
          <cell r="H1188">
            <v>57</v>
          </cell>
          <cell r="I1188">
            <v>67</v>
          </cell>
          <cell r="J1188">
            <v>252</v>
          </cell>
        </row>
        <row r="1189">
          <cell r="F1189">
            <v>1111</v>
          </cell>
          <cell r="G1189">
            <v>1</v>
          </cell>
          <cell r="H1189">
            <v>57</v>
          </cell>
          <cell r="I1189">
            <v>68</v>
          </cell>
          <cell r="J1189">
            <v>445</v>
          </cell>
        </row>
        <row r="1190">
          <cell r="F1190">
            <v>1112</v>
          </cell>
          <cell r="G1190">
            <v>1</v>
          </cell>
          <cell r="H1190">
            <v>58</v>
          </cell>
          <cell r="I1190">
            <v>1</v>
          </cell>
          <cell r="J1190">
            <v>278</v>
          </cell>
        </row>
        <row r="1191">
          <cell r="F1191">
            <v>1113</v>
          </cell>
          <cell r="G1191">
            <v>1</v>
          </cell>
          <cell r="H1191">
            <v>58</v>
          </cell>
          <cell r="I1191">
            <v>2</v>
          </cell>
          <cell r="J1191">
            <v>273</v>
          </cell>
        </row>
        <row r="1192">
          <cell r="F1192">
            <v>1114</v>
          </cell>
          <cell r="G1192">
            <v>1</v>
          </cell>
          <cell r="H1192">
            <v>58</v>
          </cell>
          <cell r="I1192">
            <v>3</v>
          </cell>
          <cell r="J1192">
            <v>241</v>
          </cell>
        </row>
        <row r="1193">
          <cell r="F1193">
            <v>1115</v>
          </cell>
          <cell r="G1193">
            <v>1</v>
          </cell>
          <cell r="H1193">
            <v>58</v>
          </cell>
          <cell r="I1193">
            <v>5</v>
          </cell>
          <cell r="J1193">
            <v>242</v>
          </cell>
        </row>
        <row r="1194">
          <cell r="F1194">
            <v>1116</v>
          </cell>
          <cell r="G1194">
            <v>1</v>
          </cell>
          <cell r="H1194">
            <v>58</v>
          </cell>
          <cell r="I1194">
            <v>6</v>
          </cell>
          <cell r="J1194">
            <v>249</v>
          </cell>
        </row>
        <row r="1195">
          <cell r="F1195">
            <v>1117</v>
          </cell>
          <cell r="G1195">
            <v>1</v>
          </cell>
          <cell r="H1195">
            <v>58</v>
          </cell>
          <cell r="I1195">
            <v>7</v>
          </cell>
          <cell r="J1195">
            <v>243</v>
          </cell>
        </row>
        <row r="1196">
          <cell r="F1196">
            <v>1118</v>
          </cell>
          <cell r="G1196">
            <v>1</v>
          </cell>
          <cell r="H1196">
            <v>58</v>
          </cell>
          <cell r="I1196">
            <v>8</v>
          </cell>
          <cell r="J1196">
            <v>247</v>
          </cell>
        </row>
        <row r="1197">
          <cell r="F1197">
            <v>1119</v>
          </cell>
          <cell r="G1197">
            <v>1</v>
          </cell>
          <cell r="H1197">
            <v>58</v>
          </cell>
          <cell r="I1197">
            <v>9</v>
          </cell>
          <cell r="J1197">
            <v>280</v>
          </cell>
        </row>
        <row r="1198">
          <cell r="F1198">
            <v>1120</v>
          </cell>
          <cell r="G1198">
            <v>1</v>
          </cell>
          <cell r="H1198">
            <v>58</v>
          </cell>
          <cell r="I1198">
            <v>10</v>
          </cell>
          <cell r="J1198">
            <v>301</v>
          </cell>
        </row>
        <row r="1199">
          <cell r="F1199">
            <v>1121</v>
          </cell>
          <cell r="G1199">
            <v>1</v>
          </cell>
          <cell r="H1199">
            <v>58</v>
          </cell>
          <cell r="I1199">
            <v>11</v>
          </cell>
          <cell r="J1199">
            <v>255</v>
          </cell>
        </row>
        <row r="1200">
          <cell r="F1200">
            <v>1122</v>
          </cell>
          <cell r="G1200">
            <v>1</v>
          </cell>
          <cell r="H1200">
            <v>58</v>
          </cell>
          <cell r="I1200">
            <v>12</v>
          </cell>
          <cell r="J1200">
            <v>267</v>
          </cell>
        </row>
        <row r="1201">
          <cell r="F1201">
            <v>1123</v>
          </cell>
          <cell r="G1201">
            <v>1</v>
          </cell>
          <cell r="H1201">
            <v>58</v>
          </cell>
          <cell r="I1201">
            <v>15</v>
          </cell>
          <cell r="J1201">
            <v>255</v>
          </cell>
        </row>
        <row r="1202">
          <cell r="F1202">
            <v>1124</v>
          </cell>
          <cell r="G1202">
            <v>1</v>
          </cell>
          <cell r="H1202">
            <v>58</v>
          </cell>
          <cell r="I1202">
            <v>16</v>
          </cell>
          <cell r="J1202">
            <v>253</v>
          </cell>
        </row>
        <row r="1203">
          <cell r="F1203">
            <v>1125</v>
          </cell>
          <cell r="G1203">
            <v>1</v>
          </cell>
          <cell r="H1203">
            <v>58</v>
          </cell>
          <cell r="I1203">
            <v>17</v>
          </cell>
          <cell r="J1203">
            <v>235</v>
          </cell>
        </row>
        <row r="1204">
          <cell r="F1204">
            <v>1126</v>
          </cell>
          <cell r="G1204">
            <v>1</v>
          </cell>
          <cell r="H1204">
            <v>58</v>
          </cell>
          <cell r="I1204">
            <v>18</v>
          </cell>
          <cell r="J1204">
            <v>263</v>
          </cell>
        </row>
        <row r="1205">
          <cell r="F1205">
            <v>1127</v>
          </cell>
          <cell r="G1205">
            <v>1</v>
          </cell>
          <cell r="H1205">
            <v>58</v>
          </cell>
          <cell r="I1205">
            <v>19</v>
          </cell>
          <cell r="J1205">
            <v>241</v>
          </cell>
        </row>
        <row r="1206">
          <cell r="F1206">
            <v>1128</v>
          </cell>
          <cell r="G1206">
            <v>1</v>
          </cell>
          <cell r="H1206">
            <v>58</v>
          </cell>
          <cell r="I1206">
            <v>20</v>
          </cell>
          <cell r="J1206">
            <v>280</v>
          </cell>
        </row>
        <row r="1207">
          <cell r="F1207">
            <v>1129</v>
          </cell>
          <cell r="G1207">
            <v>1</v>
          </cell>
          <cell r="H1207">
            <v>58</v>
          </cell>
          <cell r="I1207">
            <v>21</v>
          </cell>
          <cell r="J1207">
            <v>284</v>
          </cell>
        </row>
        <row r="1208">
          <cell r="F1208">
            <v>1130</v>
          </cell>
          <cell r="G1208">
            <v>1</v>
          </cell>
          <cell r="H1208">
            <v>59</v>
          </cell>
          <cell r="I1208">
            <v>1</v>
          </cell>
          <cell r="J1208">
            <v>336</v>
          </cell>
        </row>
        <row r="1209">
          <cell r="F1209">
            <v>1131</v>
          </cell>
          <cell r="G1209">
            <v>1</v>
          </cell>
          <cell r="H1209">
            <v>59</v>
          </cell>
          <cell r="I1209">
            <v>2</v>
          </cell>
          <cell r="J1209">
            <v>252</v>
          </cell>
        </row>
        <row r="1210">
          <cell r="F1210">
            <v>1132</v>
          </cell>
          <cell r="G1210">
            <v>1</v>
          </cell>
          <cell r="H1210">
            <v>59</v>
          </cell>
          <cell r="I1210">
            <v>3</v>
          </cell>
          <cell r="J1210">
            <v>252</v>
          </cell>
        </row>
        <row r="1211">
          <cell r="F1211">
            <v>0</v>
          </cell>
          <cell r="G1211">
            <v>0</v>
          </cell>
          <cell r="H1211">
            <v>0</v>
          </cell>
          <cell r="I1211">
            <v>0</v>
          </cell>
          <cell r="J1211">
            <v>0</v>
          </cell>
        </row>
        <row r="1212">
          <cell r="F1212">
            <v>1133</v>
          </cell>
          <cell r="G1212">
            <v>1</v>
          </cell>
          <cell r="H1212">
            <v>59</v>
          </cell>
          <cell r="I1212">
            <v>5</v>
          </cell>
          <cell r="J1212">
            <v>252</v>
          </cell>
        </row>
        <row r="1213">
          <cell r="F1213">
            <v>1134</v>
          </cell>
          <cell r="G1213">
            <v>1</v>
          </cell>
          <cell r="H1213">
            <v>59</v>
          </cell>
          <cell r="I1213">
            <v>6</v>
          </cell>
          <cell r="J1213">
            <v>252</v>
          </cell>
        </row>
        <row r="1214">
          <cell r="F1214">
            <v>1135</v>
          </cell>
          <cell r="G1214">
            <v>1</v>
          </cell>
          <cell r="H1214">
            <v>59</v>
          </cell>
          <cell r="I1214">
            <v>7</v>
          </cell>
          <cell r="J1214">
            <v>252</v>
          </cell>
        </row>
        <row r="1215">
          <cell r="F1215">
            <v>1136</v>
          </cell>
          <cell r="G1215">
            <v>1</v>
          </cell>
          <cell r="H1215">
            <v>59</v>
          </cell>
          <cell r="I1215">
            <v>8</v>
          </cell>
          <cell r="J1215">
            <v>252</v>
          </cell>
        </row>
        <row r="1216">
          <cell r="F1216">
            <v>1137</v>
          </cell>
          <cell r="G1216">
            <v>1</v>
          </cell>
          <cell r="H1216">
            <v>59</v>
          </cell>
          <cell r="I1216">
            <v>9</v>
          </cell>
          <cell r="J1216">
            <v>252</v>
          </cell>
        </row>
        <row r="1217">
          <cell r="F1217">
            <v>1138</v>
          </cell>
          <cell r="G1217">
            <v>1</v>
          </cell>
          <cell r="H1217">
            <v>59</v>
          </cell>
          <cell r="I1217">
            <v>10</v>
          </cell>
          <cell r="J1217">
            <v>252</v>
          </cell>
        </row>
        <row r="1218">
          <cell r="F1218">
            <v>1139</v>
          </cell>
          <cell r="G1218">
            <v>1</v>
          </cell>
          <cell r="H1218">
            <v>59</v>
          </cell>
          <cell r="I1218">
            <v>11</v>
          </cell>
          <cell r="J1218">
            <v>252</v>
          </cell>
        </row>
        <row r="1219">
          <cell r="F1219">
            <v>1140</v>
          </cell>
          <cell r="G1219">
            <v>1</v>
          </cell>
          <cell r="H1219">
            <v>59</v>
          </cell>
          <cell r="I1219">
            <v>12</v>
          </cell>
          <cell r="J1219">
            <v>253</v>
          </cell>
        </row>
        <row r="1220">
          <cell r="F1220">
            <v>1141</v>
          </cell>
          <cell r="G1220">
            <v>1</v>
          </cell>
          <cell r="H1220">
            <v>59</v>
          </cell>
          <cell r="I1220">
            <v>15</v>
          </cell>
          <cell r="J1220">
            <v>273</v>
          </cell>
        </row>
        <row r="1221">
          <cell r="F1221">
            <v>1142</v>
          </cell>
          <cell r="G1221">
            <v>1</v>
          </cell>
          <cell r="H1221">
            <v>59</v>
          </cell>
          <cell r="I1221">
            <v>16</v>
          </cell>
          <cell r="J1221">
            <v>288</v>
          </cell>
        </row>
        <row r="1222">
          <cell r="F1222">
            <v>1143</v>
          </cell>
          <cell r="G1222">
            <v>1</v>
          </cell>
          <cell r="H1222">
            <v>59</v>
          </cell>
          <cell r="I1222">
            <v>17</v>
          </cell>
          <cell r="J1222">
            <v>304</v>
          </cell>
        </row>
        <row r="1223">
          <cell r="F1223">
            <v>1144</v>
          </cell>
          <cell r="G1223">
            <v>1</v>
          </cell>
          <cell r="H1223">
            <v>59</v>
          </cell>
          <cell r="I1223">
            <v>18</v>
          </cell>
          <cell r="J1223">
            <v>288</v>
          </cell>
        </row>
        <row r="1224">
          <cell r="F1224">
            <v>1145</v>
          </cell>
          <cell r="G1224">
            <v>1</v>
          </cell>
          <cell r="H1224">
            <v>59</v>
          </cell>
          <cell r="I1224">
            <v>19</v>
          </cell>
          <cell r="J1224">
            <v>292</v>
          </cell>
        </row>
        <row r="1225">
          <cell r="F1225">
            <v>1146</v>
          </cell>
          <cell r="G1225">
            <v>1</v>
          </cell>
          <cell r="H1225">
            <v>59</v>
          </cell>
          <cell r="I1225">
            <v>20</v>
          </cell>
          <cell r="J1225">
            <v>261</v>
          </cell>
        </row>
        <row r="1226">
          <cell r="F1226">
            <v>1147</v>
          </cell>
          <cell r="G1226">
            <v>1</v>
          </cell>
          <cell r="H1226">
            <v>59</v>
          </cell>
          <cell r="I1226">
            <v>21</v>
          </cell>
          <cell r="J1226">
            <v>261</v>
          </cell>
        </row>
        <row r="1227">
          <cell r="F1227">
            <v>1148</v>
          </cell>
          <cell r="G1227">
            <v>1</v>
          </cell>
          <cell r="H1227">
            <v>59</v>
          </cell>
          <cell r="I1227">
            <v>22</v>
          </cell>
          <cell r="J1227">
            <v>294</v>
          </cell>
        </row>
        <row r="1228">
          <cell r="F1228">
            <v>1149</v>
          </cell>
          <cell r="G1228">
            <v>1</v>
          </cell>
          <cell r="H1228">
            <v>60</v>
          </cell>
          <cell r="I1228">
            <v>1</v>
          </cell>
          <cell r="J1228">
            <v>281</v>
          </cell>
        </row>
        <row r="1229">
          <cell r="F1229">
            <v>1150</v>
          </cell>
          <cell r="G1229">
            <v>1</v>
          </cell>
          <cell r="H1229">
            <v>60</v>
          </cell>
          <cell r="I1229">
            <v>2</v>
          </cell>
          <cell r="J1229">
            <v>348</v>
          </cell>
        </row>
        <row r="1230">
          <cell r="F1230">
            <v>1151</v>
          </cell>
          <cell r="G1230">
            <v>1</v>
          </cell>
          <cell r="H1230">
            <v>60</v>
          </cell>
          <cell r="I1230">
            <v>3</v>
          </cell>
          <cell r="J1230">
            <v>252</v>
          </cell>
        </row>
        <row r="1231">
          <cell r="F1231">
            <v>0</v>
          </cell>
          <cell r="G1231">
            <v>0</v>
          </cell>
          <cell r="H1231">
            <v>0</v>
          </cell>
          <cell r="I1231">
            <v>0</v>
          </cell>
          <cell r="J1231">
            <v>0</v>
          </cell>
        </row>
        <row r="1232">
          <cell r="F1232">
            <v>1152</v>
          </cell>
          <cell r="G1232">
            <v>1</v>
          </cell>
          <cell r="H1232">
            <v>60</v>
          </cell>
          <cell r="I1232">
            <v>5</v>
          </cell>
          <cell r="J1232">
            <v>252</v>
          </cell>
        </row>
        <row r="1233">
          <cell r="F1233">
            <v>1153</v>
          </cell>
          <cell r="G1233">
            <v>1</v>
          </cell>
          <cell r="H1233">
            <v>60</v>
          </cell>
          <cell r="I1233">
            <v>6</v>
          </cell>
          <cell r="J1233">
            <v>252</v>
          </cell>
        </row>
        <row r="1234">
          <cell r="F1234">
            <v>1154</v>
          </cell>
          <cell r="G1234">
            <v>1</v>
          </cell>
          <cell r="H1234">
            <v>60</v>
          </cell>
          <cell r="I1234">
            <v>7</v>
          </cell>
          <cell r="J1234">
            <v>252</v>
          </cell>
        </row>
        <row r="1235">
          <cell r="F1235">
            <v>1155</v>
          </cell>
          <cell r="G1235">
            <v>1</v>
          </cell>
          <cell r="H1235">
            <v>60</v>
          </cell>
          <cell r="I1235">
            <v>8</v>
          </cell>
          <cell r="J1235">
            <v>252</v>
          </cell>
        </row>
        <row r="1236">
          <cell r="F1236">
            <v>1156</v>
          </cell>
          <cell r="G1236">
            <v>1</v>
          </cell>
          <cell r="H1236">
            <v>60</v>
          </cell>
          <cell r="I1236">
            <v>9</v>
          </cell>
          <cell r="J1236">
            <v>252</v>
          </cell>
        </row>
        <row r="1237">
          <cell r="F1237">
            <v>1157</v>
          </cell>
          <cell r="G1237">
            <v>1</v>
          </cell>
          <cell r="H1237">
            <v>60</v>
          </cell>
          <cell r="I1237">
            <v>10</v>
          </cell>
          <cell r="J1237">
            <v>252</v>
          </cell>
        </row>
        <row r="1238">
          <cell r="F1238">
            <v>1158</v>
          </cell>
          <cell r="G1238">
            <v>1</v>
          </cell>
          <cell r="H1238">
            <v>60</v>
          </cell>
          <cell r="I1238">
            <v>11</v>
          </cell>
          <cell r="J1238">
            <v>252</v>
          </cell>
        </row>
        <row r="1239">
          <cell r="F1239">
            <v>1159</v>
          </cell>
          <cell r="G1239">
            <v>1</v>
          </cell>
          <cell r="H1239">
            <v>60</v>
          </cell>
          <cell r="I1239">
            <v>12</v>
          </cell>
          <cell r="J1239">
            <v>252</v>
          </cell>
        </row>
        <row r="1240">
          <cell r="F1240">
            <v>0</v>
          </cell>
          <cell r="G1240">
            <v>0</v>
          </cell>
          <cell r="H1240">
            <v>0</v>
          </cell>
          <cell r="I1240">
            <v>0</v>
          </cell>
          <cell r="J1240">
            <v>0</v>
          </cell>
        </row>
        <row r="1241">
          <cell r="F1241">
            <v>1160</v>
          </cell>
          <cell r="G1241">
            <v>1</v>
          </cell>
          <cell r="H1241">
            <v>60</v>
          </cell>
          <cell r="I1241">
            <v>15</v>
          </cell>
          <cell r="J1241">
            <v>251</v>
          </cell>
        </row>
        <row r="1242">
          <cell r="F1242">
            <v>1161</v>
          </cell>
          <cell r="G1242">
            <v>1</v>
          </cell>
          <cell r="H1242">
            <v>60</v>
          </cell>
          <cell r="I1242">
            <v>16</v>
          </cell>
          <cell r="J1242">
            <v>251</v>
          </cell>
        </row>
        <row r="1243">
          <cell r="F1243">
            <v>1162</v>
          </cell>
          <cell r="G1243">
            <v>1</v>
          </cell>
          <cell r="H1243">
            <v>60</v>
          </cell>
          <cell r="I1243">
            <v>17</v>
          </cell>
          <cell r="J1243">
            <v>254</v>
          </cell>
        </row>
        <row r="1244">
          <cell r="F1244">
            <v>1163</v>
          </cell>
          <cell r="G1244">
            <v>1</v>
          </cell>
          <cell r="H1244">
            <v>60</v>
          </cell>
          <cell r="I1244">
            <v>18</v>
          </cell>
          <cell r="J1244">
            <v>252</v>
          </cell>
        </row>
        <row r="1245">
          <cell r="F1245">
            <v>1164</v>
          </cell>
          <cell r="G1245">
            <v>1</v>
          </cell>
          <cell r="H1245">
            <v>60</v>
          </cell>
          <cell r="I1245">
            <v>19</v>
          </cell>
          <cell r="J1245">
            <v>258</v>
          </cell>
        </row>
        <row r="1246">
          <cell r="F1246">
            <v>1165</v>
          </cell>
          <cell r="G1246">
            <v>1</v>
          </cell>
          <cell r="H1246">
            <v>60</v>
          </cell>
          <cell r="I1246">
            <v>20</v>
          </cell>
          <cell r="J1246">
            <v>254</v>
          </cell>
        </row>
        <row r="1247">
          <cell r="F1247">
            <v>1166</v>
          </cell>
          <cell r="G1247">
            <v>1</v>
          </cell>
          <cell r="H1247">
            <v>60</v>
          </cell>
          <cell r="I1247">
            <v>21</v>
          </cell>
          <cell r="J1247">
            <v>259</v>
          </cell>
        </row>
        <row r="1248">
          <cell r="F1248">
            <v>1167</v>
          </cell>
          <cell r="G1248">
            <v>1</v>
          </cell>
          <cell r="H1248">
            <v>60</v>
          </cell>
          <cell r="I1248">
            <v>22</v>
          </cell>
          <cell r="J1248">
            <v>272</v>
          </cell>
        </row>
        <row r="1249">
          <cell r="F1249">
            <v>1168</v>
          </cell>
          <cell r="G1249">
            <v>1</v>
          </cell>
          <cell r="H1249">
            <v>60</v>
          </cell>
          <cell r="I1249">
            <v>23</v>
          </cell>
          <cell r="J1249">
            <v>283</v>
          </cell>
        </row>
        <row r="1250">
          <cell r="F1250">
            <v>1169</v>
          </cell>
          <cell r="G1250">
            <v>1</v>
          </cell>
          <cell r="H1250">
            <v>60</v>
          </cell>
          <cell r="I1250">
            <v>25</v>
          </cell>
          <cell r="J1250">
            <v>278</v>
          </cell>
        </row>
        <row r="1251">
          <cell r="F1251">
            <v>1170</v>
          </cell>
          <cell r="G1251">
            <v>1</v>
          </cell>
          <cell r="H1251">
            <v>60</v>
          </cell>
          <cell r="I1251">
            <v>26</v>
          </cell>
          <cell r="J1251">
            <v>314</v>
          </cell>
        </row>
        <row r="1252">
          <cell r="F1252">
            <v>1171</v>
          </cell>
          <cell r="G1252">
            <v>1</v>
          </cell>
          <cell r="H1252">
            <v>60</v>
          </cell>
          <cell r="I1252">
            <v>27</v>
          </cell>
          <cell r="J1252">
            <v>345</v>
          </cell>
        </row>
        <row r="1253">
          <cell r="F1253">
            <v>1172</v>
          </cell>
          <cell r="G1253">
            <v>1</v>
          </cell>
          <cell r="H1253">
            <v>60</v>
          </cell>
          <cell r="I1253">
            <v>28</v>
          </cell>
          <cell r="J1253">
            <v>338</v>
          </cell>
        </row>
        <row r="1254">
          <cell r="F1254">
            <v>1173</v>
          </cell>
          <cell r="G1254">
            <v>1</v>
          </cell>
          <cell r="H1254">
            <v>60</v>
          </cell>
          <cell r="I1254">
            <v>29</v>
          </cell>
          <cell r="J1254">
            <v>346</v>
          </cell>
        </row>
        <row r="1255">
          <cell r="F1255">
            <v>1174</v>
          </cell>
          <cell r="G1255">
            <v>1</v>
          </cell>
          <cell r="H1255">
            <v>60</v>
          </cell>
          <cell r="I1255">
            <v>30</v>
          </cell>
          <cell r="J1255">
            <v>337</v>
          </cell>
        </row>
        <row r="1256">
          <cell r="F1256">
            <v>1175</v>
          </cell>
          <cell r="G1256">
            <v>1</v>
          </cell>
          <cell r="H1256">
            <v>60</v>
          </cell>
          <cell r="I1256">
            <v>31</v>
          </cell>
          <cell r="J1256">
            <v>364</v>
          </cell>
        </row>
        <row r="1257">
          <cell r="F1257">
            <v>1176</v>
          </cell>
          <cell r="G1257">
            <v>1</v>
          </cell>
          <cell r="H1257">
            <v>60</v>
          </cell>
          <cell r="I1257">
            <v>32</v>
          </cell>
          <cell r="J1257">
            <v>340</v>
          </cell>
        </row>
        <row r="1258">
          <cell r="F1258">
            <v>1177</v>
          </cell>
          <cell r="G1258">
            <v>1</v>
          </cell>
          <cell r="H1258">
            <v>60</v>
          </cell>
          <cell r="I1258">
            <v>33</v>
          </cell>
          <cell r="J1258">
            <v>287</v>
          </cell>
        </row>
        <row r="1259">
          <cell r="F1259">
            <v>1178</v>
          </cell>
          <cell r="G1259">
            <v>1</v>
          </cell>
          <cell r="H1259">
            <v>60</v>
          </cell>
          <cell r="I1259">
            <v>35</v>
          </cell>
          <cell r="J1259">
            <v>413</v>
          </cell>
        </row>
        <row r="1260">
          <cell r="F1260">
            <v>1179</v>
          </cell>
          <cell r="G1260">
            <v>1</v>
          </cell>
          <cell r="H1260">
            <v>61</v>
          </cell>
          <cell r="I1260">
            <v>1</v>
          </cell>
          <cell r="J1260">
            <v>334</v>
          </cell>
        </row>
        <row r="1261">
          <cell r="F1261">
            <v>1180</v>
          </cell>
          <cell r="G1261">
            <v>1</v>
          </cell>
          <cell r="H1261">
            <v>61</v>
          </cell>
          <cell r="I1261">
            <v>2</v>
          </cell>
          <cell r="J1261">
            <v>330</v>
          </cell>
        </row>
        <row r="1262">
          <cell r="F1262">
            <v>1181</v>
          </cell>
          <cell r="G1262">
            <v>1</v>
          </cell>
          <cell r="H1262">
            <v>61</v>
          </cell>
          <cell r="I1262">
            <v>3</v>
          </cell>
          <cell r="J1262">
            <v>368</v>
          </cell>
        </row>
        <row r="1263">
          <cell r="F1263">
            <v>1182</v>
          </cell>
          <cell r="G1263">
            <v>1</v>
          </cell>
          <cell r="H1263">
            <v>61</v>
          </cell>
          <cell r="I1263">
            <v>5</v>
          </cell>
          <cell r="J1263">
            <v>270</v>
          </cell>
        </row>
        <row r="1264">
          <cell r="F1264">
            <v>1183</v>
          </cell>
          <cell r="G1264">
            <v>1</v>
          </cell>
          <cell r="H1264">
            <v>61</v>
          </cell>
          <cell r="I1264">
            <v>6</v>
          </cell>
          <cell r="J1264">
            <v>279</v>
          </cell>
        </row>
        <row r="1265">
          <cell r="F1265">
            <v>1184</v>
          </cell>
          <cell r="G1265">
            <v>1</v>
          </cell>
          <cell r="H1265">
            <v>61</v>
          </cell>
          <cell r="I1265">
            <v>7</v>
          </cell>
          <cell r="J1265">
            <v>273</v>
          </cell>
        </row>
        <row r="1266">
          <cell r="F1266">
            <v>1185</v>
          </cell>
          <cell r="G1266">
            <v>1</v>
          </cell>
          <cell r="H1266">
            <v>61</v>
          </cell>
          <cell r="I1266">
            <v>8</v>
          </cell>
          <cell r="J1266">
            <v>269</v>
          </cell>
        </row>
        <row r="1267">
          <cell r="F1267">
            <v>1186</v>
          </cell>
          <cell r="G1267">
            <v>1</v>
          </cell>
          <cell r="H1267">
            <v>61</v>
          </cell>
          <cell r="I1267">
            <v>9</v>
          </cell>
          <cell r="J1267">
            <v>277</v>
          </cell>
        </row>
        <row r="1268">
          <cell r="F1268">
            <v>1187</v>
          </cell>
          <cell r="G1268">
            <v>1</v>
          </cell>
          <cell r="H1268">
            <v>61</v>
          </cell>
          <cell r="I1268">
            <v>10</v>
          </cell>
          <cell r="J1268">
            <v>269</v>
          </cell>
        </row>
        <row r="1269">
          <cell r="F1269">
            <v>1188</v>
          </cell>
          <cell r="G1269">
            <v>1</v>
          </cell>
          <cell r="H1269">
            <v>61</v>
          </cell>
          <cell r="I1269">
            <v>11</v>
          </cell>
          <cell r="J1269">
            <v>299</v>
          </cell>
        </row>
        <row r="1270">
          <cell r="F1270">
            <v>1189</v>
          </cell>
          <cell r="G1270">
            <v>1</v>
          </cell>
          <cell r="H1270">
            <v>61</v>
          </cell>
          <cell r="I1270">
            <v>12</v>
          </cell>
          <cell r="J1270">
            <v>278</v>
          </cell>
        </row>
        <row r="1271">
          <cell r="F1271">
            <v>1190</v>
          </cell>
          <cell r="G1271">
            <v>1</v>
          </cell>
          <cell r="H1271">
            <v>61</v>
          </cell>
          <cell r="I1271">
            <v>15</v>
          </cell>
          <cell r="J1271">
            <v>318</v>
          </cell>
        </row>
        <row r="1272">
          <cell r="F1272">
            <v>1191</v>
          </cell>
          <cell r="G1272">
            <v>1</v>
          </cell>
          <cell r="H1272">
            <v>61</v>
          </cell>
          <cell r="I1272">
            <v>16</v>
          </cell>
          <cell r="J1272">
            <v>296</v>
          </cell>
        </row>
        <row r="1273">
          <cell r="F1273">
            <v>1192</v>
          </cell>
          <cell r="G1273">
            <v>1</v>
          </cell>
          <cell r="H1273">
            <v>61</v>
          </cell>
          <cell r="I1273">
            <v>17</v>
          </cell>
          <cell r="J1273">
            <v>331</v>
          </cell>
        </row>
        <row r="1274">
          <cell r="F1274">
            <v>1193</v>
          </cell>
          <cell r="G1274">
            <v>1</v>
          </cell>
          <cell r="H1274">
            <v>61</v>
          </cell>
          <cell r="I1274">
            <v>18</v>
          </cell>
          <cell r="J1274">
            <v>378</v>
          </cell>
        </row>
        <row r="1275">
          <cell r="F1275">
            <v>1194</v>
          </cell>
          <cell r="G1275">
            <v>1</v>
          </cell>
          <cell r="H1275">
            <v>61</v>
          </cell>
          <cell r="I1275">
            <v>19</v>
          </cell>
          <cell r="J1275">
            <v>254</v>
          </cell>
        </row>
        <row r="1276">
          <cell r="F1276">
            <v>1195</v>
          </cell>
          <cell r="G1276">
            <v>1</v>
          </cell>
          <cell r="H1276">
            <v>61</v>
          </cell>
          <cell r="I1276">
            <v>20</v>
          </cell>
          <cell r="J1276">
            <v>320</v>
          </cell>
        </row>
        <row r="1277">
          <cell r="F1277">
            <v>1196</v>
          </cell>
          <cell r="G1277">
            <v>1</v>
          </cell>
          <cell r="H1277">
            <v>61</v>
          </cell>
          <cell r="I1277">
            <v>21</v>
          </cell>
          <cell r="J1277">
            <v>306</v>
          </cell>
        </row>
        <row r="1278">
          <cell r="F1278">
            <v>1197</v>
          </cell>
          <cell r="G1278">
            <v>1</v>
          </cell>
          <cell r="H1278">
            <v>61</v>
          </cell>
          <cell r="I1278">
            <v>22</v>
          </cell>
          <cell r="J1278">
            <v>347</v>
          </cell>
        </row>
        <row r="1279">
          <cell r="F1279">
            <v>1198</v>
          </cell>
          <cell r="G1279">
            <v>1</v>
          </cell>
          <cell r="H1279">
            <v>61</v>
          </cell>
          <cell r="I1279">
            <v>23</v>
          </cell>
          <cell r="J1279">
            <v>263</v>
          </cell>
        </row>
        <row r="1280">
          <cell r="F1280">
            <v>1199</v>
          </cell>
          <cell r="G1280">
            <v>1</v>
          </cell>
          <cell r="H1280">
            <v>61</v>
          </cell>
          <cell r="I1280">
            <v>25</v>
          </cell>
          <cell r="J1280">
            <v>309</v>
          </cell>
        </row>
        <row r="1281">
          <cell r="F1281">
            <v>1200</v>
          </cell>
          <cell r="G1281">
            <v>1</v>
          </cell>
          <cell r="H1281">
            <v>61</v>
          </cell>
          <cell r="I1281">
            <v>26</v>
          </cell>
          <cell r="J1281">
            <v>273</v>
          </cell>
        </row>
        <row r="1282">
          <cell r="F1282">
            <v>1201</v>
          </cell>
          <cell r="G1282">
            <v>1</v>
          </cell>
          <cell r="H1282">
            <v>61</v>
          </cell>
          <cell r="I1282">
            <v>27</v>
          </cell>
          <cell r="J1282">
            <v>334</v>
          </cell>
        </row>
        <row r="1283">
          <cell r="F1283">
            <v>1202</v>
          </cell>
          <cell r="G1283">
            <v>1</v>
          </cell>
          <cell r="H1283">
            <v>61</v>
          </cell>
          <cell r="I1283">
            <v>28</v>
          </cell>
          <cell r="J1283">
            <v>252</v>
          </cell>
        </row>
        <row r="1284">
          <cell r="F1284">
            <v>1203</v>
          </cell>
          <cell r="G1284">
            <v>1</v>
          </cell>
          <cell r="H1284">
            <v>61</v>
          </cell>
          <cell r="I1284">
            <v>29</v>
          </cell>
          <cell r="J1284">
            <v>336</v>
          </cell>
        </row>
        <row r="1285">
          <cell r="F1285">
            <v>1204</v>
          </cell>
          <cell r="G1285">
            <v>1</v>
          </cell>
          <cell r="H1285">
            <v>61</v>
          </cell>
          <cell r="I1285">
            <v>30</v>
          </cell>
          <cell r="J1285">
            <v>272</v>
          </cell>
        </row>
        <row r="1286">
          <cell r="F1286">
            <v>1205</v>
          </cell>
          <cell r="G1286">
            <v>1</v>
          </cell>
          <cell r="H1286">
            <v>62</v>
          </cell>
          <cell r="I1286">
            <v>1</v>
          </cell>
          <cell r="J1286">
            <v>339</v>
          </cell>
        </row>
        <row r="1287">
          <cell r="F1287">
            <v>1206</v>
          </cell>
          <cell r="G1287">
            <v>1</v>
          </cell>
          <cell r="H1287">
            <v>62</v>
          </cell>
          <cell r="I1287">
            <v>2</v>
          </cell>
          <cell r="J1287">
            <v>312</v>
          </cell>
        </row>
        <row r="1288">
          <cell r="F1288">
            <v>1207</v>
          </cell>
          <cell r="G1288">
            <v>1</v>
          </cell>
          <cell r="H1288">
            <v>62</v>
          </cell>
          <cell r="I1288">
            <v>3</v>
          </cell>
          <cell r="J1288">
            <v>297</v>
          </cell>
        </row>
        <row r="1289">
          <cell r="F1289">
            <v>1208</v>
          </cell>
          <cell r="G1289">
            <v>1</v>
          </cell>
          <cell r="H1289">
            <v>62</v>
          </cell>
          <cell r="I1289">
            <v>5</v>
          </cell>
          <cell r="J1289">
            <v>284</v>
          </cell>
        </row>
        <row r="1290">
          <cell r="F1290">
            <v>1209</v>
          </cell>
          <cell r="G1290">
            <v>1</v>
          </cell>
          <cell r="H1290">
            <v>62</v>
          </cell>
          <cell r="I1290">
            <v>6</v>
          </cell>
          <cell r="J1290">
            <v>289</v>
          </cell>
        </row>
        <row r="1291">
          <cell r="F1291">
            <v>1210</v>
          </cell>
          <cell r="G1291">
            <v>1</v>
          </cell>
          <cell r="H1291">
            <v>62</v>
          </cell>
          <cell r="I1291">
            <v>7</v>
          </cell>
          <cell r="J1291">
            <v>293</v>
          </cell>
        </row>
        <row r="1292">
          <cell r="F1292">
            <v>1211</v>
          </cell>
          <cell r="G1292">
            <v>1</v>
          </cell>
          <cell r="H1292">
            <v>62</v>
          </cell>
          <cell r="I1292">
            <v>8</v>
          </cell>
          <cell r="J1292">
            <v>283</v>
          </cell>
        </row>
        <row r="1293">
          <cell r="F1293">
            <v>1212</v>
          </cell>
          <cell r="G1293">
            <v>1</v>
          </cell>
          <cell r="H1293">
            <v>62</v>
          </cell>
          <cell r="I1293">
            <v>9</v>
          </cell>
          <cell r="J1293">
            <v>411</v>
          </cell>
        </row>
        <row r="1294">
          <cell r="F1294">
            <v>1213</v>
          </cell>
          <cell r="G1294">
            <v>1</v>
          </cell>
          <cell r="H1294">
            <v>62</v>
          </cell>
          <cell r="I1294">
            <v>10</v>
          </cell>
          <cell r="J1294">
            <v>282</v>
          </cell>
        </row>
        <row r="1295">
          <cell r="F1295">
            <v>1214</v>
          </cell>
          <cell r="G1295">
            <v>1</v>
          </cell>
          <cell r="H1295">
            <v>62</v>
          </cell>
          <cell r="I1295">
            <v>11</v>
          </cell>
          <cell r="J1295">
            <v>434</v>
          </cell>
        </row>
        <row r="1296">
          <cell r="F1296">
            <v>0</v>
          </cell>
          <cell r="G1296">
            <v>0</v>
          </cell>
          <cell r="H1296">
            <v>0</v>
          </cell>
          <cell r="I1296">
            <v>0</v>
          </cell>
          <cell r="J1296">
            <v>0</v>
          </cell>
        </row>
        <row r="1297">
          <cell r="F1297">
            <v>0</v>
          </cell>
          <cell r="G1297">
            <v>0</v>
          </cell>
          <cell r="H1297">
            <v>0</v>
          </cell>
          <cell r="I1297">
            <v>0</v>
          </cell>
          <cell r="J1297">
            <v>0</v>
          </cell>
        </row>
        <row r="1298">
          <cell r="F1298">
            <v>0</v>
          </cell>
          <cell r="G1298">
            <v>0</v>
          </cell>
          <cell r="H1298">
            <v>0</v>
          </cell>
          <cell r="I1298">
            <v>0</v>
          </cell>
          <cell r="J1298">
            <v>0</v>
          </cell>
        </row>
        <row r="1299">
          <cell r="F1299">
            <v>1215</v>
          </cell>
          <cell r="G1299">
            <v>1</v>
          </cell>
          <cell r="H1299">
            <v>65</v>
          </cell>
          <cell r="I1299">
            <v>1</v>
          </cell>
          <cell r="J1299">
            <v>487</v>
          </cell>
        </row>
        <row r="1300">
          <cell r="F1300">
            <v>1216</v>
          </cell>
          <cell r="G1300">
            <v>1</v>
          </cell>
          <cell r="H1300">
            <v>65</v>
          </cell>
          <cell r="I1300">
            <v>2</v>
          </cell>
          <cell r="J1300">
            <v>292</v>
          </cell>
        </row>
        <row r="1301">
          <cell r="F1301">
            <v>1217</v>
          </cell>
          <cell r="G1301">
            <v>1</v>
          </cell>
          <cell r="H1301">
            <v>65</v>
          </cell>
          <cell r="I1301">
            <v>3</v>
          </cell>
          <cell r="J1301">
            <v>251</v>
          </cell>
        </row>
        <row r="1302">
          <cell r="F1302">
            <v>0</v>
          </cell>
          <cell r="G1302">
            <v>0</v>
          </cell>
          <cell r="H1302">
            <v>0</v>
          </cell>
          <cell r="I1302">
            <v>0</v>
          </cell>
          <cell r="J1302">
            <v>0</v>
          </cell>
        </row>
        <row r="1303">
          <cell r="F1303">
            <v>1218</v>
          </cell>
          <cell r="G1303">
            <v>1</v>
          </cell>
          <cell r="H1303">
            <v>65</v>
          </cell>
          <cell r="I1303">
            <v>5</v>
          </cell>
          <cell r="J1303">
            <v>252</v>
          </cell>
        </row>
        <row r="1304">
          <cell r="F1304">
            <v>1219</v>
          </cell>
          <cell r="G1304">
            <v>1</v>
          </cell>
          <cell r="H1304">
            <v>65</v>
          </cell>
          <cell r="I1304">
            <v>6</v>
          </cell>
          <cell r="J1304">
            <v>252</v>
          </cell>
        </row>
        <row r="1305">
          <cell r="F1305">
            <v>1220</v>
          </cell>
          <cell r="G1305">
            <v>1</v>
          </cell>
          <cell r="H1305">
            <v>65</v>
          </cell>
          <cell r="I1305">
            <v>7</v>
          </cell>
          <cell r="J1305">
            <v>252</v>
          </cell>
        </row>
        <row r="1306">
          <cell r="F1306">
            <v>1221</v>
          </cell>
          <cell r="G1306">
            <v>1</v>
          </cell>
          <cell r="H1306">
            <v>65</v>
          </cell>
          <cell r="I1306">
            <v>8</v>
          </cell>
          <cell r="J1306">
            <v>252</v>
          </cell>
        </row>
        <row r="1307">
          <cell r="F1307">
            <v>1222</v>
          </cell>
          <cell r="G1307">
            <v>1</v>
          </cell>
          <cell r="H1307">
            <v>65</v>
          </cell>
          <cell r="I1307">
            <v>9</v>
          </cell>
          <cell r="J1307">
            <v>348</v>
          </cell>
        </row>
        <row r="1308">
          <cell r="F1308">
            <v>1223</v>
          </cell>
          <cell r="G1308">
            <v>1</v>
          </cell>
          <cell r="H1308">
            <v>66</v>
          </cell>
          <cell r="I1308">
            <v>1</v>
          </cell>
          <cell r="J1308">
            <v>392</v>
          </cell>
        </row>
        <row r="1309">
          <cell r="F1309">
            <v>1224</v>
          </cell>
          <cell r="G1309">
            <v>1</v>
          </cell>
          <cell r="H1309">
            <v>66</v>
          </cell>
          <cell r="I1309">
            <v>2</v>
          </cell>
          <cell r="J1309">
            <v>315</v>
          </cell>
        </row>
        <row r="1310">
          <cell r="F1310">
            <v>1225</v>
          </cell>
          <cell r="G1310">
            <v>1</v>
          </cell>
          <cell r="H1310">
            <v>66</v>
          </cell>
          <cell r="I1310">
            <v>3</v>
          </cell>
          <cell r="J1310">
            <v>251</v>
          </cell>
        </row>
        <row r="1311">
          <cell r="F1311">
            <v>0</v>
          </cell>
          <cell r="G1311">
            <v>0</v>
          </cell>
          <cell r="H1311">
            <v>0</v>
          </cell>
          <cell r="I1311">
            <v>0</v>
          </cell>
          <cell r="J1311">
            <v>0</v>
          </cell>
        </row>
        <row r="1312">
          <cell r="F1312">
            <v>1226</v>
          </cell>
          <cell r="G1312">
            <v>1</v>
          </cell>
          <cell r="H1312">
            <v>66</v>
          </cell>
          <cell r="I1312">
            <v>5</v>
          </cell>
          <cell r="J1312">
            <v>263</v>
          </cell>
        </row>
        <row r="1313">
          <cell r="F1313">
            <v>1227</v>
          </cell>
          <cell r="G1313">
            <v>1</v>
          </cell>
          <cell r="H1313">
            <v>66</v>
          </cell>
          <cell r="I1313">
            <v>6</v>
          </cell>
          <cell r="J1313">
            <v>254</v>
          </cell>
        </row>
        <row r="1314">
          <cell r="F1314">
            <v>1228</v>
          </cell>
          <cell r="G1314">
            <v>1</v>
          </cell>
          <cell r="H1314">
            <v>66</v>
          </cell>
          <cell r="I1314">
            <v>7</v>
          </cell>
          <cell r="J1314">
            <v>278</v>
          </cell>
        </row>
        <row r="1315">
          <cell r="F1315">
            <v>1229</v>
          </cell>
          <cell r="G1315">
            <v>1</v>
          </cell>
          <cell r="H1315">
            <v>66</v>
          </cell>
          <cell r="I1315">
            <v>8</v>
          </cell>
          <cell r="J1315">
            <v>268</v>
          </cell>
        </row>
        <row r="1316">
          <cell r="F1316">
            <v>1230</v>
          </cell>
          <cell r="G1316">
            <v>1</v>
          </cell>
          <cell r="H1316">
            <v>66</v>
          </cell>
          <cell r="I1316">
            <v>9</v>
          </cell>
          <cell r="J1316">
            <v>266</v>
          </cell>
        </row>
        <row r="1317">
          <cell r="F1317">
            <v>1231</v>
          </cell>
          <cell r="G1317">
            <v>1</v>
          </cell>
          <cell r="H1317">
            <v>66</v>
          </cell>
          <cell r="I1317">
            <v>10</v>
          </cell>
          <cell r="J1317">
            <v>285</v>
          </cell>
        </row>
        <row r="1318">
          <cell r="F1318">
            <v>1232</v>
          </cell>
          <cell r="G1318">
            <v>1</v>
          </cell>
          <cell r="H1318">
            <v>66</v>
          </cell>
          <cell r="I1318">
            <v>11</v>
          </cell>
          <cell r="J1318">
            <v>270</v>
          </cell>
        </row>
        <row r="1319">
          <cell r="F1319">
            <v>1233</v>
          </cell>
          <cell r="G1319">
            <v>1</v>
          </cell>
          <cell r="H1319">
            <v>66</v>
          </cell>
          <cell r="I1319">
            <v>12</v>
          </cell>
          <cell r="J1319">
            <v>264</v>
          </cell>
        </row>
        <row r="1320">
          <cell r="F1320">
            <v>0</v>
          </cell>
          <cell r="G1320">
            <v>0</v>
          </cell>
          <cell r="H1320">
            <v>0</v>
          </cell>
          <cell r="I1320">
            <v>0</v>
          </cell>
          <cell r="J1320">
            <v>0</v>
          </cell>
        </row>
        <row r="1321">
          <cell r="F1321">
            <v>0</v>
          </cell>
          <cell r="G1321">
            <v>0</v>
          </cell>
          <cell r="H1321">
            <v>0</v>
          </cell>
          <cell r="I1321">
            <v>0</v>
          </cell>
          <cell r="J1321">
            <v>0</v>
          </cell>
        </row>
        <row r="1322">
          <cell r="F1322">
            <v>1234</v>
          </cell>
          <cell r="G1322">
            <v>1</v>
          </cell>
          <cell r="H1322">
            <v>66</v>
          </cell>
          <cell r="I1322">
            <v>15</v>
          </cell>
          <cell r="J1322">
            <v>255</v>
          </cell>
        </row>
        <row r="1323">
          <cell r="F1323">
            <v>1235</v>
          </cell>
          <cell r="G1323">
            <v>1</v>
          </cell>
          <cell r="H1323">
            <v>66</v>
          </cell>
          <cell r="I1323">
            <v>16</v>
          </cell>
          <cell r="J1323">
            <v>365</v>
          </cell>
        </row>
        <row r="1324">
          <cell r="F1324">
            <v>1236</v>
          </cell>
          <cell r="G1324">
            <v>1</v>
          </cell>
          <cell r="H1324">
            <v>66</v>
          </cell>
          <cell r="I1324">
            <v>17</v>
          </cell>
          <cell r="J1324">
            <v>252</v>
          </cell>
        </row>
        <row r="1325">
          <cell r="F1325">
            <v>1237</v>
          </cell>
          <cell r="G1325">
            <v>1</v>
          </cell>
          <cell r="H1325">
            <v>66</v>
          </cell>
          <cell r="I1325">
            <v>18</v>
          </cell>
          <cell r="J1325">
            <v>378</v>
          </cell>
        </row>
        <row r="1326">
          <cell r="F1326">
            <v>1238</v>
          </cell>
          <cell r="G1326">
            <v>1</v>
          </cell>
          <cell r="H1326">
            <v>66</v>
          </cell>
          <cell r="I1326">
            <v>19</v>
          </cell>
          <cell r="J1326">
            <v>282</v>
          </cell>
        </row>
        <row r="1327">
          <cell r="F1327">
            <v>1239</v>
          </cell>
          <cell r="G1327">
            <v>1</v>
          </cell>
          <cell r="H1327">
            <v>66</v>
          </cell>
          <cell r="I1327">
            <v>20</v>
          </cell>
          <cell r="J1327">
            <v>292</v>
          </cell>
        </row>
        <row r="1328">
          <cell r="F1328">
            <v>1240</v>
          </cell>
          <cell r="G1328">
            <v>1</v>
          </cell>
          <cell r="H1328">
            <v>66</v>
          </cell>
          <cell r="I1328">
            <v>21</v>
          </cell>
          <cell r="J1328">
            <v>242</v>
          </cell>
        </row>
        <row r="1329">
          <cell r="F1329">
            <v>1241</v>
          </cell>
          <cell r="G1329">
            <v>1</v>
          </cell>
          <cell r="H1329">
            <v>66</v>
          </cell>
          <cell r="I1329">
            <v>22</v>
          </cell>
          <cell r="J1329">
            <v>356</v>
          </cell>
        </row>
        <row r="1330">
          <cell r="F1330">
            <v>1242</v>
          </cell>
          <cell r="G1330">
            <v>1</v>
          </cell>
          <cell r="H1330">
            <v>66</v>
          </cell>
          <cell r="I1330">
            <v>23</v>
          </cell>
          <cell r="J1330">
            <v>238</v>
          </cell>
        </row>
        <row r="1331">
          <cell r="F1331">
            <v>1243</v>
          </cell>
          <cell r="G1331">
            <v>1</v>
          </cell>
          <cell r="H1331">
            <v>66</v>
          </cell>
          <cell r="I1331">
            <v>25</v>
          </cell>
          <cell r="J1331">
            <v>245</v>
          </cell>
        </row>
        <row r="1332">
          <cell r="F1332">
            <v>1244</v>
          </cell>
          <cell r="G1332">
            <v>1</v>
          </cell>
          <cell r="H1332">
            <v>66</v>
          </cell>
          <cell r="I1332">
            <v>26</v>
          </cell>
          <cell r="J1332">
            <v>263</v>
          </cell>
        </row>
        <row r="1333">
          <cell r="F1333">
            <v>1245</v>
          </cell>
          <cell r="G1333">
            <v>1</v>
          </cell>
          <cell r="H1333">
            <v>66</v>
          </cell>
          <cell r="I1333">
            <v>27</v>
          </cell>
          <cell r="J1333">
            <v>240</v>
          </cell>
        </row>
        <row r="1334">
          <cell r="F1334">
            <v>1246</v>
          </cell>
          <cell r="G1334">
            <v>1</v>
          </cell>
          <cell r="H1334">
            <v>66</v>
          </cell>
          <cell r="I1334">
            <v>28</v>
          </cell>
          <cell r="J1334">
            <v>293</v>
          </cell>
        </row>
        <row r="1335">
          <cell r="F1335">
            <v>1247</v>
          </cell>
          <cell r="G1335">
            <v>1</v>
          </cell>
          <cell r="H1335">
            <v>67</v>
          </cell>
          <cell r="I1335">
            <v>1</v>
          </cell>
          <cell r="J1335">
            <v>336</v>
          </cell>
        </row>
        <row r="1336">
          <cell r="F1336">
            <v>1248</v>
          </cell>
          <cell r="G1336">
            <v>1</v>
          </cell>
          <cell r="H1336">
            <v>67</v>
          </cell>
          <cell r="I1336">
            <v>2</v>
          </cell>
          <cell r="J1336">
            <v>252</v>
          </cell>
        </row>
        <row r="1337">
          <cell r="F1337">
            <v>1249</v>
          </cell>
          <cell r="G1337">
            <v>1</v>
          </cell>
          <cell r="H1337">
            <v>67</v>
          </cell>
          <cell r="I1337">
            <v>3</v>
          </cell>
          <cell r="J1337">
            <v>253</v>
          </cell>
        </row>
        <row r="1338">
          <cell r="F1338">
            <v>0</v>
          </cell>
          <cell r="G1338">
            <v>0</v>
          </cell>
          <cell r="H1338">
            <v>0</v>
          </cell>
          <cell r="I1338">
            <v>0</v>
          </cell>
          <cell r="J1338">
            <v>0</v>
          </cell>
        </row>
        <row r="1339">
          <cell r="F1339">
            <v>1250</v>
          </cell>
          <cell r="G1339">
            <v>1</v>
          </cell>
          <cell r="H1339">
            <v>67</v>
          </cell>
          <cell r="I1339">
            <v>5</v>
          </cell>
          <cell r="J1339">
            <v>253</v>
          </cell>
        </row>
        <row r="1340">
          <cell r="F1340">
            <v>1251</v>
          </cell>
          <cell r="G1340">
            <v>1</v>
          </cell>
          <cell r="H1340">
            <v>67</v>
          </cell>
          <cell r="I1340">
            <v>6</v>
          </cell>
          <cell r="J1340">
            <v>248</v>
          </cell>
        </row>
        <row r="1341">
          <cell r="F1341">
            <v>1252</v>
          </cell>
          <cell r="G1341">
            <v>1</v>
          </cell>
          <cell r="H1341">
            <v>67</v>
          </cell>
          <cell r="I1341">
            <v>7</v>
          </cell>
          <cell r="J1341">
            <v>261</v>
          </cell>
        </row>
        <row r="1342">
          <cell r="F1342">
            <v>1253</v>
          </cell>
          <cell r="G1342">
            <v>1</v>
          </cell>
          <cell r="H1342">
            <v>67</v>
          </cell>
          <cell r="I1342">
            <v>8</v>
          </cell>
          <cell r="J1342">
            <v>248</v>
          </cell>
        </row>
        <row r="1343">
          <cell r="F1343">
            <v>1254</v>
          </cell>
          <cell r="G1343">
            <v>1</v>
          </cell>
          <cell r="H1343">
            <v>67</v>
          </cell>
          <cell r="I1343">
            <v>9</v>
          </cell>
          <cell r="J1343">
            <v>308</v>
          </cell>
        </row>
        <row r="1344">
          <cell r="F1344">
            <v>1255</v>
          </cell>
          <cell r="G1344">
            <v>1</v>
          </cell>
          <cell r="H1344">
            <v>67</v>
          </cell>
          <cell r="I1344">
            <v>10</v>
          </cell>
          <cell r="J1344">
            <v>248</v>
          </cell>
        </row>
        <row r="1345">
          <cell r="F1345">
            <v>1256</v>
          </cell>
          <cell r="G1345">
            <v>1</v>
          </cell>
          <cell r="H1345">
            <v>67</v>
          </cell>
          <cell r="I1345">
            <v>11</v>
          </cell>
          <cell r="J1345">
            <v>414</v>
          </cell>
        </row>
        <row r="1346">
          <cell r="F1346">
            <v>1257</v>
          </cell>
          <cell r="G1346">
            <v>1</v>
          </cell>
          <cell r="H1346">
            <v>67</v>
          </cell>
          <cell r="I1346">
            <v>12</v>
          </cell>
          <cell r="J1346">
            <v>248</v>
          </cell>
        </row>
        <row r="1347">
          <cell r="F1347">
            <v>1258</v>
          </cell>
          <cell r="G1347">
            <v>1</v>
          </cell>
          <cell r="H1347">
            <v>67</v>
          </cell>
          <cell r="I1347">
            <v>15</v>
          </cell>
          <cell r="J1347">
            <v>383</v>
          </cell>
        </row>
        <row r="1348">
          <cell r="F1348">
            <v>1259</v>
          </cell>
          <cell r="G1348">
            <v>1</v>
          </cell>
          <cell r="H1348">
            <v>67</v>
          </cell>
          <cell r="I1348">
            <v>16</v>
          </cell>
          <cell r="J1348">
            <v>248</v>
          </cell>
        </row>
        <row r="1349">
          <cell r="F1349">
            <v>1260</v>
          </cell>
          <cell r="G1349">
            <v>1</v>
          </cell>
          <cell r="H1349">
            <v>67</v>
          </cell>
          <cell r="I1349">
            <v>17</v>
          </cell>
          <cell r="J1349">
            <v>359</v>
          </cell>
        </row>
        <row r="1350">
          <cell r="F1350">
            <v>1261</v>
          </cell>
          <cell r="G1350">
            <v>1</v>
          </cell>
          <cell r="H1350">
            <v>67</v>
          </cell>
          <cell r="I1350">
            <v>18</v>
          </cell>
          <cell r="J1350">
            <v>248</v>
          </cell>
        </row>
        <row r="1351">
          <cell r="F1351">
            <v>1262</v>
          </cell>
          <cell r="G1351">
            <v>1</v>
          </cell>
          <cell r="H1351">
            <v>67</v>
          </cell>
          <cell r="I1351">
            <v>19</v>
          </cell>
          <cell r="J1351">
            <v>300</v>
          </cell>
        </row>
        <row r="1352">
          <cell r="F1352">
            <v>1263</v>
          </cell>
          <cell r="G1352">
            <v>1</v>
          </cell>
          <cell r="H1352">
            <v>67</v>
          </cell>
          <cell r="I1352">
            <v>20</v>
          </cell>
          <cell r="J1352">
            <v>248</v>
          </cell>
        </row>
        <row r="1353">
          <cell r="F1353">
            <v>1264</v>
          </cell>
          <cell r="G1353">
            <v>1</v>
          </cell>
          <cell r="H1353">
            <v>67</v>
          </cell>
          <cell r="I1353">
            <v>21</v>
          </cell>
          <cell r="J1353">
            <v>264</v>
          </cell>
        </row>
        <row r="1354">
          <cell r="F1354">
            <v>1265</v>
          </cell>
          <cell r="G1354">
            <v>1</v>
          </cell>
          <cell r="H1354">
            <v>67</v>
          </cell>
          <cell r="I1354">
            <v>22</v>
          </cell>
          <cell r="J1354">
            <v>248</v>
          </cell>
        </row>
        <row r="1355">
          <cell r="F1355">
            <v>1266</v>
          </cell>
          <cell r="G1355">
            <v>1</v>
          </cell>
          <cell r="H1355">
            <v>67</v>
          </cell>
          <cell r="I1355">
            <v>23</v>
          </cell>
          <cell r="J1355">
            <v>292</v>
          </cell>
        </row>
        <row r="1356">
          <cell r="F1356">
            <v>1267</v>
          </cell>
          <cell r="G1356">
            <v>1</v>
          </cell>
          <cell r="H1356">
            <v>67</v>
          </cell>
          <cell r="I1356">
            <v>25</v>
          </cell>
          <cell r="J1356">
            <v>248</v>
          </cell>
        </row>
        <row r="1357">
          <cell r="F1357">
            <v>1268</v>
          </cell>
          <cell r="G1357">
            <v>1</v>
          </cell>
          <cell r="H1357">
            <v>67</v>
          </cell>
          <cell r="I1357">
            <v>26</v>
          </cell>
          <cell r="J1357">
            <v>291</v>
          </cell>
        </row>
        <row r="1358">
          <cell r="F1358">
            <v>1269</v>
          </cell>
          <cell r="G1358">
            <v>1</v>
          </cell>
          <cell r="H1358">
            <v>68</v>
          </cell>
          <cell r="I1358">
            <v>1</v>
          </cell>
          <cell r="J1358">
            <v>364</v>
          </cell>
        </row>
        <row r="1359">
          <cell r="F1359">
            <v>1270</v>
          </cell>
          <cell r="G1359">
            <v>1</v>
          </cell>
          <cell r="H1359">
            <v>68</v>
          </cell>
          <cell r="I1359">
            <v>2</v>
          </cell>
          <cell r="J1359">
            <v>308</v>
          </cell>
        </row>
        <row r="1360">
          <cell r="F1360">
            <v>1271</v>
          </cell>
          <cell r="G1360">
            <v>1</v>
          </cell>
          <cell r="H1360">
            <v>68</v>
          </cell>
          <cell r="I1360">
            <v>3</v>
          </cell>
          <cell r="J1360">
            <v>305</v>
          </cell>
        </row>
        <row r="1361">
          <cell r="F1361">
            <v>0</v>
          </cell>
          <cell r="G1361">
            <v>0</v>
          </cell>
          <cell r="H1361">
            <v>0</v>
          </cell>
          <cell r="I1361">
            <v>0</v>
          </cell>
          <cell r="J1361">
            <v>0</v>
          </cell>
        </row>
        <row r="1362">
          <cell r="F1362">
            <v>1272</v>
          </cell>
          <cell r="G1362">
            <v>1</v>
          </cell>
          <cell r="H1362">
            <v>68</v>
          </cell>
          <cell r="I1362">
            <v>5</v>
          </cell>
          <cell r="J1362">
            <v>306</v>
          </cell>
        </row>
        <row r="1363">
          <cell r="F1363">
            <v>1273</v>
          </cell>
          <cell r="G1363">
            <v>1</v>
          </cell>
          <cell r="H1363">
            <v>68</v>
          </cell>
          <cell r="I1363">
            <v>6</v>
          </cell>
          <cell r="J1363">
            <v>301</v>
          </cell>
        </row>
        <row r="1364">
          <cell r="F1364">
            <v>1274</v>
          </cell>
          <cell r="G1364">
            <v>1</v>
          </cell>
          <cell r="H1364">
            <v>68</v>
          </cell>
          <cell r="I1364">
            <v>7</v>
          </cell>
          <cell r="J1364">
            <v>308</v>
          </cell>
        </row>
        <row r="1365">
          <cell r="F1365">
            <v>1275</v>
          </cell>
          <cell r="G1365">
            <v>1</v>
          </cell>
          <cell r="H1365">
            <v>68</v>
          </cell>
          <cell r="I1365">
            <v>8</v>
          </cell>
          <cell r="J1365">
            <v>381</v>
          </cell>
        </row>
        <row r="1366">
          <cell r="F1366">
            <v>1276</v>
          </cell>
          <cell r="G1366">
            <v>1</v>
          </cell>
          <cell r="H1366">
            <v>68</v>
          </cell>
          <cell r="I1366">
            <v>9</v>
          </cell>
          <cell r="J1366">
            <v>307</v>
          </cell>
        </row>
        <row r="1367">
          <cell r="F1367">
            <v>1277</v>
          </cell>
          <cell r="G1367">
            <v>1</v>
          </cell>
          <cell r="H1367">
            <v>68</v>
          </cell>
          <cell r="I1367">
            <v>10</v>
          </cell>
          <cell r="J1367">
            <v>325</v>
          </cell>
        </row>
        <row r="1368">
          <cell r="F1368">
            <v>1278</v>
          </cell>
          <cell r="G1368">
            <v>1</v>
          </cell>
          <cell r="H1368">
            <v>68</v>
          </cell>
          <cell r="I1368">
            <v>11</v>
          </cell>
          <cell r="J1368">
            <v>316</v>
          </cell>
        </row>
        <row r="1369">
          <cell r="F1369">
            <v>1279</v>
          </cell>
          <cell r="G1369">
            <v>1</v>
          </cell>
          <cell r="H1369">
            <v>68</v>
          </cell>
          <cell r="I1369">
            <v>12</v>
          </cell>
          <cell r="J1369">
            <v>450</v>
          </cell>
        </row>
        <row r="1370">
          <cell r="F1370">
            <v>0</v>
          </cell>
          <cell r="G1370">
            <v>0</v>
          </cell>
          <cell r="H1370">
            <v>0</v>
          </cell>
          <cell r="I1370">
            <v>0</v>
          </cell>
          <cell r="J1370">
            <v>0</v>
          </cell>
        </row>
        <row r="1371">
          <cell r="F1371">
            <v>0</v>
          </cell>
          <cell r="G1371">
            <v>0</v>
          </cell>
          <cell r="H1371">
            <v>0</v>
          </cell>
          <cell r="I1371">
            <v>0</v>
          </cell>
          <cell r="J1371">
            <v>0</v>
          </cell>
        </row>
        <row r="1372">
          <cell r="F1372">
            <v>1280</v>
          </cell>
          <cell r="G1372">
            <v>1</v>
          </cell>
          <cell r="H1372">
            <v>68</v>
          </cell>
          <cell r="I1372">
            <v>15</v>
          </cell>
          <cell r="J1372">
            <v>365</v>
          </cell>
        </row>
        <row r="1373">
          <cell r="F1373">
            <v>1281</v>
          </cell>
          <cell r="G1373">
            <v>1</v>
          </cell>
          <cell r="H1373">
            <v>68</v>
          </cell>
          <cell r="I1373">
            <v>16</v>
          </cell>
          <cell r="J1373">
            <v>413</v>
          </cell>
        </row>
        <row r="1374">
          <cell r="F1374">
            <v>1282</v>
          </cell>
          <cell r="G1374">
            <v>1</v>
          </cell>
          <cell r="H1374">
            <v>68</v>
          </cell>
          <cell r="I1374">
            <v>17</v>
          </cell>
          <cell r="J1374">
            <v>635</v>
          </cell>
        </row>
        <row r="1375">
          <cell r="F1375">
            <v>1283</v>
          </cell>
          <cell r="G1375">
            <v>1</v>
          </cell>
          <cell r="H1375">
            <v>68</v>
          </cell>
          <cell r="I1375">
            <v>18</v>
          </cell>
          <cell r="J1375">
            <v>268</v>
          </cell>
        </row>
        <row r="1376">
          <cell r="F1376">
            <v>1284</v>
          </cell>
          <cell r="G1376">
            <v>1</v>
          </cell>
          <cell r="H1376">
            <v>68</v>
          </cell>
          <cell r="I1376">
            <v>19</v>
          </cell>
          <cell r="J1376">
            <v>258</v>
          </cell>
        </row>
        <row r="1377">
          <cell r="F1377">
            <v>1285</v>
          </cell>
          <cell r="G1377">
            <v>1</v>
          </cell>
          <cell r="H1377">
            <v>68</v>
          </cell>
          <cell r="I1377">
            <v>20</v>
          </cell>
          <cell r="J1377">
            <v>256</v>
          </cell>
        </row>
        <row r="1378">
          <cell r="F1378">
            <v>1286</v>
          </cell>
          <cell r="G1378">
            <v>1</v>
          </cell>
          <cell r="H1378">
            <v>68</v>
          </cell>
          <cell r="I1378">
            <v>21</v>
          </cell>
          <cell r="J1378">
            <v>252</v>
          </cell>
        </row>
        <row r="1379">
          <cell r="F1379">
            <v>1287</v>
          </cell>
          <cell r="G1379">
            <v>1</v>
          </cell>
          <cell r="H1379">
            <v>68</v>
          </cell>
          <cell r="I1379">
            <v>22</v>
          </cell>
          <cell r="J1379">
            <v>259</v>
          </cell>
        </row>
        <row r="1380">
          <cell r="F1380">
            <v>1288</v>
          </cell>
          <cell r="G1380">
            <v>1</v>
          </cell>
          <cell r="H1380">
            <v>68</v>
          </cell>
          <cell r="I1380">
            <v>23</v>
          </cell>
          <cell r="J1380">
            <v>241</v>
          </cell>
        </row>
        <row r="1381">
          <cell r="F1381">
            <v>0</v>
          </cell>
          <cell r="G1381">
            <v>0</v>
          </cell>
          <cell r="H1381">
            <v>0</v>
          </cell>
          <cell r="I1381">
            <v>0</v>
          </cell>
          <cell r="J1381">
            <v>0</v>
          </cell>
        </row>
        <row r="1382">
          <cell r="F1382">
            <v>1289</v>
          </cell>
          <cell r="G1382">
            <v>1</v>
          </cell>
          <cell r="H1382">
            <v>68</v>
          </cell>
          <cell r="I1382">
            <v>25</v>
          </cell>
          <cell r="J1382">
            <v>266</v>
          </cell>
        </row>
        <row r="1383">
          <cell r="F1383">
            <v>1290</v>
          </cell>
          <cell r="G1383">
            <v>1</v>
          </cell>
          <cell r="H1383">
            <v>68</v>
          </cell>
          <cell r="I1383">
            <v>26</v>
          </cell>
          <cell r="J1383">
            <v>280</v>
          </cell>
        </row>
        <row r="1384">
          <cell r="F1384">
            <v>1291</v>
          </cell>
          <cell r="G1384">
            <v>1</v>
          </cell>
          <cell r="H1384">
            <v>68</v>
          </cell>
          <cell r="I1384">
            <v>27</v>
          </cell>
          <cell r="J1384">
            <v>324</v>
          </cell>
        </row>
        <row r="1385">
          <cell r="F1385">
            <v>0</v>
          </cell>
          <cell r="G1385">
            <v>0</v>
          </cell>
          <cell r="H1385">
            <v>0</v>
          </cell>
          <cell r="I1385">
            <v>0</v>
          </cell>
          <cell r="J1385">
            <v>0</v>
          </cell>
        </row>
        <row r="1386">
          <cell r="F1386">
            <v>1292</v>
          </cell>
          <cell r="G1386">
            <v>1</v>
          </cell>
          <cell r="H1386">
            <v>70</v>
          </cell>
          <cell r="I1386">
            <v>1</v>
          </cell>
          <cell r="J1386">
            <v>299</v>
          </cell>
        </row>
        <row r="1387">
          <cell r="F1387">
            <v>1293</v>
          </cell>
          <cell r="G1387">
            <v>1</v>
          </cell>
          <cell r="H1387">
            <v>70</v>
          </cell>
          <cell r="I1387">
            <v>2</v>
          </cell>
          <cell r="J1387">
            <v>244</v>
          </cell>
        </row>
        <row r="1388">
          <cell r="F1388">
            <v>1294</v>
          </cell>
          <cell r="G1388">
            <v>1</v>
          </cell>
          <cell r="H1388">
            <v>70</v>
          </cell>
          <cell r="I1388">
            <v>3</v>
          </cell>
          <cell r="J1388">
            <v>296</v>
          </cell>
        </row>
        <row r="1389">
          <cell r="F1389">
            <v>0</v>
          </cell>
          <cell r="G1389">
            <v>0</v>
          </cell>
          <cell r="H1389">
            <v>0</v>
          </cell>
          <cell r="I1389">
            <v>0</v>
          </cell>
          <cell r="J1389">
            <v>0</v>
          </cell>
        </row>
        <row r="1390">
          <cell r="F1390">
            <v>1295</v>
          </cell>
          <cell r="G1390">
            <v>1</v>
          </cell>
          <cell r="H1390">
            <v>70</v>
          </cell>
          <cell r="I1390">
            <v>5</v>
          </cell>
          <cell r="J1390">
            <v>300</v>
          </cell>
        </row>
        <row r="1391">
          <cell r="F1391">
            <v>1296</v>
          </cell>
          <cell r="G1391">
            <v>1</v>
          </cell>
          <cell r="H1391">
            <v>70</v>
          </cell>
          <cell r="I1391">
            <v>6</v>
          </cell>
          <cell r="J1391">
            <v>355</v>
          </cell>
        </row>
        <row r="1392">
          <cell r="F1392">
            <v>1297</v>
          </cell>
          <cell r="G1392">
            <v>1</v>
          </cell>
          <cell r="H1392">
            <v>70</v>
          </cell>
          <cell r="I1392">
            <v>7</v>
          </cell>
          <cell r="J1392">
            <v>363</v>
          </cell>
        </row>
        <row r="1393">
          <cell r="F1393">
            <v>1298</v>
          </cell>
          <cell r="G1393">
            <v>1</v>
          </cell>
          <cell r="H1393">
            <v>70</v>
          </cell>
          <cell r="I1393">
            <v>8</v>
          </cell>
          <cell r="J1393">
            <v>411</v>
          </cell>
        </row>
        <row r="1394">
          <cell r="F1394">
            <v>1299</v>
          </cell>
          <cell r="G1394">
            <v>1</v>
          </cell>
          <cell r="H1394">
            <v>71</v>
          </cell>
          <cell r="I1394">
            <v>1</v>
          </cell>
          <cell r="J1394">
            <v>355</v>
          </cell>
        </row>
        <row r="1395">
          <cell r="F1395">
            <v>1300</v>
          </cell>
          <cell r="G1395">
            <v>1</v>
          </cell>
          <cell r="H1395">
            <v>71</v>
          </cell>
          <cell r="I1395">
            <v>2</v>
          </cell>
          <cell r="J1395">
            <v>277</v>
          </cell>
        </row>
        <row r="1396">
          <cell r="F1396">
            <v>1301</v>
          </cell>
          <cell r="G1396">
            <v>1</v>
          </cell>
          <cell r="H1396">
            <v>71</v>
          </cell>
          <cell r="I1396">
            <v>3</v>
          </cell>
          <cell r="J1396">
            <v>231</v>
          </cell>
        </row>
        <row r="1397">
          <cell r="F1397">
            <v>0</v>
          </cell>
          <cell r="G1397">
            <v>0</v>
          </cell>
          <cell r="H1397">
            <v>0</v>
          </cell>
          <cell r="I1397">
            <v>0</v>
          </cell>
          <cell r="J1397">
            <v>0</v>
          </cell>
        </row>
        <row r="1398">
          <cell r="F1398">
            <v>1302</v>
          </cell>
          <cell r="G1398">
            <v>1</v>
          </cell>
          <cell r="H1398">
            <v>71</v>
          </cell>
          <cell r="I1398">
            <v>5</v>
          </cell>
          <cell r="J1398">
            <v>248</v>
          </cell>
        </row>
        <row r="1399">
          <cell r="F1399">
            <v>1303</v>
          </cell>
          <cell r="G1399">
            <v>1</v>
          </cell>
          <cell r="H1399">
            <v>71</v>
          </cell>
          <cell r="I1399">
            <v>6</v>
          </cell>
          <cell r="J1399">
            <v>250</v>
          </cell>
        </row>
        <row r="1400">
          <cell r="F1400">
            <v>1304</v>
          </cell>
          <cell r="G1400">
            <v>1</v>
          </cell>
          <cell r="H1400">
            <v>71</v>
          </cell>
          <cell r="I1400">
            <v>7</v>
          </cell>
          <cell r="J1400">
            <v>251</v>
          </cell>
        </row>
        <row r="1401">
          <cell r="F1401">
            <v>1305</v>
          </cell>
          <cell r="G1401">
            <v>1</v>
          </cell>
          <cell r="H1401">
            <v>71</v>
          </cell>
          <cell r="I1401">
            <v>8</v>
          </cell>
          <cell r="J1401">
            <v>252</v>
          </cell>
        </row>
        <row r="1402">
          <cell r="F1402">
            <v>1306</v>
          </cell>
          <cell r="G1402">
            <v>1</v>
          </cell>
          <cell r="H1402">
            <v>71</v>
          </cell>
          <cell r="I1402">
            <v>9</v>
          </cell>
          <cell r="J1402">
            <v>252</v>
          </cell>
        </row>
        <row r="1403">
          <cell r="F1403">
            <v>1307</v>
          </cell>
          <cell r="G1403">
            <v>1</v>
          </cell>
          <cell r="H1403">
            <v>71</v>
          </cell>
          <cell r="I1403">
            <v>10</v>
          </cell>
          <cell r="J1403">
            <v>274</v>
          </cell>
        </row>
        <row r="1404">
          <cell r="F1404">
            <v>1308</v>
          </cell>
          <cell r="G1404">
            <v>1</v>
          </cell>
          <cell r="H1404">
            <v>72</v>
          </cell>
          <cell r="I1404">
            <v>1</v>
          </cell>
          <cell r="J1404">
            <v>276</v>
          </cell>
        </row>
        <row r="1405">
          <cell r="F1405">
            <v>1309</v>
          </cell>
          <cell r="G1405">
            <v>1</v>
          </cell>
          <cell r="H1405">
            <v>72</v>
          </cell>
          <cell r="I1405">
            <v>2</v>
          </cell>
          <cell r="J1405">
            <v>275</v>
          </cell>
        </row>
        <row r="1406">
          <cell r="F1406">
            <v>1310</v>
          </cell>
          <cell r="G1406">
            <v>1</v>
          </cell>
          <cell r="H1406">
            <v>72</v>
          </cell>
          <cell r="I1406">
            <v>3</v>
          </cell>
          <cell r="J1406">
            <v>220</v>
          </cell>
        </row>
        <row r="1407">
          <cell r="F1407">
            <v>1311</v>
          </cell>
          <cell r="G1407">
            <v>1</v>
          </cell>
          <cell r="H1407">
            <v>72</v>
          </cell>
          <cell r="I1407">
            <v>5</v>
          </cell>
          <cell r="J1407">
            <v>215</v>
          </cell>
        </row>
        <row r="1408">
          <cell r="F1408">
            <v>1312</v>
          </cell>
          <cell r="G1408">
            <v>1</v>
          </cell>
          <cell r="H1408">
            <v>72</v>
          </cell>
          <cell r="I1408">
            <v>6</v>
          </cell>
          <cell r="J1408">
            <v>222</v>
          </cell>
        </row>
        <row r="1409">
          <cell r="F1409">
            <v>1313</v>
          </cell>
          <cell r="G1409">
            <v>1</v>
          </cell>
          <cell r="H1409">
            <v>72</v>
          </cell>
          <cell r="I1409">
            <v>7</v>
          </cell>
          <cell r="J1409">
            <v>224</v>
          </cell>
        </row>
        <row r="1410">
          <cell r="F1410">
            <v>1314</v>
          </cell>
          <cell r="G1410">
            <v>1</v>
          </cell>
          <cell r="H1410">
            <v>72</v>
          </cell>
          <cell r="I1410">
            <v>8</v>
          </cell>
          <cell r="J1410">
            <v>218</v>
          </cell>
        </row>
        <row r="1411">
          <cell r="F1411">
            <v>1315</v>
          </cell>
          <cell r="G1411">
            <v>1</v>
          </cell>
          <cell r="H1411">
            <v>72</v>
          </cell>
          <cell r="I1411">
            <v>9</v>
          </cell>
          <cell r="J1411">
            <v>233</v>
          </cell>
        </row>
        <row r="1412">
          <cell r="F1412">
            <v>1316</v>
          </cell>
          <cell r="G1412">
            <v>1</v>
          </cell>
          <cell r="H1412">
            <v>72</v>
          </cell>
          <cell r="I1412">
            <v>10</v>
          </cell>
          <cell r="J1412">
            <v>223</v>
          </cell>
        </row>
        <row r="1413">
          <cell r="F1413">
            <v>1317</v>
          </cell>
          <cell r="G1413">
            <v>1</v>
          </cell>
          <cell r="H1413">
            <v>72</v>
          </cell>
          <cell r="I1413">
            <v>11</v>
          </cell>
          <cell r="J1413">
            <v>242</v>
          </cell>
        </row>
        <row r="1414">
          <cell r="F1414">
            <v>1318</v>
          </cell>
          <cell r="G1414">
            <v>1</v>
          </cell>
          <cell r="H1414">
            <v>72</v>
          </cell>
          <cell r="I1414">
            <v>12</v>
          </cell>
          <cell r="J1414">
            <v>234</v>
          </cell>
        </row>
        <row r="1415">
          <cell r="F1415">
            <v>1319</v>
          </cell>
          <cell r="G1415">
            <v>1</v>
          </cell>
          <cell r="H1415">
            <v>72</v>
          </cell>
          <cell r="I1415">
            <v>15</v>
          </cell>
          <cell r="J1415">
            <v>244</v>
          </cell>
        </row>
        <row r="1416">
          <cell r="F1416">
            <v>1320</v>
          </cell>
          <cell r="G1416">
            <v>1</v>
          </cell>
          <cell r="H1416">
            <v>72</v>
          </cell>
          <cell r="I1416">
            <v>16</v>
          </cell>
          <cell r="J1416">
            <v>246</v>
          </cell>
        </row>
        <row r="1417">
          <cell r="F1417">
            <v>1321</v>
          </cell>
          <cell r="G1417">
            <v>1</v>
          </cell>
          <cell r="H1417">
            <v>72</v>
          </cell>
          <cell r="I1417">
            <v>17</v>
          </cell>
          <cell r="J1417">
            <v>259</v>
          </cell>
        </row>
        <row r="1418">
          <cell r="F1418">
            <v>1322</v>
          </cell>
          <cell r="G1418">
            <v>1</v>
          </cell>
          <cell r="H1418">
            <v>72</v>
          </cell>
          <cell r="I1418">
            <v>18</v>
          </cell>
          <cell r="J1418">
            <v>254</v>
          </cell>
        </row>
        <row r="1419">
          <cell r="F1419">
            <v>1323</v>
          </cell>
          <cell r="G1419">
            <v>1</v>
          </cell>
          <cell r="H1419">
            <v>72</v>
          </cell>
          <cell r="I1419">
            <v>19</v>
          </cell>
          <cell r="J1419">
            <v>256</v>
          </cell>
        </row>
        <row r="1420">
          <cell r="F1420">
            <v>1324</v>
          </cell>
          <cell r="G1420">
            <v>1</v>
          </cell>
          <cell r="H1420">
            <v>72</v>
          </cell>
          <cell r="I1420">
            <v>20</v>
          </cell>
          <cell r="J1420">
            <v>246</v>
          </cell>
        </row>
        <row r="1421">
          <cell r="F1421">
            <v>1325</v>
          </cell>
          <cell r="G1421">
            <v>1</v>
          </cell>
          <cell r="H1421">
            <v>72</v>
          </cell>
          <cell r="I1421">
            <v>21</v>
          </cell>
          <cell r="J1421">
            <v>241</v>
          </cell>
        </row>
        <row r="1422">
          <cell r="F1422">
            <v>1326</v>
          </cell>
          <cell r="G1422">
            <v>1</v>
          </cell>
          <cell r="H1422">
            <v>72</v>
          </cell>
          <cell r="I1422">
            <v>22</v>
          </cell>
          <cell r="J1422">
            <v>252</v>
          </cell>
        </row>
        <row r="1423">
          <cell r="F1423">
            <v>1327</v>
          </cell>
          <cell r="G1423">
            <v>1</v>
          </cell>
          <cell r="H1423">
            <v>72</v>
          </cell>
          <cell r="I1423">
            <v>23</v>
          </cell>
          <cell r="J1423">
            <v>206</v>
          </cell>
        </row>
        <row r="1424">
          <cell r="F1424">
            <v>1328</v>
          </cell>
          <cell r="G1424">
            <v>1</v>
          </cell>
          <cell r="H1424">
            <v>72</v>
          </cell>
          <cell r="I1424">
            <v>25</v>
          </cell>
          <cell r="J1424">
            <v>205</v>
          </cell>
        </row>
        <row r="1425">
          <cell r="F1425">
            <v>1329</v>
          </cell>
          <cell r="G1425">
            <v>1</v>
          </cell>
          <cell r="H1425">
            <v>72</v>
          </cell>
          <cell r="I1425">
            <v>26</v>
          </cell>
          <cell r="J1425">
            <v>216</v>
          </cell>
        </row>
        <row r="1426">
          <cell r="F1426">
            <v>1330</v>
          </cell>
          <cell r="G1426">
            <v>1</v>
          </cell>
          <cell r="H1426">
            <v>72</v>
          </cell>
          <cell r="I1426">
            <v>27</v>
          </cell>
          <cell r="J1426">
            <v>222</v>
          </cell>
        </row>
        <row r="1427">
          <cell r="F1427">
            <v>1331</v>
          </cell>
          <cell r="G1427">
            <v>1</v>
          </cell>
          <cell r="H1427">
            <v>72</v>
          </cell>
          <cell r="I1427">
            <v>28</v>
          </cell>
          <cell r="J1427">
            <v>231</v>
          </cell>
        </row>
        <row r="1428">
          <cell r="F1428">
            <v>1332</v>
          </cell>
          <cell r="G1428">
            <v>1</v>
          </cell>
          <cell r="H1428">
            <v>72</v>
          </cell>
          <cell r="I1428">
            <v>29</v>
          </cell>
          <cell r="J1428">
            <v>252</v>
          </cell>
        </row>
        <row r="1429">
          <cell r="F1429">
            <v>1333</v>
          </cell>
          <cell r="G1429">
            <v>1</v>
          </cell>
          <cell r="H1429">
            <v>72</v>
          </cell>
          <cell r="I1429">
            <v>30</v>
          </cell>
          <cell r="J1429">
            <v>216</v>
          </cell>
        </row>
        <row r="1430">
          <cell r="F1430">
            <v>1334</v>
          </cell>
          <cell r="G1430">
            <v>1</v>
          </cell>
          <cell r="H1430">
            <v>72</v>
          </cell>
          <cell r="I1430">
            <v>31</v>
          </cell>
          <cell r="J1430">
            <v>268</v>
          </cell>
        </row>
        <row r="1431">
          <cell r="F1431">
            <v>1335</v>
          </cell>
          <cell r="G1431">
            <v>1</v>
          </cell>
          <cell r="H1431">
            <v>73</v>
          </cell>
          <cell r="I1431">
            <v>1</v>
          </cell>
          <cell r="J1431">
            <v>271</v>
          </cell>
        </row>
        <row r="1432">
          <cell r="F1432">
            <v>1336</v>
          </cell>
          <cell r="G1432">
            <v>1</v>
          </cell>
          <cell r="H1432">
            <v>73</v>
          </cell>
          <cell r="I1432">
            <v>2</v>
          </cell>
          <cell r="J1432">
            <v>278</v>
          </cell>
        </row>
        <row r="1433">
          <cell r="F1433">
            <v>1337</v>
          </cell>
          <cell r="G1433">
            <v>1</v>
          </cell>
          <cell r="H1433">
            <v>73</v>
          </cell>
          <cell r="I1433">
            <v>3</v>
          </cell>
          <cell r="J1433">
            <v>235</v>
          </cell>
        </row>
        <row r="1434">
          <cell r="F1434">
            <v>0</v>
          </cell>
          <cell r="G1434">
            <v>0</v>
          </cell>
          <cell r="H1434">
            <v>0</v>
          </cell>
          <cell r="I1434">
            <v>0</v>
          </cell>
          <cell r="J1434">
            <v>0</v>
          </cell>
        </row>
        <row r="1435">
          <cell r="F1435">
            <v>1338</v>
          </cell>
          <cell r="G1435">
            <v>1</v>
          </cell>
          <cell r="H1435">
            <v>73</v>
          </cell>
          <cell r="I1435">
            <v>5</v>
          </cell>
          <cell r="J1435">
            <v>232</v>
          </cell>
        </row>
        <row r="1436">
          <cell r="F1436">
            <v>1339</v>
          </cell>
          <cell r="G1436">
            <v>1</v>
          </cell>
          <cell r="H1436">
            <v>73</v>
          </cell>
          <cell r="I1436">
            <v>6</v>
          </cell>
          <cell r="J1436">
            <v>238</v>
          </cell>
        </row>
        <row r="1437">
          <cell r="F1437">
            <v>1340</v>
          </cell>
          <cell r="G1437">
            <v>1</v>
          </cell>
          <cell r="H1437">
            <v>73</v>
          </cell>
          <cell r="I1437">
            <v>7</v>
          </cell>
          <cell r="J1437">
            <v>232</v>
          </cell>
        </row>
        <row r="1438">
          <cell r="F1438">
            <v>1341</v>
          </cell>
          <cell r="G1438">
            <v>1</v>
          </cell>
          <cell r="H1438">
            <v>73</v>
          </cell>
          <cell r="I1438">
            <v>8</v>
          </cell>
          <cell r="J1438">
            <v>271</v>
          </cell>
        </row>
        <row r="1439">
          <cell r="F1439">
            <v>1342</v>
          </cell>
          <cell r="G1439">
            <v>1</v>
          </cell>
          <cell r="H1439">
            <v>73</v>
          </cell>
          <cell r="I1439">
            <v>9</v>
          </cell>
          <cell r="J1439">
            <v>268</v>
          </cell>
        </row>
        <row r="1440">
          <cell r="F1440">
            <v>1343</v>
          </cell>
          <cell r="G1440">
            <v>1</v>
          </cell>
          <cell r="H1440">
            <v>73</v>
          </cell>
          <cell r="I1440">
            <v>10</v>
          </cell>
          <cell r="J1440">
            <v>344</v>
          </cell>
        </row>
        <row r="1441">
          <cell r="F1441">
            <v>1344</v>
          </cell>
          <cell r="G1441">
            <v>1</v>
          </cell>
          <cell r="H1441">
            <v>73</v>
          </cell>
          <cell r="I1441">
            <v>11</v>
          </cell>
          <cell r="J1441">
            <v>299</v>
          </cell>
        </row>
        <row r="1442">
          <cell r="F1442">
            <v>1345</v>
          </cell>
          <cell r="G1442">
            <v>1</v>
          </cell>
          <cell r="H1442">
            <v>73</v>
          </cell>
          <cell r="I1442">
            <v>12</v>
          </cell>
          <cell r="J1442">
            <v>274</v>
          </cell>
        </row>
        <row r="1443">
          <cell r="F1443">
            <v>0</v>
          </cell>
          <cell r="G1443">
            <v>0</v>
          </cell>
          <cell r="H1443">
            <v>0</v>
          </cell>
          <cell r="I1443">
            <v>0</v>
          </cell>
          <cell r="J1443">
            <v>0</v>
          </cell>
        </row>
        <row r="1444">
          <cell r="F1444">
            <v>0</v>
          </cell>
          <cell r="G1444">
            <v>0</v>
          </cell>
          <cell r="H1444">
            <v>0</v>
          </cell>
          <cell r="I1444">
            <v>0</v>
          </cell>
          <cell r="J1444">
            <v>0</v>
          </cell>
        </row>
        <row r="1445">
          <cell r="F1445">
            <v>1346</v>
          </cell>
          <cell r="G1445">
            <v>1</v>
          </cell>
          <cell r="H1445">
            <v>73</v>
          </cell>
          <cell r="I1445">
            <v>15</v>
          </cell>
          <cell r="J1445">
            <v>279</v>
          </cell>
        </row>
        <row r="1446">
          <cell r="F1446">
            <v>1347</v>
          </cell>
          <cell r="G1446">
            <v>1</v>
          </cell>
          <cell r="H1446">
            <v>73</v>
          </cell>
          <cell r="I1446">
            <v>16</v>
          </cell>
          <cell r="J1446">
            <v>259</v>
          </cell>
        </row>
        <row r="1447">
          <cell r="F1447">
            <v>1348</v>
          </cell>
          <cell r="G1447">
            <v>1</v>
          </cell>
          <cell r="H1447">
            <v>73</v>
          </cell>
          <cell r="I1447">
            <v>17</v>
          </cell>
          <cell r="J1447">
            <v>244</v>
          </cell>
        </row>
        <row r="1448">
          <cell r="F1448">
            <v>1349</v>
          </cell>
          <cell r="G1448">
            <v>1</v>
          </cell>
          <cell r="H1448">
            <v>73</v>
          </cell>
          <cell r="I1448">
            <v>18</v>
          </cell>
          <cell r="J1448">
            <v>244</v>
          </cell>
        </row>
        <row r="1449">
          <cell r="F1449">
            <v>1350</v>
          </cell>
          <cell r="G1449">
            <v>1</v>
          </cell>
          <cell r="H1449">
            <v>73</v>
          </cell>
          <cell r="I1449">
            <v>19</v>
          </cell>
          <cell r="J1449">
            <v>277</v>
          </cell>
        </row>
        <row r="1450">
          <cell r="F1450">
            <v>1351</v>
          </cell>
          <cell r="G1450">
            <v>1</v>
          </cell>
          <cell r="H1450">
            <v>73</v>
          </cell>
          <cell r="I1450">
            <v>20</v>
          </cell>
          <cell r="J1450">
            <v>246</v>
          </cell>
        </row>
        <row r="1451">
          <cell r="F1451">
            <v>1352</v>
          </cell>
          <cell r="G1451">
            <v>1</v>
          </cell>
          <cell r="H1451">
            <v>73</v>
          </cell>
          <cell r="I1451">
            <v>21</v>
          </cell>
          <cell r="J1451">
            <v>252</v>
          </cell>
        </row>
        <row r="1452">
          <cell r="F1452">
            <v>1353</v>
          </cell>
          <cell r="G1452">
            <v>1</v>
          </cell>
          <cell r="H1452">
            <v>73</v>
          </cell>
          <cell r="I1452">
            <v>22</v>
          </cell>
          <cell r="J1452">
            <v>239</v>
          </cell>
        </row>
        <row r="1453">
          <cell r="F1453">
            <v>1354</v>
          </cell>
          <cell r="G1453">
            <v>1</v>
          </cell>
          <cell r="H1453">
            <v>73</v>
          </cell>
          <cell r="I1453">
            <v>23</v>
          </cell>
          <cell r="J1453">
            <v>242</v>
          </cell>
        </row>
        <row r="1454">
          <cell r="F1454">
            <v>1355</v>
          </cell>
          <cell r="G1454">
            <v>1</v>
          </cell>
          <cell r="H1454">
            <v>73</v>
          </cell>
          <cell r="I1454">
            <v>25</v>
          </cell>
          <cell r="J1454">
            <v>251</v>
          </cell>
        </row>
        <row r="1455">
          <cell r="F1455">
            <v>1356</v>
          </cell>
          <cell r="G1455">
            <v>1</v>
          </cell>
          <cell r="H1455">
            <v>73</v>
          </cell>
          <cell r="I1455">
            <v>26</v>
          </cell>
          <cell r="J1455">
            <v>241</v>
          </cell>
        </row>
        <row r="1456">
          <cell r="F1456">
            <v>1357</v>
          </cell>
          <cell r="G1456">
            <v>1</v>
          </cell>
          <cell r="H1456">
            <v>73</v>
          </cell>
          <cell r="I1456">
            <v>27</v>
          </cell>
          <cell r="J1456">
            <v>252</v>
          </cell>
        </row>
        <row r="1457">
          <cell r="F1457">
            <v>1358</v>
          </cell>
          <cell r="G1457">
            <v>1</v>
          </cell>
          <cell r="H1457">
            <v>73</v>
          </cell>
          <cell r="I1457">
            <v>28</v>
          </cell>
          <cell r="J1457">
            <v>239</v>
          </cell>
        </row>
        <row r="1458">
          <cell r="F1458">
            <v>1359</v>
          </cell>
          <cell r="G1458">
            <v>1</v>
          </cell>
          <cell r="H1458">
            <v>73</v>
          </cell>
          <cell r="I1458">
            <v>29</v>
          </cell>
          <cell r="J1458">
            <v>245</v>
          </cell>
        </row>
        <row r="1459">
          <cell r="F1459">
            <v>1360</v>
          </cell>
          <cell r="G1459">
            <v>1</v>
          </cell>
          <cell r="H1459">
            <v>73</v>
          </cell>
          <cell r="I1459">
            <v>30</v>
          </cell>
          <cell r="J1459">
            <v>307</v>
          </cell>
        </row>
        <row r="1460">
          <cell r="F1460">
            <v>1361</v>
          </cell>
          <cell r="G1460">
            <v>1</v>
          </cell>
          <cell r="H1460">
            <v>73</v>
          </cell>
          <cell r="I1460">
            <v>31</v>
          </cell>
          <cell r="J1460">
            <v>242</v>
          </cell>
        </row>
        <row r="1461">
          <cell r="F1461">
            <v>1362</v>
          </cell>
          <cell r="G1461">
            <v>1</v>
          </cell>
          <cell r="H1461">
            <v>73</v>
          </cell>
          <cell r="I1461">
            <v>32</v>
          </cell>
          <cell r="J1461">
            <v>319</v>
          </cell>
        </row>
        <row r="1462">
          <cell r="F1462">
            <v>0</v>
          </cell>
          <cell r="G1462">
            <v>0</v>
          </cell>
          <cell r="H1462">
            <v>0</v>
          </cell>
          <cell r="I1462">
            <v>0</v>
          </cell>
          <cell r="J1462">
            <v>0</v>
          </cell>
        </row>
        <row r="1463">
          <cell r="F1463">
            <v>1363</v>
          </cell>
          <cell r="G1463">
            <v>1</v>
          </cell>
          <cell r="H1463">
            <v>75</v>
          </cell>
          <cell r="I1463">
            <v>1</v>
          </cell>
          <cell r="J1463">
            <v>344</v>
          </cell>
        </row>
        <row r="1464">
          <cell r="F1464">
            <v>1364</v>
          </cell>
          <cell r="G1464">
            <v>1</v>
          </cell>
          <cell r="H1464">
            <v>75</v>
          </cell>
          <cell r="I1464">
            <v>2</v>
          </cell>
          <cell r="J1464">
            <v>278</v>
          </cell>
        </row>
        <row r="1465">
          <cell r="F1465">
            <v>1365</v>
          </cell>
          <cell r="G1465">
            <v>1</v>
          </cell>
          <cell r="H1465">
            <v>75</v>
          </cell>
          <cell r="I1465">
            <v>3</v>
          </cell>
          <cell r="J1465">
            <v>278</v>
          </cell>
        </row>
        <row r="1466">
          <cell r="F1466">
            <v>1366</v>
          </cell>
          <cell r="G1466">
            <v>1</v>
          </cell>
          <cell r="H1466">
            <v>75</v>
          </cell>
          <cell r="I1466">
            <v>5</v>
          </cell>
          <cell r="J1466">
            <v>277</v>
          </cell>
        </row>
        <row r="1467">
          <cell r="F1467">
            <v>1367</v>
          </cell>
          <cell r="G1467">
            <v>1</v>
          </cell>
          <cell r="H1467">
            <v>75</v>
          </cell>
          <cell r="I1467">
            <v>6</v>
          </cell>
          <cell r="J1467">
            <v>266</v>
          </cell>
        </row>
        <row r="1468">
          <cell r="F1468">
            <v>1368</v>
          </cell>
          <cell r="G1468">
            <v>1</v>
          </cell>
          <cell r="H1468">
            <v>75</v>
          </cell>
          <cell r="I1468">
            <v>7</v>
          </cell>
          <cell r="J1468">
            <v>406</v>
          </cell>
        </row>
        <row r="1469">
          <cell r="F1469">
            <v>1369</v>
          </cell>
          <cell r="G1469">
            <v>1</v>
          </cell>
          <cell r="H1469">
            <v>75</v>
          </cell>
          <cell r="I1469">
            <v>8</v>
          </cell>
          <cell r="J1469">
            <v>331</v>
          </cell>
        </row>
        <row r="1470">
          <cell r="F1470">
            <v>1370</v>
          </cell>
          <cell r="G1470">
            <v>1</v>
          </cell>
          <cell r="H1470">
            <v>75</v>
          </cell>
          <cell r="I1470">
            <v>9</v>
          </cell>
          <cell r="J1470">
            <v>235</v>
          </cell>
        </row>
        <row r="1471">
          <cell r="F1471">
            <v>1371</v>
          </cell>
          <cell r="G1471">
            <v>1</v>
          </cell>
          <cell r="H1471">
            <v>75</v>
          </cell>
          <cell r="I1471">
            <v>10</v>
          </cell>
          <cell r="J1471">
            <v>235</v>
          </cell>
        </row>
        <row r="1472">
          <cell r="F1472">
            <v>1372</v>
          </cell>
          <cell r="G1472">
            <v>1</v>
          </cell>
          <cell r="H1472">
            <v>75</v>
          </cell>
          <cell r="I1472">
            <v>11</v>
          </cell>
          <cell r="J1472">
            <v>235</v>
          </cell>
        </row>
        <row r="1473">
          <cell r="F1473">
            <v>1373</v>
          </cell>
          <cell r="G1473">
            <v>1</v>
          </cell>
          <cell r="H1473">
            <v>75</v>
          </cell>
          <cell r="I1473">
            <v>12</v>
          </cell>
          <cell r="J1473">
            <v>235</v>
          </cell>
        </row>
        <row r="1474">
          <cell r="F1474">
            <v>1374</v>
          </cell>
          <cell r="G1474">
            <v>1</v>
          </cell>
          <cell r="H1474">
            <v>75</v>
          </cell>
          <cell r="I1474">
            <v>15</v>
          </cell>
          <cell r="J1474">
            <v>234</v>
          </cell>
        </row>
        <row r="1475">
          <cell r="F1475">
            <v>1375</v>
          </cell>
          <cell r="G1475">
            <v>1</v>
          </cell>
          <cell r="H1475">
            <v>75</v>
          </cell>
          <cell r="I1475">
            <v>16</v>
          </cell>
          <cell r="J1475">
            <v>234</v>
          </cell>
        </row>
        <row r="1476">
          <cell r="F1476">
            <v>1376</v>
          </cell>
          <cell r="G1476">
            <v>1</v>
          </cell>
          <cell r="H1476">
            <v>75</v>
          </cell>
          <cell r="I1476">
            <v>17</v>
          </cell>
          <cell r="J1476">
            <v>234</v>
          </cell>
        </row>
        <row r="1477">
          <cell r="F1477">
            <v>1377</v>
          </cell>
          <cell r="G1477">
            <v>1</v>
          </cell>
          <cell r="H1477">
            <v>75</v>
          </cell>
          <cell r="I1477">
            <v>18</v>
          </cell>
          <cell r="J1477">
            <v>234</v>
          </cell>
        </row>
        <row r="1478">
          <cell r="F1478">
            <v>1378</v>
          </cell>
          <cell r="G1478">
            <v>1</v>
          </cell>
          <cell r="H1478">
            <v>75</v>
          </cell>
          <cell r="I1478">
            <v>19</v>
          </cell>
          <cell r="J1478">
            <v>234</v>
          </cell>
        </row>
        <row r="1479">
          <cell r="F1479">
            <v>1379</v>
          </cell>
          <cell r="G1479">
            <v>1</v>
          </cell>
          <cell r="H1479">
            <v>75</v>
          </cell>
          <cell r="I1479">
            <v>20</v>
          </cell>
          <cell r="J1479">
            <v>235</v>
          </cell>
        </row>
        <row r="1480">
          <cell r="F1480">
            <v>1380</v>
          </cell>
          <cell r="G1480">
            <v>1</v>
          </cell>
          <cell r="H1480">
            <v>75</v>
          </cell>
          <cell r="I1480">
            <v>21</v>
          </cell>
          <cell r="J1480">
            <v>271</v>
          </cell>
        </row>
        <row r="1481">
          <cell r="F1481">
            <v>0</v>
          </cell>
          <cell r="G1481">
            <v>0</v>
          </cell>
          <cell r="H1481">
            <v>0</v>
          </cell>
          <cell r="I1481">
            <v>0</v>
          </cell>
          <cell r="J1481">
            <v>0</v>
          </cell>
        </row>
        <row r="1482">
          <cell r="F1482">
            <v>1381</v>
          </cell>
          <cell r="G1482">
            <v>1</v>
          </cell>
          <cell r="H1482">
            <v>77</v>
          </cell>
          <cell r="I1482">
            <v>1</v>
          </cell>
          <cell r="J1482">
            <v>382</v>
          </cell>
        </row>
        <row r="1483">
          <cell r="F1483">
            <v>1382</v>
          </cell>
          <cell r="G1483">
            <v>1</v>
          </cell>
          <cell r="H1483">
            <v>77</v>
          </cell>
          <cell r="I1483">
            <v>2</v>
          </cell>
          <cell r="J1483">
            <v>272</v>
          </cell>
        </row>
        <row r="1484">
          <cell r="F1484">
            <v>1383</v>
          </cell>
          <cell r="G1484">
            <v>1</v>
          </cell>
          <cell r="H1484">
            <v>77</v>
          </cell>
          <cell r="I1484">
            <v>3</v>
          </cell>
          <cell r="J1484">
            <v>281</v>
          </cell>
        </row>
        <row r="1485">
          <cell r="F1485">
            <v>1384</v>
          </cell>
          <cell r="G1485">
            <v>1</v>
          </cell>
          <cell r="H1485">
            <v>77</v>
          </cell>
          <cell r="I1485">
            <v>5</v>
          </cell>
          <cell r="J1485">
            <v>291</v>
          </cell>
        </row>
        <row r="1486">
          <cell r="F1486">
            <v>1385</v>
          </cell>
          <cell r="G1486">
            <v>1</v>
          </cell>
          <cell r="H1486">
            <v>77</v>
          </cell>
          <cell r="I1486">
            <v>6</v>
          </cell>
          <cell r="J1486">
            <v>304</v>
          </cell>
        </row>
        <row r="1487">
          <cell r="F1487">
            <v>1386</v>
          </cell>
          <cell r="G1487">
            <v>1</v>
          </cell>
          <cell r="H1487">
            <v>77</v>
          </cell>
          <cell r="I1487">
            <v>7</v>
          </cell>
          <cell r="J1487">
            <v>335</v>
          </cell>
        </row>
        <row r="1488">
          <cell r="F1488">
            <v>1387</v>
          </cell>
          <cell r="G1488">
            <v>1</v>
          </cell>
          <cell r="H1488">
            <v>77</v>
          </cell>
          <cell r="I1488">
            <v>8</v>
          </cell>
          <cell r="J1488">
            <v>465</v>
          </cell>
        </row>
        <row r="1489">
          <cell r="F1489">
            <v>1388</v>
          </cell>
          <cell r="G1489">
            <v>1</v>
          </cell>
          <cell r="H1489">
            <v>78</v>
          </cell>
          <cell r="I1489">
            <v>1</v>
          </cell>
          <cell r="J1489">
            <v>346</v>
          </cell>
        </row>
        <row r="1490">
          <cell r="F1490">
            <v>1389</v>
          </cell>
          <cell r="G1490">
            <v>1</v>
          </cell>
          <cell r="H1490">
            <v>78</v>
          </cell>
          <cell r="I1490">
            <v>2</v>
          </cell>
          <cell r="J1490">
            <v>342</v>
          </cell>
        </row>
        <row r="1491">
          <cell r="F1491">
            <v>1390</v>
          </cell>
          <cell r="G1491">
            <v>1</v>
          </cell>
          <cell r="H1491">
            <v>78</v>
          </cell>
          <cell r="I1491">
            <v>3</v>
          </cell>
          <cell r="J1491">
            <v>344</v>
          </cell>
        </row>
        <row r="1492">
          <cell r="F1492">
            <v>0</v>
          </cell>
          <cell r="G1492">
            <v>0</v>
          </cell>
          <cell r="H1492">
            <v>0</v>
          </cell>
          <cell r="I1492">
            <v>0</v>
          </cell>
          <cell r="J1492">
            <v>0</v>
          </cell>
        </row>
        <row r="1493">
          <cell r="F1493">
            <v>1391</v>
          </cell>
          <cell r="G1493">
            <v>1</v>
          </cell>
          <cell r="H1493">
            <v>78</v>
          </cell>
          <cell r="I1493">
            <v>5</v>
          </cell>
          <cell r="J1493">
            <v>498</v>
          </cell>
        </row>
        <row r="1494">
          <cell r="F1494">
            <v>1392</v>
          </cell>
          <cell r="G1494">
            <v>1</v>
          </cell>
          <cell r="H1494">
            <v>78</v>
          </cell>
          <cell r="I1494">
            <v>6</v>
          </cell>
          <cell r="J1494">
            <v>472</v>
          </cell>
        </row>
        <row r="1495">
          <cell r="F1495">
            <v>0</v>
          </cell>
          <cell r="G1495">
            <v>0</v>
          </cell>
          <cell r="H1495">
            <v>0</v>
          </cell>
          <cell r="I1495">
            <v>0</v>
          </cell>
          <cell r="J1495">
            <v>0</v>
          </cell>
        </row>
        <row r="1496">
          <cell r="F1496">
            <v>0</v>
          </cell>
          <cell r="G1496">
            <v>0</v>
          </cell>
          <cell r="H1496">
            <v>0</v>
          </cell>
          <cell r="I1496">
            <v>0</v>
          </cell>
          <cell r="J1496">
            <v>0</v>
          </cell>
        </row>
        <row r="1497">
          <cell r="F1497">
            <v>0</v>
          </cell>
          <cell r="G1497">
            <v>0</v>
          </cell>
          <cell r="H1497">
            <v>0</v>
          </cell>
          <cell r="I1497">
            <v>0</v>
          </cell>
          <cell r="J1497">
            <v>0</v>
          </cell>
        </row>
        <row r="1498">
          <cell r="F1498">
            <v>0</v>
          </cell>
          <cell r="G1498">
            <v>0</v>
          </cell>
          <cell r="H1498">
            <v>0</v>
          </cell>
          <cell r="I1498">
            <v>0</v>
          </cell>
          <cell r="J1498">
            <v>0</v>
          </cell>
        </row>
        <row r="1499">
          <cell r="F1499">
            <v>0</v>
          </cell>
          <cell r="G1499">
            <v>0</v>
          </cell>
          <cell r="H1499">
            <v>0</v>
          </cell>
          <cell r="I1499">
            <v>0</v>
          </cell>
          <cell r="J1499">
            <v>0</v>
          </cell>
        </row>
        <row r="1500">
          <cell r="F1500">
            <v>0</v>
          </cell>
          <cell r="G1500">
            <v>0</v>
          </cell>
          <cell r="H1500">
            <v>0</v>
          </cell>
          <cell r="I1500">
            <v>0</v>
          </cell>
          <cell r="J1500">
            <v>0</v>
          </cell>
        </row>
        <row r="1501">
          <cell r="F1501">
            <v>0</v>
          </cell>
          <cell r="G1501">
            <v>0</v>
          </cell>
          <cell r="H1501">
            <v>0</v>
          </cell>
          <cell r="I1501">
            <v>0</v>
          </cell>
          <cell r="J1501">
            <v>0</v>
          </cell>
        </row>
        <row r="1502">
          <cell r="F1502">
            <v>0</v>
          </cell>
          <cell r="G1502">
            <v>0</v>
          </cell>
          <cell r="H1502">
            <v>0</v>
          </cell>
          <cell r="I1502">
            <v>0</v>
          </cell>
          <cell r="J1502">
            <v>0</v>
          </cell>
        </row>
        <row r="1503">
          <cell r="F1503">
            <v>0</v>
          </cell>
          <cell r="G1503">
            <v>0</v>
          </cell>
          <cell r="H1503">
            <v>0</v>
          </cell>
          <cell r="I1503">
            <v>0</v>
          </cell>
          <cell r="J1503">
            <v>0</v>
          </cell>
        </row>
        <row r="1504">
          <cell r="F1504">
            <v>0</v>
          </cell>
          <cell r="G1504">
            <v>0</v>
          </cell>
          <cell r="H1504">
            <v>0</v>
          </cell>
          <cell r="I1504">
            <v>0</v>
          </cell>
          <cell r="J1504">
            <v>0</v>
          </cell>
        </row>
        <row r="1505">
          <cell r="F1505">
            <v>0</v>
          </cell>
          <cell r="G1505">
            <v>0</v>
          </cell>
          <cell r="H1505">
            <v>0</v>
          </cell>
          <cell r="I1505">
            <v>0</v>
          </cell>
          <cell r="J1505">
            <v>0</v>
          </cell>
        </row>
        <row r="1506">
          <cell r="F1506">
            <v>0</v>
          </cell>
          <cell r="G1506">
            <v>0</v>
          </cell>
          <cell r="H1506">
            <v>0</v>
          </cell>
          <cell r="I1506">
            <v>0</v>
          </cell>
          <cell r="J1506">
            <v>0</v>
          </cell>
        </row>
        <row r="1507">
          <cell r="F1507">
            <v>0</v>
          </cell>
          <cell r="G1507">
            <v>0</v>
          </cell>
          <cell r="H1507">
            <v>0</v>
          </cell>
          <cell r="I1507">
            <v>0</v>
          </cell>
          <cell r="J1507">
            <v>0</v>
          </cell>
        </row>
        <row r="1508">
          <cell r="F1508">
            <v>0</v>
          </cell>
          <cell r="G1508">
            <v>0</v>
          </cell>
          <cell r="H1508">
            <v>0</v>
          </cell>
          <cell r="I1508">
            <v>0</v>
          </cell>
          <cell r="J1508">
            <v>0</v>
          </cell>
        </row>
        <row r="1509">
          <cell r="F1509">
            <v>0</v>
          </cell>
          <cell r="G1509">
            <v>0</v>
          </cell>
          <cell r="H1509">
            <v>0</v>
          </cell>
          <cell r="I1509">
            <v>0</v>
          </cell>
          <cell r="J1509">
            <v>0</v>
          </cell>
        </row>
        <row r="1510">
          <cell r="F1510">
            <v>0</v>
          </cell>
          <cell r="G1510">
            <v>0</v>
          </cell>
          <cell r="H1510">
            <v>0</v>
          </cell>
          <cell r="I1510">
            <v>0</v>
          </cell>
          <cell r="J1510">
            <v>0</v>
          </cell>
        </row>
        <row r="1511">
          <cell r="F1511">
            <v>0</v>
          </cell>
          <cell r="G1511">
            <v>0</v>
          </cell>
          <cell r="H1511">
            <v>0</v>
          </cell>
          <cell r="I1511">
            <v>0</v>
          </cell>
          <cell r="J1511">
            <v>0</v>
          </cell>
        </row>
        <row r="1512">
          <cell r="F1512">
            <v>0</v>
          </cell>
          <cell r="G1512">
            <v>0</v>
          </cell>
          <cell r="H1512">
            <v>0</v>
          </cell>
          <cell r="I1512">
            <v>0</v>
          </cell>
          <cell r="J1512">
            <v>0</v>
          </cell>
        </row>
        <row r="1513">
          <cell r="F1513">
            <v>0</v>
          </cell>
          <cell r="G1513">
            <v>0</v>
          </cell>
          <cell r="H1513">
            <v>0</v>
          </cell>
          <cell r="I1513">
            <v>0</v>
          </cell>
          <cell r="J1513">
            <v>0</v>
          </cell>
        </row>
        <row r="1514">
          <cell r="F1514">
            <v>0</v>
          </cell>
          <cell r="G1514">
            <v>0</v>
          </cell>
          <cell r="H1514">
            <v>0</v>
          </cell>
          <cell r="I1514">
            <v>0</v>
          </cell>
          <cell r="J1514">
            <v>0</v>
          </cell>
        </row>
        <row r="1515">
          <cell r="F1515">
            <v>0</v>
          </cell>
          <cell r="G1515">
            <v>0</v>
          </cell>
          <cell r="H1515">
            <v>0</v>
          </cell>
          <cell r="I1515">
            <v>0</v>
          </cell>
          <cell r="J1515">
            <v>0</v>
          </cell>
        </row>
        <row r="1516">
          <cell r="F1516">
            <v>0</v>
          </cell>
          <cell r="G1516">
            <v>0</v>
          </cell>
          <cell r="H1516">
            <v>0</v>
          </cell>
          <cell r="I1516">
            <v>0</v>
          </cell>
          <cell r="J1516">
            <v>0</v>
          </cell>
        </row>
        <row r="1517">
          <cell r="F1517">
            <v>0</v>
          </cell>
          <cell r="G1517">
            <v>0</v>
          </cell>
          <cell r="H1517">
            <v>0</v>
          </cell>
          <cell r="I1517">
            <v>0</v>
          </cell>
          <cell r="J1517">
            <v>0</v>
          </cell>
        </row>
        <row r="1518">
          <cell r="F1518">
            <v>0</v>
          </cell>
          <cell r="G1518">
            <v>0</v>
          </cell>
          <cell r="H1518">
            <v>0</v>
          </cell>
          <cell r="I1518">
            <v>0</v>
          </cell>
          <cell r="J1518">
            <v>0</v>
          </cell>
        </row>
        <row r="1519">
          <cell r="F1519">
            <v>0</v>
          </cell>
          <cell r="G1519">
            <v>0</v>
          </cell>
          <cell r="H1519">
            <v>0</v>
          </cell>
          <cell r="I1519">
            <v>0</v>
          </cell>
          <cell r="J1519">
            <v>0</v>
          </cell>
        </row>
        <row r="1520">
          <cell r="F1520">
            <v>0</v>
          </cell>
          <cell r="G1520">
            <v>0</v>
          </cell>
          <cell r="H1520">
            <v>0</v>
          </cell>
          <cell r="I1520">
            <v>0</v>
          </cell>
          <cell r="J1520">
            <v>0</v>
          </cell>
        </row>
        <row r="1521">
          <cell r="F1521">
            <v>0</v>
          </cell>
          <cell r="G1521">
            <v>0</v>
          </cell>
          <cell r="H1521">
            <v>0</v>
          </cell>
          <cell r="I1521">
            <v>0</v>
          </cell>
          <cell r="J1521">
            <v>0</v>
          </cell>
        </row>
        <row r="1522">
          <cell r="F1522">
            <v>0</v>
          </cell>
          <cell r="G1522">
            <v>0</v>
          </cell>
          <cell r="H1522">
            <v>0</v>
          </cell>
          <cell r="I1522">
            <v>0</v>
          </cell>
          <cell r="J1522">
            <v>0</v>
          </cell>
        </row>
        <row r="1523">
          <cell r="F1523">
            <v>0</v>
          </cell>
          <cell r="G1523">
            <v>0</v>
          </cell>
          <cell r="H1523">
            <v>0</v>
          </cell>
          <cell r="I1523">
            <v>0</v>
          </cell>
          <cell r="J1523">
            <v>0</v>
          </cell>
        </row>
        <row r="1524">
          <cell r="F1524">
            <v>0</v>
          </cell>
          <cell r="G1524">
            <v>0</v>
          </cell>
          <cell r="H1524">
            <v>0</v>
          </cell>
          <cell r="I1524">
            <v>0</v>
          </cell>
          <cell r="J1524">
            <v>0</v>
          </cell>
        </row>
        <row r="1525">
          <cell r="F1525">
            <v>0</v>
          </cell>
          <cell r="G1525">
            <v>0</v>
          </cell>
          <cell r="H1525">
            <v>0</v>
          </cell>
          <cell r="I1525">
            <v>0</v>
          </cell>
          <cell r="J1525">
            <v>0</v>
          </cell>
        </row>
        <row r="1526">
          <cell r="F1526">
            <v>0</v>
          </cell>
          <cell r="G1526">
            <v>0</v>
          </cell>
          <cell r="H1526">
            <v>0</v>
          </cell>
          <cell r="I1526">
            <v>0</v>
          </cell>
          <cell r="J1526">
            <v>0</v>
          </cell>
        </row>
        <row r="1527">
          <cell r="F1527">
            <v>0</v>
          </cell>
          <cell r="G1527">
            <v>0</v>
          </cell>
          <cell r="H1527">
            <v>0</v>
          </cell>
          <cell r="I1527">
            <v>0</v>
          </cell>
          <cell r="J1527">
            <v>0</v>
          </cell>
        </row>
        <row r="1528">
          <cell r="F1528">
            <v>0</v>
          </cell>
          <cell r="G1528">
            <v>0</v>
          </cell>
          <cell r="H1528">
            <v>0</v>
          </cell>
          <cell r="I1528">
            <v>0</v>
          </cell>
          <cell r="J1528">
            <v>0</v>
          </cell>
        </row>
        <row r="1529">
          <cell r="F1529">
            <v>0</v>
          </cell>
          <cell r="G1529">
            <v>0</v>
          </cell>
          <cell r="H1529">
            <v>0</v>
          </cell>
          <cell r="I1529">
            <v>0</v>
          </cell>
          <cell r="J1529">
            <v>0</v>
          </cell>
        </row>
        <row r="1530">
          <cell r="F1530">
            <v>0</v>
          </cell>
          <cell r="G1530">
            <v>0</v>
          </cell>
          <cell r="H1530">
            <v>0</v>
          </cell>
          <cell r="I1530">
            <v>0</v>
          </cell>
          <cell r="J1530">
            <v>0</v>
          </cell>
        </row>
        <row r="1531">
          <cell r="F1531">
            <v>0</v>
          </cell>
          <cell r="G1531">
            <v>0</v>
          </cell>
          <cell r="H1531">
            <v>0</v>
          </cell>
          <cell r="I1531">
            <v>0</v>
          </cell>
          <cell r="J1531">
            <v>0</v>
          </cell>
        </row>
        <row r="1532">
          <cell r="F1532">
            <v>0</v>
          </cell>
          <cell r="G1532">
            <v>0</v>
          </cell>
          <cell r="H1532">
            <v>0</v>
          </cell>
          <cell r="I1532">
            <v>0</v>
          </cell>
          <cell r="J1532">
            <v>0</v>
          </cell>
        </row>
        <row r="1533">
          <cell r="F1533">
            <v>0</v>
          </cell>
          <cell r="G1533">
            <v>0</v>
          </cell>
          <cell r="H1533">
            <v>0</v>
          </cell>
          <cell r="I1533">
            <v>0</v>
          </cell>
          <cell r="J1533">
            <v>0</v>
          </cell>
        </row>
        <row r="1534">
          <cell r="F1534">
            <v>0</v>
          </cell>
          <cell r="G1534">
            <v>0</v>
          </cell>
          <cell r="H1534">
            <v>0</v>
          </cell>
          <cell r="I1534">
            <v>0</v>
          </cell>
          <cell r="J1534">
            <v>0</v>
          </cell>
        </row>
        <row r="1535">
          <cell r="F1535">
            <v>0</v>
          </cell>
          <cell r="G1535">
            <v>0</v>
          </cell>
          <cell r="H1535">
            <v>0</v>
          </cell>
          <cell r="I1535">
            <v>0</v>
          </cell>
          <cell r="J1535">
            <v>0</v>
          </cell>
        </row>
        <row r="1536">
          <cell r="F1536">
            <v>0</v>
          </cell>
          <cell r="G1536">
            <v>0</v>
          </cell>
          <cell r="H1536">
            <v>0</v>
          </cell>
          <cell r="I1536">
            <v>0</v>
          </cell>
          <cell r="J1536">
            <v>0</v>
          </cell>
        </row>
        <row r="1537">
          <cell r="F1537">
            <v>0</v>
          </cell>
          <cell r="G1537">
            <v>0</v>
          </cell>
          <cell r="H1537">
            <v>0</v>
          </cell>
          <cell r="I1537">
            <v>0</v>
          </cell>
          <cell r="J1537">
            <v>0</v>
          </cell>
        </row>
        <row r="1538">
          <cell r="F1538">
            <v>0</v>
          </cell>
          <cell r="G1538">
            <v>0</v>
          </cell>
          <cell r="H1538">
            <v>0</v>
          </cell>
          <cell r="I1538">
            <v>0</v>
          </cell>
          <cell r="J1538">
            <v>0</v>
          </cell>
        </row>
        <row r="1539">
          <cell r="F1539">
            <v>0</v>
          </cell>
          <cell r="G1539">
            <v>0</v>
          </cell>
          <cell r="H1539">
            <v>0</v>
          </cell>
          <cell r="I1539">
            <v>0</v>
          </cell>
          <cell r="J1539">
            <v>0</v>
          </cell>
        </row>
        <row r="1540">
          <cell r="F1540">
            <v>0</v>
          </cell>
          <cell r="G1540">
            <v>0</v>
          </cell>
          <cell r="H1540">
            <v>0</v>
          </cell>
          <cell r="I1540">
            <v>0</v>
          </cell>
          <cell r="J1540">
            <v>0</v>
          </cell>
        </row>
        <row r="1541">
          <cell r="F1541">
            <v>0</v>
          </cell>
          <cell r="G1541">
            <v>0</v>
          </cell>
          <cell r="H1541">
            <v>0</v>
          </cell>
          <cell r="I1541">
            <v>0</v>
          </cell>
          <cell r="J1541">
            <v>0</v>
          </cell>
        </row>
        <row r="1542">
          <cell r="F1542">
            <v>0</v>
          </cell>
          <cell r="G1542">
            <v>0</v>
          </cell>
          <cell r="H1542">
            <v>0</v>
          </cell>
          <cell r="I1542">
            <v>0</v>
          </cell>
          <cell r="J1542">
            <v>0</v>
          </cell>
        </row>
        <row r="1543">
          <cell r="F1543">
            <v>0</v>
          </cell>
          <cell r="G1543">
            <v>0</v>
          </cell>
          <cell r="H1543">
            <v>0</v>
          </cell>
          <cell r="I1543">
            <v>0</v>
          </cell>
          <cell r="J1543">
            <v>0</v>
          </cell>
        </row>
        <row r="1544">
          <cell r="F1544">
            <v>0</v>
          </cell>
          <cell r="G1544">
            <v>0</v>
          </cell>
          <cell r="H1544">
            <v>0</v>
          </cell>
          <cell r="I1544">
            <v>0</v>
          </cell>
          <cell r="J1544">
            <v>0</v>
          </cell>
        </row>
        <row r="1545">
          <cell r="F1545">
            <v>0</v>
          </cell>
          <cell r="G1545">
            <v>0</v>
          </cell>
          <cell r="H1545">
            <v>0</v>
          </cell>
          <cell r="I1545">
            <v>0</v>
          </cell>
          <cell r="J1545">
            <v>0</v>
          </cell>
        </row>
        <row r="1546">
          <cell r="F1546">
            <v>0</v>
          </cell>
          <cell r="G1546">
            <v>0</v>
          </cell>
          <cell r="H1546">
            <v>0</v>
          </cell>
          <cell r="I1546">
            <v>0</v>
          </cell>
          <cell r="J1546">
            <v>0</v>
          </cell>
        </row>
        <row r="1547">
          <cell r="F1547">
            <v>0</v>
          </cell>
          <cell r="G1547">
            <v>0</v>
          </cell>
          <cell r="H1547">
            <v>0</v>
          </cell>
          <cell r="I1547">
            <v>0</v>
          </cell>
          <cell r="J1547">
            <v>0</v>
          </cell>
        </row>
        <row r="1548">
          <cell r="F1548">
            <v>0</v>
          </cell>
          <cell r="G1548">
            <v>0</v>
          </cell>
          <cell r="H1548">
            <v>0</v>
          </cell>
          <cell r="I1548">
            <v>0</v>
          </cell>
          <cell r="J1548">
            <v>0</v>
          </cell>
        </row>
        <row r="1549">
          <cell r="F1549">
            <v>0</v>
          </cell>
          <cell r="G1549">
            <v>0</v>
          </cell>
          <cell r="H1549">
            <v>0</v>
          </cell>
          <cell r="I1549">
            <v>0</v>
          </cell>
          <cell r="J1549">
            <v>0</v>
          </cell>
        </row>
        <row r="1550">
          <cell r="F1550">
            <v>0</v>
          </cell>
          <cell r="G1550">
            <v>0</v>
          </cell>
          <cell r="H1550">
            <v>0</v>
          </cell>
          <cell r="I1550">
            <v>0</v>
          </cell>
          <cell r="J1550">
            <v>0</v>
          </cell>
        </row>
        <row r="1551">
          <cell r="F1551">
            <v>0</v>
          </cell>
          <cell r="G1551">
            <v>0</v>
          </cell>
          <cell r="H1551">
            <v>0</v>
          </cell>
          <cell r="I1551">
            <v>0</v>
          </cell>
          <cell r="J1551">
            <v>0</v>
          </cell>
        </row>
        <row r="1552">
          <cell r="F1552">
            <v>0</v>
          </cell>
          <cell r="G1552">
            <v>0</v>
          </cell>
          <cell r="H1552">
            <v>0</v>
          </cell>
          <cell r="I1552">
            <v>0</v>
          </cell>
          <cell r="J1552">
            <v>0</v>
          </cell>
        </row>
        <row r="1553">
          <cell r="F1553">
            <v>0</v>
          </cell>
          <cell r="G1553">
            <v>0</v>
          </cell>
          <cell r="H1553">
            <v>0</v>
          </cell>
          <cell r="I1553">
            <v>0</v>
          </cell>
          <cell r="J1553">
            <v>0</v>
          </cell>
        </row>
        <row r="1554">
          <cell r="F1554">
            <v>0</v>
          </cell>
          <cell r="G1554">
            <v>0</v>
          </cell>
          <cell r="H1554">
            <v>0</v>
          </cell>
          <cell r="I1554">
            <v>0</v>
          </cell>
          <cell r="J1554">
            <v>0</v>
          </cell>
        </row>
        <row r="1555">
          <cell r="F1555">
            <v>0</v>
          </cell>
          <cell r="G1555">
            <v>0</v>
          </cell>
          <cell r="H1555">
            <v>0</v>
          </cell>
          <cell r="I1555">
            <v>0</v>
          </cell>
          <cell r="J1555">
            <v>0</v>
          </cell>
        </row>
        <row r="1556">
          <cell r="F1556">
            <v>0</v>
          </cell>
          <cell r="G1556">
            <v>0</v>
          </cell>
          <cell r="H1556">
            <v>0</v>
          </cell>
          <cell r="I1556">
            <v>0</v>
          </cell>
          <cell r="J1556">
            <v>0</v>
          </cell>
        </row>
        <row r="1557">
          <cell r="F1557">
            <v>0</v>
          </cell>
          <cell r="G1557">
            <v>0</v>
          </cell>
          <cell r="H1557">
            <v>0</v>
          </cell>
          <cell r="I1557">
            <v>0</v>
          </cell>
          <cell r="J1557">
            <v>0</v>
          </cell>
        </row>
        <row r="1558">
          <cell r="F1558">
            <v>0</v>
          </cell>
          <cell r="G1558">
            <v>0</v>
          </cell>
          <cell r="H1558">
            <v>0</v>
          </cell>
          <cell r="I1558">
            <v>0</v>
          </cell>
          <cell r="J1558">
            <v>0</v>
          </cell>
        </row>
        <row r="1559">
          <cell r="F1559">
            <v>0</v>
          </cell>
          <cell r="G1559">
            <v>0</v>
          </cell>
          <cell r="H1559">
            <v>0</v>
          </cell>
          <cell r="I1559">
            <v>0</v>
          </cell>
          <cell r="J1559">
            <v>0</v>
          </cell>
        </row>
        <row r="1560">
          <cell r="F1560">
            <v>0</v>
          </cell>
          <cell r="G1560">
            <v>0</v>
          </cell>
          <cell r="H1560">
            <v>0</v>
          </cell>
          <cell r="I1560">
            <v>0</v>
          </cell>
          <cell r="J1560">
            <v>0</v>
          </cell>
        </row>
        <row r="1561">
          <cell r="F1561">
            <v>0</v>
          </cell>
          <cell r="G1561">
            <v>0</v>
          </cell>
          <cell r="H1561">
            <v>0</v>
          </cell>
          <cell r="I1561">
            <v>0</v>
          </cell>
          <cell r="J1561">
            <v>0</v>
          </cell>
        </row>
        <row r="1562">
          <cell r="F1562">
            <v>0</v>
          </cell>
          <cell r="G1562">
            <v>0</v>
          </cell>
          <cell r="H1562">
            <v>0</v>
          </cell>
          <cell r="I1562">
            <v>0</v>
          </cell>
          <cell r="J1562">
            <v>0</v>
          </cell>
        </row>
        <row r="1563">
          <cell r="F1563">
            <v>0</v>
          </cell>
          <cell r="G1563">
            <v>0</v>
          </cell>
          <cell r="H1563">
            <v>0</v>
          </cell>
          <cell r="I1563">
            <v>0</v>
          </cell>
          <cell r="J1563">
            <v>0</v>
          </cell>
        </row>
        <row r="1564">
          <cell r="F1564">
            <v>0</v>
          </cell>
          <cell r="G1564">
            <v>0</v>
          </cell>
          <cell r="H1564">
            <v>0</v>
          </cell>
          <cell r="I1564">
            <v>0</v>
          </cell>
          <cell r="J1564">
            <v>0</v>
          </cell>
        </row>
        <row r="1565">
          <cell r="F1565">
            <v>0</v>
          </cell>
          <cell r="G1565">
            <v>0</v>
          </cell>
          <cell r="H1565">
            <v>0</v>
          </cell>
          <cell r="I1565">
            <v>0</v>
          </cell>
          <cell r="J1565">
            <v>0</v>
          </cell>
        </row>
        <row r="1566">
          <cell r="F1566">
            <v>0</v>
          </cell>
          <cell r="G1566">
            <v>0</v>
          </cell>
          <cell r="H1566">
            <v>0</v>
          </cell>
          <cell r="I1566">
            <v>0</v>
          </cell>
          <cell r="J1566">
            <v>0</v>
          </cell>
        </row>
        <row r="1567">
          <cell r="F1567">
            <v>0</v>
          </cell>
          <cell r="G1567">
            <v>0</v>
          </cell>
          <cell r="H1567">
            <v>0</v>
          </cell>
          <cell r="I1567">
            <v>0</v>
          </cell>
          <cell r="J1567">
            <v>0</v>
          </cell>
        </row>
        <row r="1568">
          <cell r="F1568">
            <v>0</v>
          </cell>
          <cell r="G1568">
            <v>0</v>
          </cell>
          <cell r="H1568">
            <v>0</v>
          </cell>
          <cell r="I1568">
            <v>0</v>
          </cell>
          <cell r="J1568">
            <v>0</v>
          </cell>
        </row>
        <row r="1569">
          <cell r="F1569">
            <v>0</v>
          </cell>
          <cell r="G1569">
            <v>0</v>
          </cell>
          <cell r="H1569">
            <v>0</v>
          </cell>
          <cell r="I1569">
            <v>0</v>
          </cell>
          <cell r="J1569">
            <v>0</v>
          </cell>
        </row>
        <row r="1570">
          <cell r="F1570">
            <v>0</v>
          </cell>
          <cell r="G1570">
            <v>0</v>
          </cell>
          <cell r="H1570">
            <v>0</v>
          </cell>
          <cell r="I1570">
            <v>0</v>
          </cell>
          <cell r="J1570">
            <v>0</v>
          </cell>
        </row>
        <row r="1571">
          <cell r="F1571">
            <v>0</v>
          </cell>
          <cell r="G1571">
            <v>0</v>
          </cell>
          <cell r="H1571">
            <v>0</v>
          </cell>
          <cell r="I1571">
            <v>0</v>
          </cell>
          <cell r="J1571">
            <v>0</v>
          </cell>
        </row>
        <row r="1572">
          <cell r="F1572">
            <v>0</v>
          </cell>
          <cell r="G1572">
            <v>0</v>
          </cell>
          <cell r="H1572">
            <v>0</v>
          </cell>
          <cell r="I1572">
            <v>0</v>
          </cell>
          <cell r="J1572">
            <v>0</v>
          </cell>
        </row>
        <row r="1573">
          <cell r="F1573">
            <v>0</v>
          </cell>
          <cell r="G1573">
            <v>0</v>
          </cell>
          <cell r="H1573">
            <v>0</v>
          </cell>
          <cell r="I1573">
            <v>0</v>
          </cell>
          <cell r="J1573">
            <v>0</v>
          </cell>
        </row>
        <row r="1577">
          <cell r="F1577">
            <v>969528</v>
          </cell>
          <cell r="G1577">
            <v>1392</v>
          </cell>
          <cell r="J1577">
            <v>392954</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 val="REV_1702"/>
      <sheetName val="PLACEME"/>
      <sheetName val="Sheet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A5" t="str">
            <v xml:space="preserve">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amp; TOC"/>
      <sheetName val="Assumption Sheet"/>
      <sheetName val="Sales"/>
      <sheetName val="dbase"/>
      <sheetName val="RC list"/>
      <sheetName val="SALES BY STATUS"/>
      <sheetName val="Info_Sheet_&amp;_TOC"/>
      <sheetName val="Assumption_Sheet"/>
      <sheetName val="RC_list"/>
      <sheetName val="SALES_BY_STATUS"/>
      <sheetName val="AC Details"/>
    </sheetNames>
    <sheetDataSet>
      <sheetData sheetId="0"/>
      <sheetData sheetId="1"/>
      <sheetData sheetId="2"/>
      <sheetData sheetId="3" refreshError="1">
        <row r="22">
          <cell r="B22">
            <v>2008</v>
          </cell>
        </row>
        <row r="23">
          <cell r="B23">
            <v>2009</v>
          </cell>
        </row>
        <row r="24">
          <cell r="B24">
            <v>2010</v>
          </cell>
        </row>
        <row r="25">
          <cell r="B25">
            <v>2011</v>
          </cell>
        </row>
        <row r="26">
          <cell r="B26">
            <v>2012</v>
          </cell>
        </row>
        <row r="27">
          <cell r="B27">
            <v>2013</v>
          </cell>
        </row>
      </sheetData>
      <sheetData sheetId="4"/>
      <sheetData sheetId="5" refreshError="1"/>
      <sheetData sheetId="6"/>
      <sheetData sheetId="7"/>
      <sheetData sheetId="8"/>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RITERIA3"/>
      <sheetName val="CRITERIA2"/>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WROWS1"/>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RITERIA1"/>
      <sheetName val="WPL_AUDITED_PARENT_04"/>
      <sheetName val="WBS_AUDITED_PARENT_04"/>
      <sheetName val="WBS_AUDITED_CONSO_04"/>
      <sheetName val="WPL_AUDITED_CONSO_04"/>
      <sheetName val="AUDITED_CASH FLOW_CONSO_04"/>
      <sheetName val="AUDITED_ BS_PARENT_04"/>
      <sheetName val="AUDITED_IS_PARENT_04"/>
      <sheetName val="AUDITED_CASHFLOW_PARENT_04"/>
      <sheetName val="PM,TE,SAD_CPDC"/>
      <sheetName val="PM,TE,SAD_PSC"/>
      <sheetName val="PM,TE,SAD_PCI"/>
      <sheetName val="PM,TE,SAD_FARDC"/>
      <sheetName val="PM,TE,SAD_parent"/>
      <sheetName val="PM,TE,SAD_conso"/>
      <sheetName val="banig"/>
      <sheetName val="IFRS CONSO DETAILS"/>
      <sheetName val="BS"/>
      <sheetName val="BS DETAILS"/>
      <sheetName val="IS"/>
      <sheetName val="RWROWS3"/>
      <sheetName val="RWRACCTS3"/>
      <sheetName val="RWRCALCS3"/>
      <sheetName val="RWCOLUMNS3"/>
      <sheetName val="RWCACCTS3"/>
      <sheetName val="RWCCALCS3"/>
      <sheetName val="RWCEXCEPTIONS3"/>
      <sheetName val="RWCEXCEPTIONSDETAIL3"/>
      <sheetName val="RWROWORDERS3"/>
      <sheetName val="RWCONTENTS3"/>
      <sheetName val="RWDISPLAYROWS3"/>
      <sheetName val="RWDISPLAYCOLS3"/>
      <sheetName val="RWCONTROLVALUES3"/>
      <sheetName val="RWREPORT3"/>
      <sheetName val="CRITERIA3"/>
      <sheetName val="IS DETAILS"/>
      <sheetName val="CODE"/>
      <sheetName val="CONSO_BS"/>
      <sheetName val="CONSO_IS"/>
      <sheetName val="WBS"/>
      <sheetName val="WPL"/>
      <sheetName val="PARENT_ADJ"/>
      <sheetName val="PARENT_DIT"/>
      <sheetName val="TAX"/>
      <sheetName val="PSC_WBS"/>
      <sheetName val="PSC_WPL"/>
      <sheetName val="PSC_ADJ"/>
      <sheetName val="PSC_DIT"/>
      <sheetName val="CPDC_WBS"/>
      <sheetName val="CPDC_WPL"/>
      <sheetName val="CPDC_ADJ"/>
      <sheetName val="CPDC_DIT"/>
      <sheetName val="FARDC_WBS"/>
      <sheetName val="FARDC_WPL"/>
      <sheetName val="FARDC_ADJ"/>
      <sheetName val="PCI_WBS"/>
      <sheetName val="PCI_WPL"/>
      <sheetName val="PCI_DIT"/>
      <sheetName val="PCI_ADJ"/>
      <sheetName val="CONSO_ADJ"/>
      <sheetName val="MCIT_SUB"/>
      <sheetName val="MTM"/>
      <sheetName val="DUE TO_FROM"/>
      <sheetName val="TAXES TO LAND"/>
      <sheetName val="STLOANS"/>
      <sheetName val="LTLOANS"/>
      <sheetName val="RECON NET INC"/>
      <sheetName val="RWROWS2"/>
      <sheetName val="RWRACCTS2"/>
      <sheetName val="RWRCALCS2"/>
      <sheetName val="RWCOLUMNS2"/>
      <sheetName val="RWCACCTS2"/>
      <sheetName val="RWCCALCS2"/>
      <sheetName val="RWCEXCEPTIONS2"/>
      <sheetName val="RWCEXCEPTIONSDETAIL2"/>
      <sheetName val="RWROWORDERS2"/>
      <sheetName val="RWCONTENTS2"/>
      <sheetName val="RWDISPLAYROWS2"/>
      <sheetName val="RWDISPLAYCOLS2"/>
      <sheetName val="RWCONTROLVALUES2"/>
      <sheetName val="RWREPORT2"/>
      <sheetName val="CRITERIA2"/>
      <sheetName val="%CIN"/>
      <sheetName val="A6"/>
      <sheetName val="ENTRIES"/>
      <sheetName val="PAJE"/>
      <sheetName val="PIVOT 1-BS"/>
      <sheetName val="BS SUMMARY"/>
      <sheetName val="IS 3.8.2013"/>
      <sheetName val="PIVOT 2-IS"/>
      <sheetName val="IS SUMMARY"/>
      <sheetName val="IS-NN GROUP"/>
      <sheetName val="ELIMS"/>
      <sheetName val="ENTRIES (2)"/>
      <sheetName val="Consolidation Sheet (2)"/>
      <sheetName val="BS PIVOT-NN GROUP"/>
      <sheetName val="IS PIVOT-NN GROUP"/>
      <sheetName val="BS-NN GROUP"/>
      <sheetName val="final summary (3)"/>
      <sheetName val="SUMMARY 1"/>
      <sheetName val="BS SUMMARY SUPERCEDED"/>
      <sheetName val="FOR BOOKING"/>
      <sheetName val="Sheet6"/>
      <sheetName val="Sheet10"/>
      <sheetName val="UPDATED BS"/>
      <sheetName val="Sheet7"/>
      <sheetName val="Sheet8"/>
      <sheetName val="Sheet13"/>
      <sheetName val="Sheet16"/>
      <sheetName val="EXPRESS"/>
      <sheetName val="Sheet9"/>
      <sheetName val="Consolidation Sheet"/>
      <sheetName val="BS ACCOUNTS"/>
      <sheetName val="Sheet3"/>
      <sheetName val="Sheet5"/>
      <sheetName val="final summary (2)"/>
      <sheetName val="Sheet2"/>
      <sheetName val="GL PROOF"/>
      <sheetName val="Sheet4"/>
      <sheetName val="FOR MISS AI"/>
      <sheetName val="ENTRIES FOR BOOKING"/>
      <sheetName val="Source"/>
      <sheetName val="BS_3.9.2013"/>
      <sheetName val="Sheet1"/>
      <sheetName val="SUMMARY"/>
      <sheetName val="Filter Here"/>
      <sheetName val="MONITORING"/>
      <sheetName val="0 ATS"/>
      <sheetName val="0 NN"/>
      <sheetName val="MONITORING OF EXPENSES"/>
      <sheetName val="ACCRUED EXPENSE MONITORING_2GO"/>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B1">
            <v>1</v>
          </cell>
        </row>
        <row r="2">
          <cell r="B2" t="str">
            <v>SM SUPERMALLS</v>
          </cell>
          <cell r="D2" t="str">
            <v>DEP</v>
          </cell>
        </row>
        <row r="3">
          <cell r="D3" t="str">
            <v>ACCOUNT</v>
          </cell>
        </row>
        <row r="4">
          <cell r="B4" t="str">
            <v>SMPHI Calendar</v>
          </cell>
          <cell r="D4" t="str">
            <v>SUB ACCOUNT</v>
          </cell>
        </row>
        <row r="6">
          <cell r="B6" t="str">
            <v>General Ledger Super User</v>
          </cell>
        </row>
        <row r="7">
          <cell r="B7">
            <v>101</v>
          </cell>
        </row>
        <row r="8">
          <cell r="B8">
            <v>20434</v>
          </cell>
        </row>
        <row r="17">
          <cell r="B17" t="str">
            <v>-</v>
          </cell>
        </row>
        <row r="18">
          <cell r="B18">
            <v>4</v>
          </cell>
        </row>
        <row r="19">
          <cell r="B19">
            <v>0</v>
          </cell>
        </row>
        <row r="20">
          <cell r="B20" t="str">
            <v>Yes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1">
          <cell r="D1" t="str">
            <v>OPER CTR</v>
          </cell>
        </row>
        <row r="4">
          <cell r="B4" t="str">
            <v>SMPHI Calendar</v>
          </cell>
          <cell r="D4" t="str">
            <v>SUB ACCOUNT</v>
          </cell>
        </row>
        <row r="6">
          <cell r="B6" t="str">
            <v>General Ledger Super User</v>
          </cell>
        </row>
        <row r="7">
          <cell r="B7">
            <v>101</v>
          </cell>
        </row>
        <row r="8">
          <cell r="B8">
            <v>20434</v>
          </cell>
        </row>
        <row r="15">
          <cell r="B15">
            <v>1056</v>
          </cell>
        </row>
        <row r="17">
          <cell r="B17" t="str">
            <v>-</v>
          </cell>
        </row>
        <row r="18">
          <cell r="B18">
            <v>4</v>
          </cell>
        </row>
        <row r="19">
          <cell r="B19">
            <v>0</v>
          </cell>
        </row>
        <row r="20">
          <cell r="B20" t="str">
            <v>Yes</v>
          </cell>
        </row>
        <row r="21">
          <cell r="B21" t="str">
            <v>No</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row r="1">
          <cell r="B1">
            <v>1</v>
          </cell>
          <cell r="J1">
            <v>4</v>
          </cell>
        </row>
        <row r="2">
          <cell r="B2" t="str">
            <v>SM SUPERMALLS</v>
          </cell>
        </row>
        <row r="3">
          <cell r="D3" t="str">
            <v>ACCOUNT</v>
          </cell>
        </row>
        <row r="4">
          <cell r="B4" t="str">
            <v>SMPHI Calendar</v>
          </cell>
        </row>
        <row r="6">
          <cell r="B6" t="str">
            <v>General Ledger Super User</v>
          </cell>
        </row>
        <row r="8">
          <cell r="B8">
            <v>20434</v>
          </cell>
        </row>
        <row r="12">
          <cell r="B12" t="str">
            <v>apps</v>
          </cell>
        </row>
        <row r="15">
          <cell r="B15">
            <v>1056</v>
          </cell>
        </row>
        <row r="17">
          <cell r="B17" t="str">
            <v>-</v>
          </cell>
        </row>
        <row r="18">
          <cell r="B18">
            <v>4</v>
          </cell>
        </row>
        <row r="19">
          <cell r="B19">
            <v>0</v>
          </cell>
        </row>
      </sheetData>
      <sheetData sheetId="96" refreshError="1"/>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ss"/>
      <sheetName val="CRITERIA3"/>
      <sheetName val="CRITERIA1"/>
      <sheetName val="CRITERIA2"/>
      <sheetName val="A6"/>
    </sheetNames>
    <sheetDataSet>
      <sheetData sheetId="0">
        <row r="7">
          <cell r="M7">
            <v>0</v>
          </cell>
          <cell r="Q7">
            <v>0</v>
          </cell>
          <cell r="R7">
            <v>0</v>
          </cell>
        </row>
        <row r="8">
          <cell r="G8">
            <v>15012</v>
          </cell>
          <cell r="M8">
            <v>0</v>
          </cell>
          <cell r="Q8">
            <v>0</v>
          </cell>
        </row>
        <row r="9">
          <cell r="G9">
            <v>608</v>
          </cell>
          <cell r="M9">
            <v>0</v>
          </cell>
          <cell r="Q9">
            <v>0</v>
          </cell>
        </row>
        <row r="10">
          <cell r="M10">
            <v>0</v>
          </cell>
          <cell r="Q10">
            <v>0</v>
          </cell>
        </row>
        <row r="13">
          <cell r="G13">
            <v>2598</v>
          </cell>
        </row>
        <row r="14">
          <cell r="G14">
            <v>4830</v>
          </cell>
        </row>
        <row r="16">
          <cell r="G16">
            <v>990</v>
          </cell>
        </row>
        <row r="17">
          <cell r="G17">
            <v>20806</v>
          </cell>
        </row>
        <row r="19">
          <cell r="G19">
            <v>1337</v>
          </cell>
        </row>
        <row r="21">
          <cell r="G21">
            <v>561</v>
          </cell>
        </row>
        <row r="23">
          <cell r="G23">
            <v>95</v>
          </cell>
        </row>
        <row r="25">
          <cell r="G25">
            <v>1790</v>
          </cell>
        </row>
        <row r="26">
          <cell r="G26">
            <v>2459</v>
          </cell>
        </row>
        <row r="30">
          <cell r="G30">
            <v>25384</v>
          </cell>
        </row>
        <row r="31">
          <cell r="G31">
            <v>15734</v>
          </cell>
        </row>
        <row r="35">
          <cell r="G35">
            <v>77</v>
          </cell>
        </row>
        <row r="36">
          <cell r="G36">
            <v>810</v>
          </cell>
          <cell r="R36">
            <v>0</v>
          </cell>
        </row>
        <row r="37">
          <cell r="M37">
            <v>0</v>
          </cell>
          <cell r="Q37">
            <v>0</v>
          </cell>
          <cell r="R37">
            <v>0</v>
          </cell>
        </row>
        <row r="51">
          <cell r="B51" t="str">
            <v>Schedule of Capital Allowances for Year of Assessment 2000 (CYB)</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WROWS1"/>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RITERIA1"/>
      <sheetName val="BANIG_PER CLIENT"/>
      <sheetName val="cover sheet"/>
      <sheetName val="IFRS CONSO DETAILS"/>
      <sheetName val="NTFS"/>
      <sheetName val="WBS_AUDITED_CONSO_05"/>
      <sheetName val="CONSO_BS"/>
      <sheetName val="CONSO_IS"/>
      <sheetName val="WPL_AUDITED CONSO_05"/>
      <sheetName val="INVESTMENTS_05"/>
      <sheetName val="WBS_AUDITED PARENT_05"/>
      <sheetName val="WPL_AUDITED _PARENT_05"/>
      <sheetName val="PAJE_PARENT"/>
      <sheetName val="CPDC_WPL"/>
      <sheetName val="PSC_PAJE_05"/>
      <sheetName val="CPDC_PAJE_05"/>
      <sheetName val="AUDITED_PARENT_DIT_FOR_TCG"/>
      <sheetName val="TAX_client"/>
      <sheetName val="PARENT_DIT_client"/>
      <sheetName val="PSC_WPL"/>
      <sheetName val="AUDITED_PSC_DIT"/>
      <sheetName val="AUDITED TAX"/>
      <sheetName val="AUDITED_CPDC_DIT"/>
      <sheetName val="AUDITED_PCI_DIT"/>
      <sheetName val="PSC_DIT_CLIENT"/>
      <sheetName val="CPDC_DIT_CLIENT"/>
      <sheetName val="PCI_DIT_CLIENT"/>
      <sheetName val="PAJE_CONSO"/>
      <sheetName val="DUE TO_FROM"/>
      <sheetName val="WPL_AUDITED_PARENT_04"/>
      <sheetName val="WBS_AUDITED_PARENT_04"/>
      <sheetName val="CONSO_ADJ"/>
      <sheetName val="WBS_AUDITED_CONSO_04"/>
      <sheetName val="WPL_AUDITED_CONSO_04"/>
      <sheetName val="AUDITED_CASH FLOW_CONSO_04"/>
      <sheetName val="AUDITED_ BS_PARENT_04"/>
      <sheetName val="AUDITED_IS_PARENT_04"/>
      <sheetName val="AUDITED_CASHFLOW_PARENT_04"/>
      <sheetName val="PM,TE,SAD_CPDC"/>
      <sheetName val="PM,TE,SAD_PSC"/>
      <sheetName val="PM,TE,SAD_PCI"/>
      <sheetName val="PM,TE,SAD_FARDC"/>
      <sheetName val="BS"/>
      <sheetName val="BS DETAILS"/>
      <sheetName val="IS"/>
      <sheetName val="RWROWS3"/>
      <sheetName val="RWRACCTS3"/>
      <sheetName val="RWRCALCS3"/>
      <sheetName val="RWCOLUMNS3"/>
      <sheetName val="RWCACCTS3"/>
      <sheetName val="RWCCALCS3"/>
      <sheetName val="RWCEXCEPTIONS3"/>
      <sheetName val="RWCEXCEPTIONSDETAIL3"/>
      <sheetName val="RWROWORDERS3"/>
      <sheetName val="RWCONTENTS3"/>
      <sheetName val="RWDISPLAYROWS3"/>
      <sheetName val="RWDISPLAYCOLS3"/>
      <sheetName val="RWCONTROLVALUES3"/>
      <sheetName val="RWREPORT3"/>
      <sheetName val="CRITERIA3"/>
      <sheetName val="IS DETAILS"/>
      <sheetName val="UNAUDITED_CASH FLOW_CONSO_05"/>
      <sheetName val="CODE"/>
      <sheetName val="PARENT_ADJ"/>
      <sheetName val="CPDC_WBS"/>
      <sheetName val="PSC_WBS"/>
      <sheetName val="PCI_WBS"/>
      <sheetName val="PCI_WPL"/>
      <sheetName val="FARDC_WBS"/>
      <sheetName val="FARDC_WPL"/>
      <sheetName val="PAJE_FARDC"/>
      <sheetName val="PCI_PAJE_05"/>
      <sheetName val="PSC_ADJ"/>
      <sheetName val="CPDC_ADJ"/>
      <sheetName val="FARDC_ADJ"/>
      <sheetName val="PCI_ADJ"/>
      <sheetName val="MCIT_SUB"/>
      <sheetName val="MTM"/>
      <sheetName val="TAXES TO LAND"/>
      <sheetName val="STLOANS"/>
      <sheetName val="LTLOANS"/>
      <sheetName val="PM,TE,SAD_parent"/>
      <sheetName val="PM,TE,SAD_conso"/>
      <sheetName val="K-roll_PARENT_05"/>
      <sheetName val="K-roll_final_CONSO_05"/>
      <sheetName val="RECON NET INC"/>
      <sheetName val="RWROWS2"/>
      <sheetName val="RWRACCTS2"/>
      <sheetName val="RWRCALCS2"/>
      <sheetName val="RWCOLUMNS2"/>
      <sheetName val="RWCACCTS2"/>
      <sheetName val="RWCCALCS2"/>
      <sheetName val="RWCEXCEPTIONS2"/>
      <sheetName val="RWCEXCEPTIONSDETAIL2"/>
      <sheetName val="RWROWORDERS2"/>
      <sheetName val="RWCONTENTS2"/>
      <sheetName val="RWDISPLAYROWS2"/>
      <sheetName val="RWDISPLAYCOLS2"/>
      <sheetName val="RWCONTROLVALUES2"/>
      <sheetName val="RWREPORT2"/>
      <sheetName val="CRITERIA2"/>
      <sheetName val="%CIN"/>
      <sheetName val="PAJE"/>
      <sheetName val="WBS_UNAUDITED_CONSO_05"/>
      <sheetName val="WPL_UNAUDITED CONSO_05"/>
      <sheetName val="BANIG"/>
      <sheetName val="PARENT_DIT"/>
      <sheetName val="TAX"/>
      <sheetName val="PSC_DIT"/>
      <sheetName val="CPDC_DIT"/>
      <sheetName val="PCI_DIT"/>
      <sheetName val="Sheet1"/>
      <sheetName val="WBS"/>
      <sheetName val="WPL"/>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refreshError="1">
        <row r="2">
          <cell r="L2">
            <v>3</v>
          </cell>
        </row>
        <row r="3">
          <cell r="H3" t="str">
            <v>ACCOUNT</v>
          </cell>
        </row>
        <row r="6">
          <cell r="B6" t="str">
            <v>General Ledger Super User</v>
          </cell>
        </row>
        <row r="11">
          <cell r="B11" t="str">
            <v>SM PROD</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row r="1">
          <cell r="D1" t="str">
            <v>OPER CTR</v>
          </cell>
        </row>
        <row r="2">
          <cell r="F2" t="str">
            <v>SEGMENT2</v>
          </cell>
        </row>
        <row r="3">
          <cell r="D3" t="str">
            <v>ACCOUNT</v>
          </cell>
        </row>
        <row r="4">
          <cell r="H4" t="str">
            <v>SUB ACCOUNT</v>
          </cell>
          <cell r="L4">
            <v>6</v>
          </cell>
        </row>
        <row r="15">
          <cell r="B15">
            <v>1056</v>
          </cell>
        </row>
      </sheetData>
      <sheetData sheetId="74"/>
      <sheetData sheetId="75"/>
      <sheetData sheetId="76"/>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row r="2">
          <cell r="J2">
            <v>3</v>
          </cell>
        </row>
        <row r="3">
          <cell r="J3">
            <v>7</v>
          </cell>
          <cell r="L3">
            <v>7</v>
          </cell>
        </row>
        <row r="4">
          <cell r="L4">
            <v>6</v>
          </cell>
        </row>
      </sheetData>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048576"/>
  <sheetViews>
    <sheetView topLeftCell="A67" workbookViewId="0">
      <selection activeCell="F85" sqref="F85:F90"/>
    </sheetView>
  </sheetViews>
  <sheetFormatPr baseColWidth="10" defaultColWidth="8.83203125" defaultRowHeight="15" x14ac:dyDescent="0.2"/>
  <cols>
    <col min="2" max="3" width="8.83203125" style="4"/>
    <col min="4" max="4" width="15" customWidth="1"/>
    <col min="5" max="5" width="12.33203125" style="7" customWidth="1"/>
    <col min="6" max="6" width="21.83203125" customWidth="1"/>
    <col min="7" max="7" width="14.1640625" customWidth="1"/>
    <col min="8" max="8" width="11.83203125" customWidth="1"/>
    <col min="9" max="9" width="20" customWidth="1"/>
    <col min="10" max="10" width="22.33203125" customWidth="1"/>
    <col min="11" max="11" width="18.1640625" customWidth="1"/>
    <col min="12" max="12" width="14.6640625" customWidth="1"/>
    <col min="14" max="14" width="14.33203125" bestFit="1" customWidth="1"/>
    <col min="15" max="15" width="10.6640625" customWidth="1"/>
  </cols>
  <sheetData>
    <row r="1" spans="1:14" ht="16" thickBot="1" x14ac:dyDescent="0.25">
      <c r="A1" t="s">
        <v>9</v>
      </c>
      <c r="F1" s="11"/>
      <c r="H1" s="11">
        <v>43566</v>
      </c>
    </row>
    <row r="2" spans="1:14" ht="16" thickBot="1" x14ac:dyDescent="0.25">
      <c r="F2" s="502" t="s">
        <v>21</v>
      </c>
      <c r="G2" s="503"/>
      <c r="K2" s="32" t="s">
        <v>13</v>
      </c>
    </row>
    <row r="3" spans="1:14" x14ac:dyDescent="0.2">
      <c r="A3" s="9"/>
      <c r="B3" s="10" t="s">
        <v>3</v>
      </c>
      <c r="C3" s="10" t="s">
        <v>4</v>
      </c>
      <c r="D3" s="10" t="s">
        <v>5</v>
      </c>
      <c r="E3" s="12" t="s">
        <v>6</v>
      </c>
      <c r="F3" s="14" t="s">
        <v>7</v>
      </c>
      <c r="G3" s="15" t="s">
        <v>8</v>
      </c>
      <c r="H3" s="33" t="s">
        <v>22</v>
      </c>
      <c r="J3" s="10" t="s">
        <v>11</v>
      </c>
      <c r="K3" s="29" t="s">
        <v>12</v>
      </c>
      <c r="L3" s="10" t="s">
        <v>14</v>
      </c>
    </row>
    <row r="4" spans="1:14" x14ac:dyDescent="0.2">
      <c r="A4" s="5">
        <v>1</v>
      </c>
      <c r="B4" s="2">
        <v>1</v>
      </c>
      <c r="C4" s="2">
        <v>1</v>
      </c>
      <c r="D4" s="6" t="s">
        <v>0</v>
      </c>
      <c r="E4" s="13">
        <v>1000</v>
      </c>
      <c r="F4" s="16">
        <v>11850000</v>
      </c>
      <c r="G4" s="17">
        <f>+F4/E4</f>
        <v>11850</v>
      </c>
      <c r="H4" s="4" t="s">
        <v>2</v>
      </c>
      <c r="J4" s="20">
        <f>+F4-650000</f>
        <v>11200000</v>
      </c>
      <c r="K4" s="30">
        <f>+J4/1.12</f>
        <v>9999999.9999999981</v>
      </c>
      <c r="L4" s="21">
        <f>+K4/E4</f>
        <v>9999.9999999999982</v>
      </c>
      <c r="N4" s="20">
        <f>+K4*0.1</f>
        <v>999999.99999999988</v>
      </c>
    </row>
    <row r="5" spans="1:14" x14ac:dyDescent="0.2">
      <c r="A5" s="5">
        <v>2</v>
      </c>
      <c r="B5" s="2">
        <v>1</v>
      </c>
      <c r="C5" s="2">
        <v>2</v>
      </c>
      <c r="D5" s="6" t="s">
        <v>0</v>
      </c>
      <c r="E5" s="13">
        <v>985</v>
      </c>
      <c r="F5" s="16">
        <v>12420000</v>
      </c>
      <c r="G5" s="17">
        <f t="shared" ref="G5:G68" si="0">+F5/E5</f>
        <v>12609.137055837564</v>
      </c>
      <c r="H5" s="4" t="s">
        <v>2</v>
      </c>
      <c r="J5" s="20">
        <f t="shared" ref="J5:J68" si="1">+F5-650000</f>
        <v>11770000</v>
      </c>
      <c r="K5" s="30">
        <f t="shared" ref="K5:K68" si="2">+J5/1.12</f>
        <v>10508928.571428571</v>
      </c>
      <c r="L5" s="21">
        <f t="shared" ref="L5:L68" si="3">+K5/E5</f>
        <v>10668.963016678752</v>
      </c>
      <c r="N5" s="20">
        <f t="shared" ref="N5:N68" si="4">+K5*0.1</f>
        <v>1050892.857142857</v>
      </c>
    </row>
    <row r="6" spans="1:14" x14ac:dyDescent="0.2">
      <c r="A6" s="5">
        <v>3</v>
      </c>
      <c r="B6" s="2">
        <v>1</v>
      </c>
      <c r="C6" s="2">
        <v>3</v>
      </c>
      <c r="D6" s="6" t="s">
        <v>0</v>
      </c>
      <c r="E6" s="13">
        <v>985</v>
      </c>
      <c r="F6" s="16">
        <v>12420000</v>
      </c>
      <c r="G6" s="17">
        <f t="shared" si="0"/>
        <v>12609.137055837564</v>
      </c>
      <c r="H6" s="4" t="s">
        <v>2</v>
      </c>
      <c r="J6" s="20">
        <f t="shared" si="1"/>
        <v>11770000</v>
      </c>
      <c r="K6" s="30">
        <f t="shared" si="2"/>
        <v>10508928.571428571</v>
      </c>
      <c r="L6" s="21">
        <f t="shared" si="3"/>
        <v>10668.963016678752</v>
      </c>
      <c r="N6" s="20">
        <f t="shared" si="4"/>
        <v>1050892.857142857</v>
      </c>
    </row>
    <row r="7" spans="1:14" x14ac:dyDescent="0.2">
      <c r="A7" s="5">
        <v>4</v>
      </c>
      <c r="B7" s="2">
        <v>1</v>
      </c>
      <c r="C7" s="2">
        <v>5</v>
      </c>
      <c r="D7" s="6" t="s">
        <v>0</v>
      </c>
      <c r="E7" s="13">
        <v>985</v>
      </c>
      <c r="F7" s="16">
        <v>11690000</v>
      </c>
      <c r="G7" s="17">
        <f t="shared" si="0"/>
        <v>11868.020304568528</v>
      </c>
      <c r="H7" s="4" t="s">
        <v>2</v>
      </c>
      <c r="J7" s="20">
        <f t="shared" si="1"/>
        <v>11040000</v>
      </c>
      <c r="K7" s="30">
        <f t="shared" si="2"/>
        <v>9857142.8571428563</v>
      </c>
      <c r="L7" s="21">
        <f t="shared" si="3"/>
        <v>10007.251631617113</v>
      </c>
      <c r="N7" s="20">
        <f t="shared" si="4"/>
        <v>985714.28571428568</v>
      </c>
    </row>
    <row r="8" spans="1:14" x14ac:dyDescent="0.2">
      <c r="A8" s="5">
        <v>5</v>
      </c>
      <c r="B8" s="2">
        <v>1</v>
      </c>
      <c r="C8" s="2">
        <v>6</v>
      </c>
      <c r="D8" s="6" t="s">
        <v>0</v>
      </c>
      <c r="E8" s="13">
        <v>985</v>
      </c>
      <c r="F8" s="16">
        <v>11690000</v>
      </c>
      <c r="G8" s="17">
        <f t="shared" si="0"/>
        <v>11868.020304568528</v>
      </c>
      <c r="H8" s="4" t="s">
        <v>2</v>
      </c>
      <c r="J8" s="20">
        <f t="shared" si="1"/>
        <v>11040000</v>
      </c>
      <c r="K8" s="30">
        <f t="shared" si="2"/>
        <v>9857142.8571428563</v>
      </c>
      <c r="L8" s="21">
        <f t="shared" si="3"/>
        <v>10007.251631617113</v>
      </c>
      <c r="N8" s="20">
        <f t="shared" si="4"/>
        <v>985714.28571428568</v>
      </c>
    </row>
    <row r="9" spans="1:14" x14ac:dyDescent="0.2">
      <c r="A9" s="5">
        <v>6</v>
      </c>
      <c r="B9" s="2">
        <v>1</v>
      </c>
      <c r="C9" s="2">
        <v>7</v>
      </c>
      <c r="D9" s="6" t="s">
        <v>0</v>
      </c>
      <c r="E9" s="13">
        <v>1000</v>
      </c>
      <c r="F9" s="16">
        <v>11850000</v>
      </c>
      <c r="G9" s="17">
        <f t="shared" si="0"/>
        <v>11850</v>
      </c>
      <c r="H9" s="4" t="s">
        <v>2</v>
      </c>
      <c r="J9" s="20">
        <f t="shared" si="1"/>
        <v>11200000</v>
      </c>
      <c r="K9" s="30">
        <f t="shared" si="2"/>
        <v>9999999.9999999981</v>
      </c>
      <c r="L9" s="21">
        <f t="shared" si="3"/>
        <v>9999.9999999999982</v>
      </c>
      <c r="N9" s="20">
        <f t="shared" si="4"/>
        <v>999999.99999999988</v>
      </c>
    </row>
    <row r="10" spans="1:14" x14ac:dyDescent="0.2">
      <c r="A10" s="5">
        <v>7</v>
      </c>
      <c r="B10" s="2">
        <v>2</v>
      </c>
      <c r="C10" s="2">
        <v>1</v>
      </c>
      <c r="D10" s="6" t="s">
        <v>0</v>
      </c>
      <c r="E10" s="13">
        <v>911</v>
      </c>
      <c r="F10" s="16">
        <v>11400000</v>
      </c>
      <c r="G10" s="17">
        <f t="shared" si="0"/>
        <v>12513.721185510429</v>
      </c>
      <c r="H10" s="4" t="s">
        <v>2</v>
      </c>
      <c r="J10" s="20">
        <f t="shared" si="1"/>
        <v>10750000</v>
      </c>
      <c r="K10" s="30">
        <f t="shared" si="2"/>
        <v>9598214.2857142854</v>
      </c>
      <c r="L10" s="21">
        <f t="shared" si="3"/>
        <v>10535.910302650149</v>
      </c>
      <c r="N10" s="20">
        <f t="shared" si="4"/>
        <v>959821.42857142864</v>
      </c>
    </row>
    <row r="11" spans="1:14" x14ac:dyDescent="0.2">
      <c r="A11" s="5">
        <v>8</v>
      </c>
      <c r="B11" s="2">
        <v>2</v>
      </c>
      <c r="C11" s="2">
        <v>2</v>
      </c>
      <c r="D11" s="6" t="s">
        <v>0</v>
      </c>
      <c r="E11" s="13">
        <v>911</v>
      </c>
      <c r="F11" s="16">
        <v>10860000</v>
      </c>
      <c r="G11" s="17">
        <f t="shared" si="0"/>
        <v>11920.965971459935</v>
      </c>
      <c r="H11" s="4" t="s">
        <v>2</v>
      </c>
      <c r="J11" s="20">
        <f t="shared" si="1"/>
        <v>10210000</v>
      </c>
      <c r="K11" s="30">
        <f t="shared" si="2"/>
        <v>9116071.4285714272</v>
      </c>
      <c r="L11" s="21">
        <f t="shared" si="3"/>
        <v>10006.66457581935</v>
      </c>
      <c r="N11" s="20">
        <f t="shared" si="4"/>
        <v>911607.14285714272</v>
      </c>
    </row>
    <row r="12" spans="1:14" x14ac:dyDescent="0.2">
      <c r="A12" s="5">
        <v>9</v>
      </c>
      <c r="B12" s="2">
        <v>2</v>
      </c>
      <c r="C12" s="2">
        <v>3</v>
      </c>
      <c r="D12" s="6" t="s">
        <v>0</v>
      </c>
      <c r="E12" s="13">
        <v>1001</v>
      </c>
      <c r="F12" s="16">
        <v>13360000</v>
      </c>
      <c r="G12" s="17">
        <f t="shared" si="0"/>
        <v>13346.653346653347</v>
      </c>
      <c r="H12" s="4" t="s">
        <v>2</v>
      </c>
      <c r="J12" s="20">
        <f t="shared" si="1"/>
        <v>12710000</v>
      </c>
      <c r="K12" s="30">
        <f t="shared" si="2"/>
        <v>11348214.285714285</v>
      </c>
      <c r="L12" s="21">
        <f t="shared" si="3"/>
        <v>11336.87740830598</v>
      </c>
      <c r="N12" s="20">
        <f t="shared" si="4"/>
        <v>1134821.4285714286</v>
      </c>
    </row>
    <row r="13" spans="1:14" x14ac:dyDescent="0.2">
      <c r="A13" s="5">
        <v>10</v>
      </c>
      <c r="B13" s="2">
        <v>2</v>
      </c>
      <c r="C13" s="2">
        <v>5</v>
      </c>
      <c r="D13" s="6" t="s">
        <v>0</v>
      </c>
      <c r="E13" s="13">
        <v>905</v>
      </c>
      <c r="F13" s="16">
        <v>11800000</v>
      </c>
      <c r="G13" s="17">
        <f t="shared" si="0"/>
        <v>13038.674033149171</v>
      </c>
      <c r="H13" s="4" t="s">
        <v>2</v>
      </c>
      <c r="J13" s="20">
        <f t="shared" si="1"/>
        <v>11150000</v>
      </c>
      <c r="K13" s="30">
        <f t="shared" si="2"/>
        <v>9955357.1428571418</v>
      </c>
      <c r="L13" s="21">
        <f t="shared" si="3"/>
        <v>11000.394632991316</v>
      </c>
      <c r="N13" s="20">
        <f t="shared" si="4"/>
        <v>995535.7142857142</v>
      </c>
    </row>
    <row r="14" spans="1:14" x14ac:dyDescent="0.2">
      <c r="A14" s="5">
        <v>11</v>
      </c>
      <c r="B14" s="2">
        <v>2</v>
      </c>
      <c r="C14" s="2">
        <v>6</v>
      </c>
      <c r="D14" s="6" t="s">
        <v>0</v>
      </c>
      <c r="E14" s="13">
        <v>910</v>
      </c>
      <c r="F14" s="16">
        <v>11870000</v>
      </c>
      <c r="G14" s="17">
        <f t="shared" si="0"/>
        <v>13043.956043956045</v>
      </c>
      <c r="H14" s="4" t="s">
        <v>2</v>
      </c>
      <c r="J14" s="20">
        <f t="shared" si="1"/>
        <v>11220000</v>
      </c>
      <c r="K14" s="30">
        <f t="shared" si="2"/>
        <v>10017857.142857142</v>
      </c>
      <c r="L14" s="21">
        <f t="shared" si="3"/>
        <v>11008.634222919936</v>
      </c>
      <c r="N14" s="20">
        <f t="shared" si="4"/>
        <v>1001785.7142857142</v>
      </c>
    </row>
    <row r="15" spans="1:14" x14ac:dyDescent="0.2">
      <c r="A15" s="5">
        <v>12</v>
      </c>
      <c r="B15" s="2">
        <v>2</v>
      </c>
      <c r="C15" s="2">
        <v>7</v>
      </c>
      <c r="D15" s="6" t="s">
        <v>0</v>
      </c>
      <c r="E15" s="13">
        <v>910</v>
      </c>
      <c r="F15" s="16">
        <v>11530000</v>
      </c>
      <c r="G15" s="17">
        <f t="shared" si="0"/>
        <v>12670.329670329671</v>
      </c>
      <c r="H15" s="4" t="s">
        <v>2</v>
      </c>
      <c r="J15" s="20">
        <f t="shared" si="1"/>
        <v>10880000</v>
      </c>
      <c r="K15" s="30">
        <f t="shared" si="2"/>
        <v>9714285.7142857127</v>
      </c>
      <c r="L15" s="21">
        <f t="shared" si="3"/>
        <v>10675.039246467815</v>
      </c>
      <c r="N15" s="20">
        <f t="shared" si="4"/>
        <v>971428.57142857136</v>
      </c>
    </row>
    <row r="16" spans="1:14" x14ac:dyDescent="0.2">
      <c r="A16" s="5">
        <v>13</v>
      </c>
      <c r="B16" s="2">
        <v>2</v>
      </c>
      <c r="C16" s="2">
        <v>8</v>
      </c>
      <c r="D16" s="6" t="s">
        <v>0</v>
      </c>
      <c r="E16" s="13">
        <v>1000</v>
      </c>
      <c r="F16" s="16">
        <v>12750000</v>
      </c>
      <c r="G16" s="17">
        <f t="shared" si="0"/>
        <v>12750</v>
      </c>
      <c r="H16" s="4" t="s">
        <v>2</v>
      </c>
      <c r="J16" s="20">
        <f t="shared" si="1"/>
        <v>12100000</v>
      </c>
      <c r="K16" s="30">
        <f t="shared" si="2"/>
        <v>10803571.428571427</v>
      </c>
      <c r="L16" s="21">
        <f t="shared" si="3"/>
        <v>10803.571428571428</v>
      </c>
      <c r="N16" s="20">
        <f t="shared" si="4"/>
        <v>1080357.1428571427</v>
      </c>
    </row>
    <row r="17" spans="1:14" x14ac:dyDescent="0.2">
      <c r="A17" s="5">
        <v>14</v>
      </c>
      <c r="B17" s="2">
        <v>2</v>
      </c>
      <c r="C17" s="2">
        <v>9</v>
      </c>
      <c r="D17" s="6" t="s">
        <v>0</v>
      </c>
      <c r="E17" s="13">
        <v>905</v>
      </c>
      <c r="F17" s="16">
        <v>10790000</v>
      </c>
      <c r="G17" s="17">
        <f t="shared" si="0"/>
        <v>11922.651933701658</v>
      </c>
      <c r="H17" s="4" t="s">
        <v>2</v>
      </c>
      <c r="J17" s="20">
        <f t="shared" si="1"/>
        <v>10140000</v>
      </c>
      <c r="K17" s="30">
        <f t="shared" si="2"/>
        <v>9053571.4285714272</v>
      </c>
      <c r="L17" s="21">
        <f t="shared" si="3"/>
        <v>10003.946329913178</v>
      </c>
      <c r="N17" s="20">
        <f t="shared" si="4"/>
        <v>905357.14285714272</v>
      </c>
    </row>
    <row r="18" spans="1:14" x14ac:dyDescent="0.2">
      <c r="A18" s="5">
        <v>15</v>
      </c>
      <c r="B18" s="2">
        <v>2</v>
      </c>
      <c r="C18" s="2">
        <v>10</v>
      </c>
      <c r="D18" s="6" t="s">
        <v>0</v>
      </c>
      <c r="E18" s="13">
        <v>975</v>
      </c>
      <c r="F18" s="16">
        <v>11570000</v>
      </c>
      <c r="G18" s="17">
        <f t="shared" si="0"/>
        <v>11866.666666666666</v>
      </c>
      <c r="H18" s="4" t="s">
        <v>2</v>
      </c>
      <c r="J18" s="20">
        <f t="shared" si="1"/>
        <v>10920000</v>
      </c>
      <c r="K18" s="30">
        <f t="shared" si="2"/>
        <v>9750000</v>
      </c>
      <c r="L18" s="21">
        <f t="shared" si="3"/>
        <v>10000</v>
      </c>
      <c r="N18" s="20">
        <f t="shared" si="4"/>
        <v>975000</v>
      </c>
    </row>
    <row r="19" spans="1:14" x14ac:dyDescent="0.2">
      <c r="A19" s="5">
        <v>16</v>
      </c>
      <c r="B19" s="2">
        <v>2</v>
      </c>
      <c r="C19" s="2">
        <v>11</v>
      </c>
      <c r="D19" s="6" t="s">
        <v>0</v>
      </c>
      <c r="E19" s="13">
        <v>1000</v>
      </c>
      <c r="F19" s="16">
        <v>11710000</v>
      </c>
      <c r="G19" s="17">
        <f t="shared" si="0"/>
        <v>11710</v>
      </c>
      <c r="H19" s="4" t="s">
        <v>2</v>
      </c>
      <c r="J19" s="20">
        <f t="shared" si="1"/>
        <v>11060000</v>
      </c>
      <c r="K19" s="30">
        <f t="shared" si="2"/>
        <v>9874999.9999999981</v>
      </c>
      <c r="L19" s="21">
        <f t="shared" si="3"/>
        <v>9874.9999999999982</v>
      </c>
      <c r="N19" s="20">
        <f t="shared" si="4"/>
        <v>987499.99999999988</v>
      </c>
    </row>
    <row r="20" spans="1:14" x14ac:dyDescent="0.2">
      <c r="A20" s="5">
        <v>17</v>
      </c>
      <c r="B20" s="2">
        <v>2</v>
      </c>
      <c r="C20" s="2">
        <v>12</v>
      </c>
      <c r="D20" s="6" t="s">
        <v>0</v>
      </c>
      <c r="E20" s="13">
        <v>970</v>
      </c>
      <c r="F20" s="16">
        <v>11520000</v>
      </c>
      <c r="G20" s="17">
        <f t="shared" si="0"/>
        <v>11876.288659793814</v>
      </c>
      <c r="H20" s="4" t="s">
        <v>2</v>
      </c>
      <c r="J20" s="20">
        <f t="shared" si="1"/>
        <v>10870000</v>
      </c>
      <c r="K20" s="30">
        <f t="shared" si="2"/>
        <v>9705357.1428571418</v>
      </c>
      <c r="L20" s="21">
        <f t="shared" si="3"/>
        <v>10005.522827687775</v>
      </c>
      <c r="N20" s="20">
        <f t="shared" si="4"/>
        <v>970535.7142857142</v>
      </c>
    </row>
    <row r="21" spans="1:14" x14ac:dyDescent="0.2">
      <c r="A21" s="5">
        <v>18</v>
      </c>
      <c r="B21" s="2">
        <v>2</v>
      </c>
      <c r="C21" s="2">
        <v>15</v>
      </c>
      <c r="D21" s="6" t="s">
        <v>0</v>
      </c>
      <c r="E21" s="13">
        <v>970</v>
      </c>
      <c r="F21" s="16">
        <v>11520000</v>
      </c>
      <c r="G21" s="17">
        <f t="shared" si="0"/>
        <v>11876.288659793814</v>
      </c>
      <c r="H21" s="4" t="s">
        <v>2</v>
      </c>
      <c r="J21" s="20">
        <f t="shared" si="1"/>
        <v>10870000</v>
      </c>
      <c r="K21" s="30">
        <f t="shared" si="2"/>
        <v>9705357.1428571418</v>
      </c>
      <c r="L21" s="21">
        <f t="shared" si="3"/>
        <v>10005.522827687775</v>
      </c>
      <c r="N21" s="20">
        <f t="shared" si="4"/>
        <v>970535.7142857142</v>
      </c>
    </row>
    <row r="22" spans="1:14" x14ac:dyDescent="0.2">
      <c r="A22" s="5">
        <v>19</v>
      </c>
      <c r="B22" s="2">
        <v>2</v>
      </c>
      <c r="C22" s="2">
        <v>16</v>
      </c>
      <c r="D22" s="6" t="s">
        <v>0</v>
      </c>
      <c r="E22" s="13">
        <v>970</v>
      </c>
      <c r="F22" s="16">
        <v>12240000</v>
      </c>
      <c r="G22" s="17">
        <f t="shared" si="0"/>
        <v>12618.556701030928</v>
      </c>
      <c r="H22" s="4" t="s">
        <v>2</v>
      </c>
      <c r="J22" s="20">
        <f t="shared" si="1"/>
        <v>11590000</v>
      </c>
      <c r="K22" s="30">
        <f t="shared" si="2"/>
        <v>10348214.285714285</v>
      </c>
      <c r="L22" s="21">
        <f t="shared" si="3"/>
        <v>10668.262150220913</v>
      </c>
      <c r="N22" s="20">
        <f t="shared" si="4"/>
        <v>1034821.4285714286</v>
      </c>
    </row>
    <row r="23" spans="1:14" x14ac:dyDescent="0.2">
      <c r="A23" s="5">
        <v>20</v>
      </c>
      <c r="B23" s="2">
        <v>3</v>
      </c>
      <c r="C23" s="2">
        <v>1</v>
      </c>
      <c r="D23" s="6" t="s">
        <v>0</v>
      </c>
      <c r="E23" s="13">
        <v>1000</v>
      </c>
      <c r="F23" s="16">
        <v>14090000</v>
      </c>
      <c r="G23" s="17">
        <f t="shared" si="0"/>
        <v>14090</v>
      </c>
      <c r="H23" s="4"/>
      <c r="J23" s="20">
        <f t="shared" si="1"/>
        <v>13440000</v>
      </c>
      <c r="K23" s="30">
        <f t="shared" si="2"/>
        <v>11999999.999999998</v>
      </c>
      <c r="L23" s="21">
        <f t="shared" si="3"/>
        <v>11999.999999999998</v>
      </c>
      <c r="N23" s="20">
        <f t="shared" si="4"/>
        <v>1199999.9999999998</v>
      </c>
    </row>
    <row r="24" spans="1:14" x14ac:dyDescent="0.2">
      <c r="A24" s="5">
        <v>21</v>
      </c>
      <c r="B24" s="2">
        <v>3</v>
      </c>
      <c r="C24" s="2">
        <v>2</v>
      </c>
      <c r="D24" s="6" t="s">
        <v>0</v>
      </c>
      <c r="E24" s="13">
        <v>900</v>
      </c>
      <c r="F24" s="16">
        <v>12750000</v>
      </c>
      <c r="G24" s="17">
        <f t="shared" si="0"/>
        <v>14166.666666666666</v>
      </c>
      <c r="H24" s="4"/>
      <c r="J24" s="20">
        <f t="shared" si="1"/>
        <v>12100000</v>
      </c>
      <c r="K24" s="30">
        <f t="shared" si="2"/>
        <v>10803571.428571427</v>
      </c>
      <c r="L24" s="21">
        <f t="shared" si="3"/>
        <v>12003.968253968253</v>
      </c>
      <c r="N24" s="20">
        <f t="shared" si="4"/>
        <v>1080357.1428571427</v>
      </c>
    </row>
    <row r="25" spans="1:14" x14ac:dyDescent="0.2">
      <c r="A25" s="5">
        <v>22</v>
      </c>
      <c r="B25" s="2">
        <v>3</v>
      </c>
      <c r="C25" s="2">
        <v>3</v>
      </c>
      <c r="D25" s="6" t="s">
        <v>0</v>
      </c>
      <c r="E25" s="13">
        <v>900</v>
      </c>
      <c r="F25" s="16">
        <v>12750000</v>
      </c>
      <c r="G25" s="17">
        <f t="shared" si="0"/>
        <v>14166.666666666666</v>
      </c>
      <c r="H25" s="4"/>
      <c r="J25" s="20">
        <f t="shared" si="1"/>
        <v>12100000</v>
      </c>
      <c r="K25" s="30">
        <f t="shared" si="2"/>
        <v>10803571.428571427</v>
      </c>
      <c r="L25" s="21">
        <f t="shared" si="3"/>
        <v>12003.968253968253</v>
      </c>
      <c r="N25" s="20">
        <f t="shared" si="4"/>
        <v>1080357.1428571427</v>
      </c>
    </row>
    <row r="26" spans="1:14" x14ac:dyDescent="0.2">
      <c r="A26" s="5">
        <v>23</v>
      </c>
      <c r="B26" s="2">
        <v>3</v>
      </c>
      <c r="C26" s="2">
        <v>5</v>
      </c>
      <c r="D26" s="6" t="s">
        <v>0</v>
      </c>
      <c r="E26" s="13">
        <v>999</v>
      </c>
      <c r="F26" s="16">
        <v>13190000</v>
      </c>
      <c r="G26" s="17">
        <f t="shared" si="0"/>
        <v>13203.203203203204</v>
      </c>
      <c r="H26" s="4"/>
      <c r="J26" s="20">
        <f t="shared" si="1"/>
        <v>12540000</v>
      </c>
      <c r="K26" s="30">
        <f t="shared" si="2"/>
        <v>11196428.571428571</v>
      </c>
      <c r="L26" s="21">
        <f t="shared" si="3"/>
        <v>11207.636207636207</v>
      </c>
      <c r="N26" s="20">
        <f t="shared" si="4"/>
        <v>1119642.857142857</v>
      </c>
    </row>
    <row r="27" spans="1:14" x14ac:dyDescent="0.2">
      <c r="A27" s="5">
        <v>24</v>
      </c>
      <c r="B27" s="2">
        <v>3</v>
      </c>
      <c r="C27" s="2">
        <v>6</v>
      </c>
      <c r="D27" s="6" t="s">
        <v>0</v>
      </c>
      <c r="E27" s="13">
        <v>825</v>
      </c>
      <c r="F27" s="16">
        <v>10390000</v>
      </c>
      <c r="G27" s="17">
        <f t="shared" si="0"/>
        <v>12593.939393939394</v>
      </c>
      <c r="H27" s="4"/>
      <c r="J27" s="20">
        <f t="shared" si="1"/>
        <v>9740000</v>
      </c>
      <c r="K27" s="30">
        <f t="shared" si="2"/>
        <v>8696428.5714285709</v>
      </c>
      <c r="L27" s="21">
        <f t="shared" si="3"/>
        <v>10541.125541125541</v>
      </c>
      <c r="N27" s="20">
        <f t="shared" si="4"/>
        <v>869642.85714285716</v>
      </c>
    </row>
    <row r="28" spans="1:14" x14ac:dyDescent="0.2">
      <c r="A28" s="5">
        <v>25</v>
      </c>
      <c r="B28" s="2">
        <v>3</v>
      </c>
      <c r="C28" s="2">
        <v>7</v>
      </c>
      <c r="D28" s="6" t="s">
        <v>0</v>
      </c>
      <c r="E28" s="13">
        <v>1000</v>
      </c>
      <c r="F28" s="16">
        <v>12450000</v>
      </c>
      <c r="G28" s="17">
        <f t="shared" si="0"/>
        <v>12450</v>
      </c>
      <c r="H28" s="4"/>
      <c r="J28" s="20">
        <f t="shared" si="1"/>
        <v>11800000</v>
      </c>
      <c r="K28" s="30">
        <f t="shared" si="2"/>
        <v>10535714.285714285</v>
      </c>
      <c r="L28" s="21">
        <f t="shared" si="3"/>
        <v>10535.714285714286</v>
      </c>
      <c r="N28" s="20">
        <f t="shared" si="4"/>
        <v>1053571.4285714286</v>
      </c>
    </row>
    <row r="29" spans="1:14" x14ac:dyDescent="0.2">
      <c r="A29" s="5">
        <v>26</v>
      </c>
      <c r="B29" s="2">
        <v>3</v>
      </c>
      <c r="C29" s="2">
        <v>8</v>
      </c>
      <c r="D29" s="6" t="s">
        <v>0</v>
      </c>
      <c r="E29" s="13">
        <v>900</v>
      </c>
      <c r="F29" s="16">
        <v>12350000</v>
      </c>
      <c r="G29" s="17">
        <f t="shared" si="0"/>
        <v>13722.222222222223</v>
      </c>
      <c r="H29" s="4"/>
      <c r="J29" s="20">
        <f t="shared" si="1"/>
        <v>11700000</v>
      </c>
      <c r="K29" s="30">
        <f t="shared" si="2"/>
        <v>10446428.571428571</v>
      </c>
      <c r="L29" s="21">
        <f t="shared" si="3"/>
        <v>11607.142857142857</v>
      </c>
      <c r="N29" s="20">
        <f t="shared" si="4"/>
        <v>1044642.8571428572</v>
      </c>
    </row>
    <row r="30" spans="1:14" x14ac:dyDescent="0.2">
      <c r="A30" s="5">
        <v>27</v>
      </c>
      <c r="B30" s="2">
        <v>3</v>
      </c>
      <c r="C30" s="2">
        <v>9</v>
      </c>
      <c r="D30" s="6" t="s">
        <v>0</v>
      </c>
      <c r="E30" s="13">
        <v>900</v>
      </c>
      <c r="F30" s="16">
        <v>12080000</v>
      </c>
      <c r="G30" s="17">
        <f t="shared" si="0"/>
        <v>13422.222222222223</v>
      </c>
      <c r="H30" s="4"/>
      <c r="J30" s="20">
        <f t="shared" si="1"/>
        <v>11430000</v>
      </c>
      <c r="K30" s="30">
        <f t="shared" si="2"/>
        <v>10205357.142857142</v>
      </c>
      <c r="L30" s="21">
        <f t="shared" si="3"/>
        <v>11339.285714285714</v>
      </c>
      <c r="N30" s="20">
        <f t="shared" si="4"/>
        <v>1020535.7142857142</v>
      </c>
    </row>
    <row r="31" spans="1:14" x14ac:dyDescent="0.2">
      <c r="A31" s="5">
        <v>28</v>
      </c>
      <c r="B31" s="2">
        <v>5</v>
      </c>
      <c r="C31" s="2">
        <v>1</v>
      </c>
      <c r="D31" s="6" t="s">
        <v>0</v>
      </c>
      <c r="E31" s="13">
        <v>865</v>
      </c>
      <c r="F31" s="16">
        <v>10020000</v>
      </c>
      <c r="G31" s="17">
        <f t="shared" si="0"/>
        <v>11583.815028901734</v>
      </c>
      <c r="H31" s="4" t="s">
        <v>2</v>
      </c>
      <c r="J31" s="20">
        <f t="shared" si="1"/>
        <v>9370000</v>
      </c>
      <c r="K31" s="30">
        <f t="shared" si="2"/>
        <v>8366071.4285714282</v>
      </c>
      <c r="L31" s="21">
        <f t="shared" si="3"/>
        <v>9671.7588769611884</v>
      </c>
      <c r="N31" s="20">
        <f t="shared" si="4"/>
        <v>836607.14285714284</v>
      </c>
    </row>
    <row r="32" spans="1:14" x14ac:dyDescent="0.2">
      <c r="A32" s="5">
        <v>29</v>
      </c>
      <c r="B32" s="2">
        <v>5</v>
      </c>
      <c r="C32" s="2">
        <v>2</v>
      </c>
      <c r="D32" s="6" t="s">
        <v>0</v>
      </c>
      <c r="E32" s="13">
        <v>770</v>
      </c>
      <c r="F32" s="16">
        <v>9060000</v>
      </c>
      <c r="G32" s="17">
        <f t="shared" si="0"/>
        <v>11766.233766233767</v>
      </c>
      <c r="H32" s="4" t="s">
        <v>2</v>
      </c>
      <c r="J32" s="20">
        <f t="shared" si="1"/>
        <v>8410000</v>
      </c>
      <c r="K32" s="30">
        <f t="shared" si="2"/>
        <v>7508928.5714285709</v>
      </c>
      <c r="L32" s="21">
        <f t="shared" si="3"/>
        <v>9751.8552875695732</v>
      </c>
      <c r="N32" s="20">
        <f t="shared" si="4"/>
        <v>750892.85714285716</v>
      </c>
    </row>
    <row r="33" spans="1:14" x14ac:dyDescent="0.2">
      <c r="A33" s="5">
        <v>30</v>
      </c>
      <c r="B33" s="2">
        <v>5</v>
      </c>
      <c r="C33" s="2">
        <v>3</v>
      </c>
      <c r="D33" s="6" t="s">
        <v>0</v>
      </c>
      <c r="E33" s="13">
        <v>770</v>
      </c>
      <c r="F33" s="16">
        <v>9060000</v>
      </c>
      <c r="G33" s="17">
        <f t="shared" si="0"/>
        <v>11766.233766233767</v>
      </c>
      <c r="H33" s="4" t="s">
        <v>2</v>
      </c>
      <c r="J33" s="20">
        <f t="shared" si="1"/>
        <v>8410000</v>
      </c>
      <c r="K33" s="30">
        <f t="shared" si="2"/>
        <v>7508928.5714285709</v>
      </c>
      <c r="L33" s="21">
        <f t="shared" si="3"/>
        <v>9751.8552875695732</v>
      </c>
      <c r="N33" s="20">
        <f t="shared" si="4"/>
        <v>750892.85714285716</v>
      </c>
    </row>
    <row r="34" spans="1:14" x14ac:dyDescent="0.2">
      <c r="A34" s="5">
        <v>31</v>
      </c>
      <c r="B34" s="2">
        <v>5</v>
      </c>
      <c r="C34" s="2">
        <v>5</v>
      </c>
      <c r="D34" s="6" t="s">
        <v>0</v>
      </c>
      <c r="E34" s="13">
        <v>770</v>
      </c>
      <c r="F34" s="16">
        <v>9060000</v>
      </c>
      <c r="G34" s="17">
        <f t="shared" si="0"/>
        <v>11766.233766233767</v>
      </c>
      <c r="H34" s="4" t="s">
        <v>2</v>
      </c>
      <c r="J34" s="20">
        <f t="shared" si="1"/>
        <v>8410000</v>
      </c>
      <c r="K34" s="30">
        <f t="shared" si="2"/>
        <v>7508928.5714285709</v>
      </c>
      <c r="L34" s="21">
        <f t="shared" si="3"/>
        <v>9751.8552875695732</v>
      </c>
      <c r="N34" s="20">
        <f t="shared" si="4"/>
        <v>750892.85714285716</v>
      </c>
    </row>
    <row r="35" spans="1:14" x14ac:dyDescent="0.2">
      <c r="A35" s="5">
        <v>32</v>
      </c>
      <c r="B35" s="2">
        <v>5</v>
      </c>
      <c r="C35" s="2">
        <v>6</v>
      </c>
      <c r="D35" s="6" t="s">
        <v>0</v>
      </c>
      <c r="E35" s="13">
        <v>770</v>
      </c>
      <c r="F35" s="16">
        <v>9060000</v>
      </c>
      <c r="G35" s="17">
        <f t="shared" si="0"/>
        <v>11766.233766233767</v>
      </c>
      <c r="H35" s="4" t="s">
        <v>2</v>
      </c>
      <c r="J35" s="20">
        <f t="shared" si="1"/>
        <v>8410000</v>
      </c>
      <c r="K35" s="30">
        <f t="shared" si="2"/>
        <v>7508928.5714285709</v>
      </c>
      <c r="L35" s="21">
        <f t="shared" si="3"/>
        <v>9751.8552875695732</v>
      </c>
      <c r="N35" s="20">
        <f t="shared" si="4"/>
        <v>750892.85714285716</v>
      </c>
    </row>
    <row r="36" spans="1:14" x14ac:dyDescent="0.2">
      <c r="A36" s="5">
        <v>33</v>
      </c>
      <c r="B36" s="2">
        <v>5</v>
      </c>
      <c r="C36" s="2">
        <v>7</v>
      </c>
      <c r="D36" s="6" t="s">
        <v>0</v>
      </c>
      <c r="E36" s="13">
        <v>750</v>
      </c>
      <c r="F36" s="16">
        <v>8840000</v>
      </c>
      <c r="G36" s="17">
        <f t="shared" si="0"/>
        <v>11786.666666666666</v>
      </c>
      <c r="H36" s="4" t="s">
        <v>2</v>
      </c>
      <c r="J36" s="20">
        <f t="shared" si="1"/>
        <v>8190000</v>
      </c>
      <c r="K36" s="30">
        <f t="shared" si="2"/>
        <v>7312499.9999999991</v>
      </c>
      <c r="L36" s="21">
        <f t="shared" si="3"/>
        <v>9749.9999999999982</v>
      </c>
      <c r="N36" s="20">
        <f t="shared" si="4"/>
        <v>731250</v>
      </c>
    </row>
    <row r="37" spans="1:14" x14ac:dyDescent="0.2">
      <c r="A37" s="5">
        <v>34</v>
      </c>
      <c r="B37" s="2">
        <v>5</v>
      </c>
      <c r="C37" s="2">
        <v>8</v>
      </c>
      <c r="D37" s="6" t="s">
        <v>0</v>
      </c>
      <c r="E37" s="13">
        <v>768</v>
      </c>
      <c r="F37" s="16">
        <v>9300000</v>
      </c>
      <c r="G37" s="17">
        <f t="shared" si="0"/>
        <v>12109.375</v>
      </c>
      <c r="H37" s="4" t="s">
        <v>2</v>
      </c>
      <c r="J37" s="20">
        <f t="shared" si="1"/>
        <v>8650000</v>
      </c>
      <c r="K37" s="30">
        <f t="shared" si="2"/>
        <v>7723214.2857142845</v>
      </c>
      <c r="L37" s="21">
        <f t="shared" si="3"/>
        <v>10056.268601190475</v>
      </c>
      <c r="N37" s="20">
        <f t="shared" si="4"/>
        <v>772321.42857142852</v>
      </c>
    </row>
    <row r="38" spans="1:14" x14ac:dyDescent="0.2">
      <c r="A38" s="5">
        <v>35</v>
      </c>
      <c r="B38" s="2">
        <v>5</v>
      </c>
      <c r="C38" s="2">
        <v>9</v>
      </c>
      <c r="D38" s="6" t="s">
        <v>1</v>
      </c>
      <c r="E38" s="13">
        <v>600</v>
      </c>
      <c r="F38" s="16">
        <v>10770000</v>
      </c>
      <c r="G38" s="17">
        <f t="shared" si="0"/>
        <v>17950</v>
      </c>
      <c r="H38" s="4"/>
      <c r="J38" s="20">
        <f t="shared" si="1"/>
        <v>10120000</v>
      </c>
      <c r="K38" s="30">
        <f t="shared" si="2"/>
        <v>9035714.2857142854</v>
      </c>
      <c r="L38" s="21">
        <f t="shared" si="3"/>
        <v>15059.523809523809</v>
      </c>
      <c r="N38" s="20">
        <f t="shared" si="4"/>
        <v>903571.42857142864</v>
      </c>
    </row>
    <row r="39" spans="1:14" x14ac:dyDescent="0.2">
      <c r="A39" s="5">
        <v>36</v>
      </c>
      <c r="B39" s="2">
        <v>5</v>
      </c>
      <c r="C39" s="2">
        <v>10</v>
      </c>
      <c r="D39" s="6" t="s">
        <v>1</v>
      </c>
      <c r="E39" s="13">
        <v>508</v>
      </c>
      <c r="F39" s="16">
        <v>8560000</v>
      </c>
      <c r="G39" s="17">
        <f t="shared" si="0"/>
        <v>16850.393700787401</v>
      </c>
      <c r="H39" s="4"/>
      <c r="J39" s="20">
        <f t="shared" si="1"/>
        <v>7910000</v>
      </c>
      <c r="K39" s="30">
        <f t="shared" si="2"/>
        <v>7062499.9999999991</v>
      </c>
      <c r="L39" s="21">
        <f t="shared" si="3"/>
        <v>13902.559055118109</v>
      </c>
      <c r="N39" s="20">
        <f t="shared" si="4"/>
        <v>706250</v>
      </c>
    </row>
    <row r="40" spans="1:14" x14ac:dyDescent="0.2">
      <c r="A40" s="5">
        <v>37</v>
      </c>
      <c r="B40" s="2">
        <v>5</v>
      </c>
      <c r="C40" s="2">
        <v>11</v>
      </c>
      <c r="D40" s="6" t="s">
        <v>1</v>
      </c>
      <c r="E40" s="13">
        <v>520</v>
      </c>
      <c r="F40" s="16">
        <v>8410000</v>
      </c>
      <c r="G40" s="17">
        <f t="shared" si="0"/>
        <v>16173.076923076924</v>
      </c>
      <c r="H40" s="4"/>
      <c r="J40" s="20">
        <f t="shared" si="1"/>
        <v>7760000</v>
      </c>
      <c r="K40" s="30">
        <f t="shared" si="2"/>
        <v>6928571.4285714282</v>
      </c>
      <c r="L40" s="21">
        <f t="shared" si="3"/>
        <v>13324.175824175823</v>
      </c>
      <c r="N40" s="20">
        <f t="shared" si="4"/>
        <v>692857.14285714284</v>
      </c>
    </row>
    <row r="41" spans="1:14" x14ac:dyDescent="0.2">
      <c r="A41" s="5">
        <v>38</v>
      </c>
      <c r="B41" s="2">
        <v>5</v>
      </c>
      <c r="C41" s="2">
        <v>12</v>
      </c>
      <c r="D41" s="6" t="s">
        <v>1</v>
      </c>
      <c r="E41" s="13">
        <v>600</v>
      </c>
      <c r="F41" s="16">
        <v>9210000</v>
      </c>
      <c r="G41" s="17">
        <f t="shared" si="0"/>
        <v>15350</v>
      </c>
      <c r="H41" s="4"/>
      <c r="J41" s="20">
        <f t="shared" si="1"/>
        <v>8560000</v>
      </c>
      <c r="K41" s="30">
        <f t="shared" si="2"/>
        <v>7642857.1428571418</v>
      </c>
      <c r="L41" s="21">
        <f t="shared" si="3"/>
        <v>12738.095238095237</v>
      </c>
      <c r="N41" s="20">
        <f t="shared" si="4"/>
        <v>764285.7142857142</v>
      </c>
    </row>
    <row r="42" spans="1:14" x14ac:dyDescent="0.2">
      <c r="A42" s="5">
        <v>39</v>
      </c>
      <c r="B42" s="2">
        <v>5</v>
      </c>
      <c r="C42" s="2">
        <v>15</v>
      </c>
      <c r="D42" s="6" t="s">
        <v>1</v>
      </c>
      <c r="E42" s="13">
        <v>600</v>
      </c>
      <c r="F42" s="16">
        <v>9210000</v>
      </c>
      <c r="G42" s="17">
        <f t="shared" si="0"/>
        <v>15350</v>
      </c>
      <c r="H42" s="4"/>
      <c r="J42" s="20">
        <f t="shared" si="1"/>
        <v>8560000</v>
      </c>
      <c r="K42" s="30">
        <f t="shared" si="2"/>
        <v>7642857.1428571418</v>
      </c>
      <c r="L42" s="21">
        <f t="shared" si="3"/>
        <v>12738.095238095237</v>
      </c>
      <c r="N42" s="20">
        <f t="shared" si="4"/>
        <v>764285.7142857142</v>
      </c>
    </row>
    <row r="43" spans="1:14" x14ac:dyDescent="0.2">
      <c r="A43" s="5">
        <v>40</v>
      </c>
      <c r="B43" s="2">
        <v>5</v>
      </c>
      <c r="C43" s="2">
        <v>16</v>
      </c>
      <c r="D43" s="6" t="s">
        <v>1</v>
      </c>
      <c r="E43" s="13">
        <v>501</v>
      </c>
      <c r="F43" s="16">
        <v>8130000</v>
      </c>
      <c r="G43" s="17">
        <f t="shared" si="0"/>
        <v>16227.54491017964</v>
      </c>
      <c r="H43" s="4"/>
      <c r="J43" s="20">
        <f t="shared" si="1"/>
        <v>7480000</v>
      </c>
      <c r="K43" s="30">
        <f t="shared" si="2"/>
        <v>6678571.4285714282</v>
      </c>
      <c r="L43" s="21">
        <f t="shared" si="3"/>
        <v>13330.481893356144</v>
      </c>
      <c r="N43" s="20">
        <f t="shared" si="4"/>
        <v>667857.14285714284</v>
      </c>
    </row>
    <row r="44" spans="1:14" x14ac:dyDescent="0.2">
      <c r="A44" s="5">
        <v>41</v>
      </c>
      <c r="B44" s="2">
        <v>5</v>
      </c>
      <c r="C44" s="2">
        <v>17</v>
      </c>
      <c r="D44" s="6" t="s">
        <v>1</v>
      </c>
      <c r="E44" s="13">
        <v>500</v>
      </c>
      <c r="F44" s="16">
        <v>8110000</v>
      </c>
      <c r="G44" s="17">
        <f t="shared" si="0"/>
        <v>16220</v>
      </c>
      <c r="H44" s="4"/>
      <c r="J44" s="20">
        <f t="shared" si="1"/>
        <v>7460000</v>
      </c>
      <c r="K44" s="30">
        <f t="shared" si="2"/>
        <v>6660714.2857142854</v>
      </c>
      <c r="L44" s="21">
        <f t="shared" si="3"/>
        <v>13321.428571428571</v>
      </c>
      <c r="N44" s="20">
        <f t="shared" si="4"/>
        <v>666071.42857142864</v>
      </c>
    </row>
    <row r="45" spans="1:14" x14ac:dyDescent="0.2">
      <c r="A45" s="5">
        <v>42</v>
      </c>
      <c r="B45" s="2">
        <v>5</v>
      </c>
      <c r="C45" s="2">
        <v>18</v>
      </c>
      <c r="D45" s="6" t="s">
        <v>1</v>
      </c>
      <c r="E45" s="13">
        <v>600</v>
      </c>
      <c r="F45" s="16">
        <v>9600000</v>
      </c>
      <c r="G45" s="17">
        <f t="shared" si="0"/>
        <v>16000</v>
      </c>
      <c r="H45" s="4"/>
      <c r="J45" s="20">
        <f t="shared" si="1"/>
        <v>8950000</v>
      </c>
      <c r="K45" s="30">
        <f t="shared" si="2"/>
        <v>7991071.4285714282</v>
      </c>
      <c r="L45" s="21">
        <f t="shared" si="3"/>
        <v>13318.45238095238</v>
      </c>
      <c r="N45" s="20">
        <f t="shared" si="4"/>
        <v>799107.14285714284</v>
      </c>
    </row>
    <row r="46" spans="1:14" x14ac:dyDescent="0.2">
      <c r="A46" s="5">
        <v>43</v>
      </c>
      <c r="B46" s="2">
        <v>5</v>
      </c>
      <c r="C46" s="2">
        <v>19</v>
      </c>
      <c r="D46" s="6" t="s">
        <v>1</v>
      </c>
      <c r="E46" s="13">
        <v>600</v>
      </c>
      <c r="F46" s="16">
        <v>9210000</v>
      </c>
      <c r="G46" s="17">
        <f t="shared" si="0"/>
        <v>15350</v>
      </c>
      <c r="H46" s="4"/>
      <c r="J46" s="20">
        <f t="shared" si="1"/>
        <v>8560000</v>
      </c>
      <c r="K46" s="30">
        <f t="shared" si="2"/>
        <v>7642857.1428571418</v>
      </c>
      <c r="L46" s="21">
        <f t="shared" si="3"/>
        <v>12738.095238095237</v>
      </c>
      <c r="N46" s="20">
        <f t="shared" si="4"/>
        <v>764285.7142857142</v>
      </c>
    </row>
    <row r="47" spans="1:14" x14ac:dyDescent="0.2">
      <c r="A47" s="5">
        <v>44</v>
      </c>
      <c r="B47" s="2">
        <v>5</v>
      </c>
      <c r="C47" s="2">
        <v>20</v>
      </c>
      <c r="D47" s="6" t="s">
        <v>1</v>
      </c>
      <c r="E47" s="13">
        <v>510</v>
      </c>
      <c r="F47" s="16">
        <v>8260000</v>
      </c>
      <c r="G47" s="17">
        <f t="shared" si="0"/>
        <v>16196.078431372549</v>
      </c>
      <c r="H47" s="4"/>
      <c r="J47" s="20">
        <f t="shared" si="1"/>
        <v>7610000</v>
      </c>
      <c r="K47" s="30">
        <f t="shared" si="2"/>
        <v>6794642.8571428563</v>
      </c>
      <c r="L47" s="21">
        <f t="shared" si="3"/>
        <v>13322.829131652659</v>
      </c>
      <c r="N47" s="20">
        <f t="shared" si="4"/>
        <v>679464.28571428568</v>
      </c>
    </row>
    <row r="48" spans="1:14" x14ac:dyDescent="0.2">
      <c r="A48" s="5">
        <v>45</v>
      </c>
      <c r="B48" s="2">
        <v>6</v>
      </c>
      <c r="C48" s="2">
        <v>1</v>
      </c>
      <c r="D48" s="6" t="s">
        <v>0</v>
      </c>
      <c r="E48" s="13">
        <v>829</v>
      </c>
      <c r="F48" s="16">
        <v>9620000</v>
      </c>
      <c r="G48" s="17">
        <f t="shared" si="0"/>
        <v>11604.342581423401</v>
      </c>
      <c r="H48" s="4"/>
      <c r="J48" s="20">
        <f t="shared" si="1"/>
        <v>8970000</v>
      </c>
      <c r="K48" s="30">
        <f t="shared" si="2"/>
        <v>8008928.5714285709</v>
      </c>
      <c r="L48" s="21">
        <f t="shared" si="3"/>
        <v>9660.9512321213151</v>
      </c>
      <c r="N48" s="20">
        <f t="shared" si="4"/>
        <v>800892.85714285716</v>
      </c>
    </row>
    <row r="49" spans="1:14" x14ac:dyDescent="0.2">
      <c r="A49" s="5">
        <v>46</v>
      </c>
      <c r="B49" s="2">
        <v>6</v>
      </c>
      <c r="C49" s="2">
        <v>2</v>
      </c>
      <c r="D49" s="6" t="s">
        <v>1</v>
      </c>
      <c r="E49" s="13">
        <v>560</v>
      </c>
      <c r="F49" s="16">
        <v>10150000</v>
      </c>
      <c r="G49" s="17">
        <f t="shared" si="0"/>
        <v>18125</v>
      </c>
      <c r="H49" s="4"/>
      <c r="J49" s="20">
        <f t="shared" si="1"/>
        <v>9500000</v>
      </c>
      <c r="K49" s="30">
        <f t="shared" si="2"/>
        <v>8482142.8571428563</v>
      </c>
      <c r="L49" s="21">
        <f t="shared" si="3"/>
        <v>15146.683673469386</v>
      </c>
      <c r="N49" s="20">
        <f t="shared" si="4"/>
        <v>848214.28571428568</v>
      </c>
    </row>
    <row r="50" spans="1:14" x14ac:dyDescent="0.2">
      <c r="A50" s="5">
        <v>47</v>
      </c>
      <c r="B50" s="2">
        <v>6</v>
      </c>
      <c r="C50" s="2">
        <v>3</v>
      </c>
      <c r="D50" s="6" t="s">
        <v>1</v>
      </c>
      <c r="E50" s="13">
        <v>475</v>
      </c>
      <c r="F50" s="16">
        <v>8380000</v>
      </c>
      <c r="G50" s="17">
        <f t="shared" si="0"/>
        <v>17642.105263157893</v>
      </c>
      <c r="H50" s="4"/>
      <c r="J50" s="20">
        <f t="shared" si="1"/>
        <v>7730000</v>
      </c>
      <c r="K50" s="30">
        <f t="shared" si="2"/>
        <v>6901785.7142857136</v>
      </c>
      <c r="L50" s="21">
        <f t="shared" si="3"/>
        <v>14530.075187969924</v>
      </c>
      <c r="N50" s="20">
        <f t="shared" si="4"/>
        <v>690178.57142857136</v>
      </c>
    </row>
    <row r="51" spans="1:14" x14ac:dyDescent="0.2">
      <c r="A51" s="5">
        <v>48</v>
      </c>
      <c r="B51" s="2">
        <v>6</v>
      </c>
      <c r="C51" s="2">
        <v>5</v>
      </c>
      <c r="D51" s="6" t="s">
        <v>1</v>
      </c>
      <c r="E51" s="13">
        <v>600</v>
      </c>
      <c r="F51" s="16">
        <v>10820000</v>
      </c>
      <c r="G51" s="17">
        <f t="shared" si="0"/>
        <v>18033.333333333332</v>
      </c>
      <c r="H51" s="4"/>
      <c r="J51" s="20">
        <f t="shared" si="1"/>
        <v>10170000</v>
      </c>
      <c r="K51" s="30">
        <f t="shared" si="2"/>
        <v>9080357.1428571418</v>
      </c>
      <c r="L51" s="21">
        <f t="shared" si="3"/>
        <v>15133.928571428569</v>
      </c>
      <c r="N51" s="20">
        <f t="shared" si="4"/>
        <v>908035.7142857142</v>
      </c>
    </row>
    <row r="52" spans="1:14" x14ac:dyDescent="0.2">
      <c r="A52" s="5">
        <v>49</v>
      </c>
      <c r="B52" s="2">
        <v>6</v>
      </c>
      <c r="C52" s="2">
        <v>6</v>
      </c>
      <c r="D52" s="6" t="s">
        <v>1</v>
      </c>
      <c r="E52" s="13">
        <v>600</v>
      </c>
      <c r="F52" s="16">
        <v>11640000</v>
      </c>
      <c r="G52" s="17">
        <f t="shared" si="0"/>
        <v>19400</v>
      </c>
      <c r="H52" s="4"/>
      <c r="J52" s="20">
        <f t="shared" si="1"/>
        <v>10990000</v>
      </c>
      <c r="K52" s="30">
        <f t="shared" si="2"/>
        <v>9812499.9999999981</v>
      </c>
      <c r="L52" s="21">
        <f t="shared" si="3"/>
        <v>16354.166666666664</v>
      </c>
      <c r="N52" s="20">
        <f t="shared" si="4"/>
        <v>981249.99999999988</v>
      </c>
    </row>
    <row r="53" spans="1:14" x14ac:dyDescent="0.2">
      <c r="A53" s="5">
        <v>50</v>
      </c>
      <c r="B53" s="2">
        <v>6</v>
      </c>
      <c r="C53" s="2">
        <v>7</v>
      </c>
      <c r="D53" s="6" t="s">
        <v>1</v>
      </c>
      <c r="E53" s="13">
        <v>600</v>
      </c>
      <c r="F53" s="16">
        <v>11640000</v>
      </c>
      <c r="G53" s="17">
        <f t="shared" si="0"/>
        <v>19400</v>
      </c>
      <c r="H53" s="4"/>
      <c r="J53" s="20">
        <f t="shared" si="1"/>
        <v>10990000</v>
      </c>
      <c r="K53" s="30">
        <f t="shared" si="2"/>
        <v>9812499.9999999981</v>
      </c>
      <c r="L53" s="21">
        <f t="shared" si="3"/>
        <v>16354.166666666664</v>
      </c>
      <c r="N53" s="20">
        <f t="shared" si="4"/>
        <v>981249.99999999988</v>
      </c>
    </row>
    <row r="54" spans="1:14" x14ac:dyDescent="0.2">
      <c r="A54" s="5">
        <v>51</v>
      </c>
      <c r="B54" s="2">
        <v>6</v>
      </c>
      <c r="C54" s="2">
        <v>8</v>
      </c>
      <c r="D54" s="6" t="s">
        <v>1</v>
      </c>
      <c r="E54" s="13">
        <v>485</v>
      </c>
      <c r="F54" s="16">
        <v>9660000</v>
      </c>
      <c r="G54" s="17">
        <f t="shared" si="0"/>
        <v>19917.525773195877</v>
      </c>
      <c r="H54" s="4"/>
      <c r="J54" s="20">
        <f t="shared" si="1"/>
        <v>9010000</v>
      </c>
      <c r="K54" s="30">
        <f t="shared" si="2"/>
        <v>8044642.8571428563</v>
      </c>
      <c r="L54" s="21">
        <f t="shared" si="3"/>
        <v>16586.892488954341</v>
      </c>
      <c r="N54" s="20">
        <f t="shared" si="4"/>
        <v>804464.28571428568</v>
      </c>
    </row>
    <row r="55" spans="1:14" x14ac:dyDescent="0.2">
      <c r="A55" s="5">
        <v>52</v>
      </c>
      <c r="B55" s="2">
        <v>6</v>
      </c>
      <c r="C55" s="2">
        <v>9</v>
      </c>
      <c r="D55" s="6" t="s">
        <v>1</v>
      </c>
      <c r="E55" s="13">
        <v>525</v>
      </c>
      <c r="F55" s="16">
        <v>10260000</v>
      </c>
      <c r="G55" s="17">
        <f t="shared" si="0"/>
        <v>19542.857142857141</v>
      </c>
      <c r="H55" s="4"/>
      <c r="J55" s="20">
        <f t="shared" si="1"/>
        <v>9610000</v>
      </c>
      <c r="K55" s="30">
        <f t="shared" si="2"/>
        <v>8580357.1428571418</v>
      </c>
      <c r="L55" s="21">
        <f t="shared" si="3"/>
        <v>16343.537414965984</v>
      </c>
      <c r="N55" s="20">
        <f t="shared" si="4"/>
        <v>858035.7142857142</v>
      </c>
    </row>
    <row r="56" spans="1:14" x14ac:dyDescent="0.2">
      <c r="A56" s="5">
        <v>53</v>
      </c>
      <c r="B56" s="2">
        <v>6</v>
      </c>
      <c r="C56" s="2">
        <v>10</v>
      </c>
      <c r="D56" s="6" t="s">
        <v>1</v>
      </c>
      <c r="E56" s="13">
        <v>550</v>
      </c>
      <c r="F56" s="16">
        <v>10350000</v>
      </c>
      <c r="G56" s="17">
        <f t="shared" si="0"/>
        <v>18818.18181818182</v>
      </c>
      <c r="H56" s="4"/>
      <c r="J56" s="20">
        <f t="shared" si="1"/>
        <v>9700000</v>
      </c>
      <c r="K56" s="30">
        <f t="shared" si="2"/>
        <v>8660714.2857142854</v>
      </c>
      <c r="L56" s="21">
        <f t="shared" si="3"/>
        <v>15746.753246753246</v>
      </c>
      <c r="N56" s="20">
        <f t="shared" si="4"/>
        <v>866071.42857142864</v>
      </c>
    </row>
    <row r="57" spans="1:14" x14ac:dyDescent="0.2">
      <c r="A57" s="5">
        <v>54</v>
      </c>
      <c r="B57" s="2">
        <v>7</v>
      </c>
      <c r="C57" s="2">
        <v>1</v>
      </c>
      <c r="D57" s="6" t="s">
        <v>1</v>
      </c>
      <c r="E57" s="13">
        <v>601</v>
      </c>
      <c r="F57" s="16">
        <v>10790000</v>
      </c>
      <c r="G57" s="17">
        <f t="shared" si="0"/>
        <v>17953.410981697172</v>
      </c>
      <c r="H57" s="4" t="s">
        <v>2</v>
      </c>
      <c r="J57" s="20">
        <f t="shared" si="1"/>
        <v>10140000</v>
      </c>
      <c r="K57" s="30">
        <f t="shared" si="2"/>
        <v>9053571.4285714272</v>
      </c>
      <c r="L57" s="21">
        <f t="shared" si="3"/>
        <v>15064.178749702874</v>
      </c>
      <c r="N57" s="20">
        <f t="shared" si="4"/>
        <v>905357.14285714272</v>
      </c>
    </row>
    <row r="58" spans="1:14" x14ac:dyDescent="0.2">
      <c r="A58" s="5">
        <v>55</v>
      </c>
      <c r="B58" s="2">
        <v>7</v>
      </c>
      <c r="C58" s="2">
        <v>2</v>
      </c>
      <c r="D58" s="6" t="s">
        <v>1</v>
      </c>
      <c r="E58" s="13">
        <v>450</v>
      </c>
      <c r="F58" s="16">
        <v>7660000</v>
      </c>
      <c r="G58" s="17">
        <f t="shared" si="0"/>
        <v>17022.222222222223</v>
      </c>
      <c r="H58" s="4" t="s">
        <v>2</v>
      </c>
      <c r="J58" s="20">
        <f t="shared" si="1"/>
        <v>7010000</v>
      </c>
      <c r="K58" s="30">
        <f t="shared" si="2"/>
        <v>6258928.5714285709</v>
      </c>
      <c r="L58" s="21">
        <f t="shared" si="3"/>
        <v>13908.730158730157</v>
      </c>
      <c r="N58" s="20">
        <f t="shared" si="4"/>
        <v>625892.85714285716</v>
      </c>
    </row>
    <row r="59" spans="1:14" x14ac:dyDescent="0.2">
      <c r="A59" s="5">
        <v>56</v>
      </c>
      <c r="B59" s="2">
        <v>7</v>
      </c>
      <c r="C59" s="2">
        <v>3</v>
      </c>
      <c r="D59" s="6" t="s">
        <v>1</v>
      </c>
      <c r="E59" s="13">
        <v>600</v>
      </c>
      <c r="F59" s="16">
        <v>10770000</v>
      </c>
      <c r="G59" s="17">
        <f t="shared" si="0"/>
        <v>17950</v>
      </c>
      <c r="H59" s="4" t="s">
        <v>2</v>
      </c>
      <c r="J59" s="20">
        <f t="shared" si="1"/>
        <v>10120000</v>
      </c>
      <c r="K59" s="30">
        <f t="shared" si="2"/>
        <v>9035714.2857142854</v>
      </c>
      <c r="L59" s="21">
        <f t="shared" si="3"/>
        <v>15059.523809523809</v>
      </c>
      <c r="N59" s="20">
        <f t="shared" si="4"/>
        <v>903571.42857142864</v>
      </c>
    </row>
    <row r="60" spans="1:14" x14ac:dyDescent="0.2">
      <c r="A60" s="5">
        <v>57</v>
      </c>
      <c r="B60" s="2">
        <v>7</v>
      </c>
      <c r="C60" s="2">
        <v>5</v>
      </c>
      <c r="D60" s="6" t="s">
        <v>1</v>
      </c>
      <c r="E60" s="13">
        <v>600</v>
      </c>
      <c r="F60" s="16">
        <v>9990000</v>
      </c>
      <c r="G60" s="17">
        <f t="shared" si="0"/>
        <v>16650</v>
      </c>
      <c r="H60" s="4" t="s">
        <v>2</v>
      </c>
      <c r="J60" s="20">
        <f t="shared" si="1"/>
        <v>9340000</v>
      </c>
      <c r="K60" s="30">
        <f t="shared" si="2"/>
        <v>8339285.7142857136</v>
      </c>
      <c r="L60" s="21">
        <f t="shared" si="3"/>
        <v>13898.809523809523</v>
      </c>
      <c r="N60" s="20">
        <f t="shared" si="4"/>
        <v>833928.57142857136</v>
      </c>
    </row>
    <row r="61" spans="1:14" x14ac:dyDescent="0.2">
      <c r="A61" s="5">
        <v>58</v>
      </c>
      <c r="B61" s="2">
        <v>7</v>
      </c>
      <c r="C61" s="2">
        <v>6</v>
      </c>
      <c r="D61" s="6" t="s">
        <v>1</v>
      </c>
      <c r="E61" s="13">
        <v>602</v>
      </c>
      <c r="F61" s="16">
        <v>10020000</v>
      </c>
      <c r="G61" s="17">
        <f t="shared" si="0"/>
        <v>16644.518272425248</v>
      </c>
      <c r="H61" s="4" t="s">
        <v>2</v>
      </c>
      <c r="J61" s="20">
        <f t="shared" si="1"/>
        <v>9370000</v>
      </c>
      <c r="K61" s="30">
        <f t="shared" si="2"/>
        <v>8366071.4285714282</v>
      </c>
      <c r="L61" s="21">
        <f t="shared" si="3"/>
        <v>13897.128618889416</v>
      </c>
      <c r="N61" s="20">
        <f t="shared" si="4"/>
        <v>836607.14285714284</v>
      </c>
    </row>
    <row r="62" spans="1:14" x14ac:dyDescent="0.2">
      <c r="A62" s="5">
        <v>59</v>
      </c>
      <c r="B62" s="2">
        <v>7</v>
      </c>
      <c r="C62" s="2">
        <v>7</v>
      </c>
      <c r="D62" s="6" t="s">
        <v>1</v>
      </c>
      <c r="E62" s="13">
        <v>545</v>
      </c>
      <c r="F62" s="16">
        <v>9140000</v>
      </c>
      <c r="G62" s="17">
        <f t="shared" si="0"/>
        <v>16770.642201834864</v>
      </c>
      <c r="H62" s="4" t="s">
        <v>2</v>
      </c>
      <c r="J62" s="20">
        <f t="shared" si="1"/>
        <v>8490000</v>
      </c>
      <c r="K62" s="30">
        <f t="shared" si="2"/>
        <v>7580357.1428571418</v>
      </c>
      <c r="L62" s="21">
        <f t="shared" si="3"/>
        <v>13908.9121887287</v>
      </c>
      <c r="N62" s="20">
        <f t="shared" si="4"/>
        <v>758035.7142857142</v>
      </c>
    </row>
    <row r="63" spans="1:14" x14ac:dyDescent="0.2">
      <c r="A63" s="5">
        <v>60</v>
      </c>
      <c r="B63" s="2">
        <v>7</v>
      </c>
      <c r="C63" s="2">
        <v>8</v>
      </c>
      <c r="D63" s="6" t="s">
        <v>1</v>
      </c>
      <c r="E63" s="13">
        <v>545</v>
      </c>
      <c r="F63" s="16">
        <v>9280000</v>
      </c>
      <c r="G63" s="17">
        <f t="shared" si="0"/>
        <v>17027.522935779816</v>
      </c>
      <c r="H63" s="4" t="s">
        <v>2</v>
      </c>
      <c r="J63" s="20">
        <f t="shared" si="1"/>
        <v>8630000</v>
      </c>
      <c r="K63" s="30">
        <f t="shared" si="2"/>
        <v>7705357.1428571418</v>
      </c>
      <c r="L63" s="21">
        <f t="shared" si="3"/>
        <v>14138.269986893838</v>
      </c>
      <c r="N63" s="20">
        <f t="shared" si="4"/>
        <v>770535.7142857142</v>
      </c>
    </row>
    <row r="64" spans="1:14" x14ac:dyDescent="0.2">
      <c r="A64" s="5">
        <v>61</v>
      </c>
      <c r="B64" s="2">
        <v>7</v>
      </c>
      <c r="C64" s="2">
        <v>9</v>
      </c>
      <c r="D64" s="6" t="s">
        <v>1</v>
      </c>
      <c r="E64" s="13">
        <v>545</v>
      </c>
      <c r="F64" s="16">
        <v>9140000</v>
      </c>
      <c r="G64" s="17">
        <f t="shared" si="0"/>
        <v>16770.642201834864</v>
      </c>
      <c r="H64" s="4" t="s">
        <v>2</v>
      </c>
      <c r="J64" s="20">
        <f t="shared" si="1"/>
        <v>8490000</v>
      </c>
      <c r="K64" s="30">
        <f t="shared" si="2"/>
        <v>7580357.1428571418</v>
      </c>
      <c r="L64" s="21">
        <f t="shared" si="3"/>
        <v>13908.9121887287</v>
      </c>
      <c r="N64" s="20">
        <f t="shared" si="4"/>
        <v>758035.7142857142</v>
      </c>
    </row>
    <row r="65" spans="1:14" x14ac:dyDescent="0.2">
      <c r="A65" s="5">
        <v>62</v>
      </c>
      <c r="B65" s="2">
        <v>7</v>
      </c>
      <c r="C65" s="2">
        <v>10</v>
      </c>
      <c r="D65" s="6" t="s">
        <v>1</v>
      </c>
      <c r="E65" s="13">
        <v>539</v>
      </c>
      <c r="F65" s="16">
        <v>9040000</v>
      </c>
      <c r="G65" s="17">
        <f t="shared" si="0"/>
        <v>16771.799628942485</v>
      </c>
      <c r="H65" s="4" t="s">
        <v>2</v>
      </c>
      <c r="J65" s="20">
        <f t="shared" si="1"/>
        <v>8390000</v>
      </c>
      <c r="K65" s="30">
        <f t="shared" si="2"/>
        <v>7491071.4285714282</v>
      </c>
      <c r="L65" s="21">
        <f t="shared" si="3"/>
        <v>13898.091704214152</v>
      </c>
      <c r="N65" s="20">
        <f t="shared" si="4"/>
        <v>749107.14285714284</v>
      </c>
    </row>
    <row r="66" spans="1:14" x14ac:dyDescent="0.2">
      <c r="A66" s="5">
        <v>63</v>
      </c>
      <c r="B66" s="2">
        <v>7</v>
      </c>
      <c r="C66" s="2">
        <v>11</v>
      </c>
      <c r="D66" s="6" t="s">
        <v>1</v>
      </c>
      <c r="E66" s="13">
        <v>539</v>
      </c>
      <c r="F66" s="16">
        <v>9040000</v>
      </c>
      <c r="G66" s="17">
        <f t="shared" si="0"/>
        <v>16771.799628942485</v>
      </c>
      <c r="H66" s="4" t="s">
        <v>2</v>
      </c>
      <c r="J66" s="20">
        <f t="shared" si="1"/>
        <v>8390000</v>
      </c>
      <c r="K66" s="30">
        <f t="shared" si="2"/>
        <v>7491071.4285714282</v>
      </c>
      <c r="L66" s="21">
        <f t="shared" si="3"/>
        <v>13898.091704214152</v>
      </c>
      <c r="N66" s="20">
        <f t="shared" si="4"/>
        <v>749107.14285714284</v>
      </c>
    </row>
    <row r="67" spans="1:14" x14ac:dyDescent="0.2">
      <c r="A67" s="5">
        <v>64</v>
      </c>
      <c r="B67" s="2">
        <v>7</v>
      </c>
      <c r="C67" s="2">
        <v>12</v>
      </c>
      <c r="D67" s="6" t="s">
        <v>1</v>
      </c>
      <c r="E67" s="13">
        <v>600</v>
      </c>
      <c r="F67" s="16">
        <v>10770000</v>
      </c>
      <c r="G67" s="17">
        <f t="shared" si="0"/>
        <v>17950</v>
      </c>
      <c r="H67" s="4" t="s">
        <v>2</v>
      </c>
      <c r="J67" s="20">
        <f t="shared" si="1"/>
        <v>10120000</v>
      </c>
      <c r="K67" s="30">
        <f t="shared" si="2"/>
        <v>9035714.2857142854</v>
      </c>
      <c r="L67" s="21">
        <f t="shared" si="3"/>
        <v>15059.523809523809</v>
      </c>
      <c r="N67" s="20">
        <f t="shared" si="4"/>
        <v>903571.42857142864</v>
      </c>
    </row>
    <row r="68" spans="1:14" x14ac:dyDescent="0.2">
      <c r="A68" s="5">
        <v>65</v>
      </c>
      <c r="B68" s="2">
        <v>7</v>
      </c>
      <c r="C68" s="2">
        <v>15</v>
      </c>
      <c r="D68" s="6" t="s">
        <v>1</v>
      </c>
      <c r="E68" s="13">
        <v>600</v>
      </c>
      <c r="F68" s="16">
        <v>10770000</v>
      </c>
      <c r="G68" s="17">
        <f t="shared" si="0"/>
        <v>17950</v>
      </c>
      <c r="H68" s="4" t="s">
        <v>2</v>
      </c>
      <c r="J68" s="20">
        <f t="shared" si="1"/>
        <v>10120000</v>
      </c>
      <c r="K68" s="30">
        <f t="shared" si="2"/>
        <v>9035714.2857142854</v>
      </c>
      <c r="L68" s="21">
        <f t="shared" si="3"/>
        <v>15059.523809523809</v>
      </c>
      <c r="N68" s="20">
        <f t="shared" si="4"/>
        <v>903571.42857142864</v>
      </c>
    </row>
    <row r="69" spans="1:14" x14ac:dyDescent="0.2">
      <c r="A69" s="5">
        <v>66</v>
      </c>
      <c r="B69" s="2">
        <v>7</v>
      </c>
      <c r="C69" s="2">
        <v>16</v>
      </c>
      <c r="D69" s="6" t="s">
        <v>1</v>
      </c>
      <c r="E69" s="13">
        <v>554</v>
      </c>
      <c r="F69" s="16">
        <v>9280000</v>
      </c>
      <c r="G69" s="17">
        <f t="shared" ref="G69:G132" si="5">+F69/E69</f>
        <v>16750.902527075814</v>
      </c>
      <c r="H69" s="4" t="s">
        <v>2</v>
      </c>
      <c r="J69" s="20">
        <f t="shared" ref="J69:J132" si="6">+F69-650000</f>
        <v>8630000</v>
      </c>
      <c r="K69" s="30">
        <f t="shared" ref="K69:K132" si="7">+J69/1.12</f>
        <v>7705357.1428571418</v>
      </c>
      <c r="L69" s="21">
        <f t="shared" ref="L69:L132" si="8">+K69/E69</f>
        <v>13908.586900464155</v>
      </c>
      <c r="N69" s="20">
        <f t="shared" ref="N69:N132" si="9">+K69*0.1</f>
        <v>770535.7142857142</v>
      </c>
    </row>
    <row r="70" spans="1:14" x14ac:dyDescent="0.2">
      <c r="A70" s="5">
        <v>67</v>
      </c>
      <c r="B70" s="2">
        <v>7</v>
      </c>
      <c r="C70" s="2">
        <v>17</v>
      </c>
      <c r="D70" s="6" t="s">
        <v>1</v>
      </c>
      <c r="E70" s="13">
        <v>554</v>
      </c>
      <c r="F70" s="16">
        <v>9280000</v>
      </c>
      <c r="G70" s="17">
        <f t="shared" si="5"/>
        <v>16750.902527075814</v>
      </c>
      <c r="H70" s="4" t="s">
        <v>2</v>
      </c>
      <c r="J70" s="20">
        <f t="shared" si="6"/>
        <v>8630000</v>
      </c>
      <c r="K70" s="30">
        <f t="shared" si="7"/>
        <v>7705357.1428571418</v>
      </c>
      <c r="L70" s="21">
        <f t="shared" si="8"/>
        <v>13908.586900464155</v>
      </c>
      <c r="N70" s="20">
        <f t="shared" si="9"/>
        <v>770535.7142857142</v>
      </c>
    </row>
    <row r="71" spans="1:14" x14ac:dyDescent="0.2">
      <c r="A71" s="5">
        <v>68</v>
      </c>
      <c r="B71" s="2">
        <v>7</v>
      </c>
      <c r="C71" s="2">
        <v>18</v>
      </c>
      <c r="D71" s="6" t="s">
        <v>1</v>
      </c>
      <c r="E71" s="13">
        <v>560</v>
      </c>
      <c r="F71" s="16">
        <v>9370000</v>
      </c>
      <c r="G71" s="17">
        <f t="shared" si="5"/>
        <v>16732.142857142859</v>
      </c>
      <c r="H71" s="4" t="s">
        <v>2</v>
      </c>
      <c r="J71" s="20">
        <f t="shared" si="6"/>
        <v>8720000</v>
      </c>
      <c r="K71" s="30">
        <f t="shared" si="7"/>
        <v>7785714.2857142845</v>
      </c>
      <c r="L71" s="21">
        <f t="shared" si="8"/>
        <v>13903.061224489793</v>
      </c>
      <c r="N71" s="20">
        <f t="shared" si="9"/>
        <v>778571.42857142852</v>
      </c>
    </row>
    <row r="72" spans="1:14" x14ac:dyDescent="0.2">
      <c r="A72" s="5">
        <v>69</v>
      </c>
      <c r="B72" s="2">
        <v>7</v>
      </c>
      <c r="C72" s="2">
        <v>19</v>
      </c>
      <c r="D72" s="6" t="s">
        <v>1</v>
      </c>
      <c r="E72" s="13">
        <v>560</v>
      </c>
      <c r="F72" s="16">
        <v>10100000</v>
      </c>
      <c r="G72" s="17">
        <f t="shared" si="5"/>
        <v>18035.714285714286</v>
      </c>
      <c r="H72" s="4" t="s">
        <v>2</v>
      </c>
      <c r="J72" s="20">
        <f t="shared" si="6"/>
        <v>9450000</v>
      </c>
      <c r="K72" s="30">
        <f t="shared" si="7"/>
        <v>8437500</v>
      </c>
      <c r="L72" s="21">
        <f t="shared" si="8"/>
        <v>15066.964285714286</v>
      </c>
      <c r="N72" s="20">
        <f t="shared" si="9"/>
        <v>843750</v>
      </c>
    </row>
    <row r="73" spans="1:14" x14ac:dyDescent="0.2">
      <c r="A73" s="5">
        <v>70</v>
      </c>
      <c r="B73" s="2">
        <v>7</v>
      </c>
      <c r="C73" s="2">
        <v>20</v>
      </c>
      <c r="D73" s="6" t="s">
        <v>1</v>
      </c>
      <c r="E73" s="13">
        <v>560</v>
      </c>
      <c r="F73" s="16">
        <v>10100000</v>
      </c>
      <c r="G73" s="17">
        <f t="shared" si="5"/>
        <v>18035.714285714286</v>
      </c>
      <c r="H73" s="4" t="s">
        <v>2</v>
      </c>
      <c r="J73" s="20">
        <f t="shared" si="6"/>
        <v>9450000</v>
      </c>
      <c r="K73" s="30">
        <f t="shared" si="7"/>
        <v>8437500</v>
      </c>
      <c r="L73" s="21">
        <f t="shared" si="8"/>
        <v>15066.964285714286</v>
      </c>
      <c r="N73" s="20">
        <f t="shared" si="9"/>
        <v>843750</v>
      </c>
    </row>
    <row r="74" spans="1:14" x14ac:dyDescent="0.2">
      <c r="A74" s="5">
        <v>71</v>
      </c>
      <c r="B74" s="2">
        <v>7</v>
      </c>
      <c r="C74" s="2">
        <v>21</v>
      </c>
      <c r="D74" s="6" t="s">
        <v>1</v>
      </c>
      <c r="E74" s="13">
        <v>560</v>
      </c>
      <c r="F74" s="16">
        <v>10100000</v>
      </c>
      <c r="G74" s="17">
        <f t="shared" si="5"/>
        <v>18035.714285714286</v>
      </c>
      <c r="H74" s="4" t="s">
        <v>2</v>
      </c>
      <c r="J74" s="20">
        <f t="shared" si="6"/>
        <v>9450000</v>
      </c>
      <c r="K74" s="30">
        <f t="shared" si="7"/>
        <v>8437500</v>
      </c>
      <c r="L74" s="21">
        <f t="shared" si="8"/>
        <v>15066.964285714286</v>
      </c>
      <c r="N74" s="20">
        <f t="shared" si="9"/>
        <v>843750</v>
      </c>
    </row>
    <row r="75" spans="1:14" x14ac:dyDescent="0.2">
      <c r="A75" s="5">
        <v>72</v>
      </c>
      <c r="B75" s="2">
        <v>7</v>
      </c>
      <c r="C75" s="2">
        <v>23</v>
      </c>
      <c r="D75" s="6" t="s">
        <v>1</v>
      </c>
      <c r="E75" s="13">
        <v>592</v>
      </c>
      <c r="F75" s="16">
        <v>9870000</v>
      </c>
      <c r="G75" s="17">
        <f t="shared" si="5"/>
        <v>16672.297297297297</v>
      </c>
      <c r="H75" s="4" t="s">
        <v>2</v>
      </c>
      <c r="J75" s="20">
        <f t="shared" si="6"/>
        <v>9220000</v>
      </c>
      <c r="K75" s="30">
        <f t="shared" si="7"/>
        <v>8232142.8571428563</v>
      </c>
      <c r="L75" s="21">
        <f t="shared" si="8"/>
        <v>13905.646718146716</v>
      </c>
      <c r="N75" s="20">
        <f t="shared" si="9"/>
        <v>823214.28571428568</v>
      </c>
    </row>
    <row r="76" spans="1:14" x14ac:dyDescent="0.2">
      <c r="A76" s="5">
        <v>73</v>
      </c>
      <c r="B76" s="2">
        <v>7</v>
      </c>
      <c r="C76" s="2">
        <v>25</v>
      </c>
      <c r="D76" s="6" t="s">
        <v>1</v>
      </c>
      <c r="E76" s="13">
        <v>600</v>
      </c>
      <c r="F76" s="16">
        <v>9990000</v>
      </c>
      <c r="G76" s="17">
        <f t="shared" si="5"/>
        <v>16650</v>
      </c>
      <c r="H76" s="4" t="s">
        <v>2</v>
      </c>
      <c r="J76" s="20">
        <f t="shared" si="6"/>
        <v>9340000</v>
      </c>
      <c r="K76" s="30">
        <f t="shared" si="7"/>
        <v>8339285.7142857136</v>
      </c>
      <c r="L76" s="21">
        <f t="shared" si="8"/>
        <v>13898.809523809523</v>
      </c>
      <c r="N76" s="20">
        <f t="shared" si="9"/>
        <v>833928.57142857136</v>
      </c>
    </row>
    <row r="77" spans="1:14" x14ac:dyDescent="0.2">
      <c r="A77" s="5">
        <v>74</v>
      </c>
      <c r="B77" s="2">
        <v>7</v>
      </c>
      <c r="C77" s="2">
        <v>26</v>
      </c>
      <c r="D77" s="6" t="s">
        <v>1</v>
      </c>
      <c r="E77" s="13">
        <v>601</v>
      </c>
      <c r="F77" s="16">
        <v>10010000</v>
      </c>
      <c r="G77" s="17">
        <f t="shared" si="5"/>
        <v>16655.574043261233</v>
      </c>
      <c r="H77" s="4" t="s">
        <v>2</v>
      </c>
      <c r="J77" s="20">
        <f t="shared" si="6"/>
        <v>9360000</v>
      </c>
      <c r="K77" s="30">
        <f t="shared" si="7"/>
        <v>8357142.8571428563</v>
      </c>
      <c r="L77" s="21">
        <f t="shared" si="8"/>
        <v>13905.3957689565</v>
      </c>
      <c r="N77" s="20">
        <f t="shared" si="9"/>
        <v>835714.28571428568</v>
      </c>
    </row>
    <row r="78" spans="1:14" x14ac:dyDescent="0.2">
      <c r="A78" s="5">
        <v>75</v>
      </c>
      <c r="B78" s="2">
        <v>8</v>
      </c>
      <c r="C78" s="2">
        <v>1</v>
      </c>
      <c r="D78" s="6" t="s">
        <v>1</v>
      </c>
      <c r="E78" s="13">
        <v>450</v>
      </c>
      <c r="F78" s="16">
        <v>7370000</v>
      </c>
      <c r="G78" s="17">
        <f t="shared" si="5"/>
        <v>16377.777777777777</v>
      </c>
      <c r="H78" s="4" t="s">
        <v>2</v>
      </c>
      <c r="J78" s="20">
        <f t="shared" si="6"/>
        <v>6720000</v>
      </c>
      <c r="K78" s="30">
        <f t="shared" si="7"/>
        <v>5999999.9999999991</v>
      </c>
      <c r="L78" s="21">
        <f t="shared" si="8"/>
        <v>13333.333333333332</v>
      </c>
      <c r="N78" s="20">
        <f t="shared" si="9"/>
        <v>599999.99999999988</v>
      </c>
    </row>
    <row r="79" spans="1:14" x14ac:dyDescent="0.2">
      <c r="A79" s="5">
        <v>76</v>
      </c>
      <c r="B79" s="2">
        <v>8</v>
      </c>
      <c r="C79" s="2">
        <v>2</v>
      </c>
      <c r="D79" s="6" t="s">
        <v>1</v>
      </c>
      <c r="E79" s="13">
        <v>600</v>
      </c>
      <c r="F79" s="16">
        <v>9210000</v>
      </c>
      <c r="G79" s="17">
        <f t="shared" si="5"/>
        <v>15350</v>
      </c>
      <c r="H79" s="4" t="s">
        <v>2</v>
      </c>
      <c r="J79" s="20">
        <f t="shared" si="6"/>
        <v>8560000</v>
      </c>
      <c r="K79" s="30">
        <f t="shared" si="7"/>
        <v>7642857.1428571418</v>
      </c>
      <c r="L79" s="21">
        <f t="shared" si="8"/>
        <v>12738.095238095237</v>
      </c>
      <c r="N79" s="20">
        <f t="shared" si="9"/>
        <v>764285.7142857142</v>
      </c>
    </row>
    <row r="80" spans="1:14" x14ac:dyDescent="0.2">
      <c r="A80" s="5">
        <v>77</v>
      </c>
      <c r="B80" s="2">
        <v>8</v>
      </c>
      <c r="C80" s="2">
        <v>3</v>
      </c>
      <c r="D80" s="6" t="s">
        <v>1</v>
      </c>
      <c r="E80" s="13">
        <v>590</v>
      </c>
      <c r="F80" s="16">
        <v>9070000</v>
      </c>
      <c r="G80" s="17">
        <f t="shared" si="5"/>
        <v>15372.881355932202</v>
      </c>
      <c r="H80" s="4" t="s">
        <v>2</v>
      </c>
      <c r="J80" s="20">
        <f t="shared" si="6"/>
        <v>8420000</v>
      </c>
      <c r="K80" s="30">
        <f t="shared" si="7"/>
        <v>7517857.1428571418</v>
      </c>
      <c r="L80" s="21">
        <f t="shared" si="8"/>
        <v>12742.130750605325</v>
      </c>
      <c r="N80" s="20">
        <f t="shared" si="9"/>
        <v>751785.7142857142</v>
      </c>
    </row>
    <row r="81" spans="1:14" x14ac:dyDescent="0.2">
      <c r="A81" s="5">
        <v>78</v>
      </c>
      <c r="B81" s="2">
        <v>8</v>
      </c>
      <c r="C81" s="2">
        <v>5</v>
      </c>
      <c r="D81" s="6" t="s">
        <v>1</v>
      </c>
      <c r="E81" s="13">
        <v>590</v>
      </c>
      <c r="F81" s="16">
        <v>9450000</v>
      </c>
      <c r="G81" s="17">
        <f t="shared" si="5"/>
        <v>16016.949152542373</v>
      </c>
      <c r="H81" s="4" t="s">
        <v>2</v>
      </c>
      <c r="J81" s="20">
        <f t="shared" si="6"/>
        <v>8800000</v>
      </c>
      <c r="K81" s="30">
        <f t="shared" si="7"/>
        <v>7857142.8571428563</v>
      </c>
      <c r="L81" s="21">
        <f t="shared" si="8"/>
        <v>13317.191283292977</v>
      </c>
      <c r="N81" s="20">
        <f t="shared" si="9"/>
        <v>785714.28571428568</v>
      </c>
    </row>
    <row r="82" spans="1:14" x14ac:dyDescent="0.2">
      <c r="A82" s="5">
        <v>79</v>
      </c>
      <c r="B82" s="2">
        <v>8</v>
      </c>
      <c r="C82" s="2">
        <v>6</v>
      </c>
      <c r="D82" s="6" t="s">
        <v>1</v>
      </c>
      <c r="E82" s="13">
        <v>590</v>
      </c>
      <c r="F82" s="16">
        <v>9450000</v>
      </c>
      <c r="G82" s="17">
        <f t="shared" si="5"/>
        <v>16016.949152542373</v>
      </c>
      <c r="H82" s="4" t="s">
        <v>2</v>
      </c>
      <c r="J82" s="20">
        <f t="shared" si="6"/>
        <v>8800000</v>
      </c>
      <c r="K82" s="30">
        <f t="shared" si="7"/>
        <v>7857142.8571428563</v>
      </c>
      <c r="L82" s="21">
        <f t="shared" si="8"/>
        <v>13317.191283292977</v>
      </c>
      <c r="N82" s="20">
        <f t="shared" si="9"/>
        <v>785714.28571428568</v>
      </c>
    </row>
    <row r="83" spans="1:14" x14ac:dyDescent="0.2">
      <c r="A83" s="5">
        <v>80</v>
      </c>
      <c r="B83" s="2">
        <v>8</v>
      </c>
      <c r="C83" s="2">
        <v>7</v>
      </c>
      <c r="D83" s="6" t="s">
        <v>1</v>
      </c>
      <c r="E83" s="13">
        <v>590</v>
      </c>
      <c r="F83" s="16">
        <v>9070000</v>
      </c>
      <c r="G83" s="17">
        <f t="shared" si="5"/>
        <v>15372.881355932202</v>
      </c>
      <c r="H83" s="4" t="s">
        <v>2</v>
      </c>
      <c r="J83" s="20">
        <f t="shared" si="6"/>
        <v>8420000</v>
      </c>
      <c r="K83" s="30">
        <f t="shared" si="7"/>
        <v>7517857.1428571418</v>
      </c>
      <c r="L83" s="21">
        <f t="shared" si="8"/>
        <v>12742.130750605325</v>
      </c>
      <c r="N83" s="20">
        <f t="shared" si="9"/>
        <v>751785.7142857142</v>
      </c>
    </row>
    <row r="84" spans="1:14" x14ac:dyDescent="0.2">
      <c r="A84" s="5">
        <v>81</v>
      </c>
      <c r="B84" s="2">
        <v>8</v>
      </c>
      <c r="C84" s="2">
        <v>8</v>
      </c>
      <c r="D84" s="6" t="s">
        <v>1</v>
      </c>
      <c r="E84" s="13">
        <v>600</v>
      </c>
      <c r="F84" s="16">
        <v>9370000</v>
      </c>
      <c r="G84" s="17">
        <f t="shared" si="5"/>
        <v>15616.666666666666</v>
      </c>
      <c r="H84" s="4" t="s">
        <v>2</v>
      </c>
      <c r="J84" s="20">
        <f t="shared" si="6"/>
        <v>8720000</v>
      </c>
      <c r="K84" s="30">
        <f t="shared" si="7"/>
        <v>7785714.2857142845</v>
      </c>
      <c r="L84" s="21">
        <f t="shared" si="8"/>
        <v>12976.190476190473</v>
      </c>
      <c r="N84" s="20">
        <f t="shared" si="9"/>
        <v>778571.42857142852</v>
      </c>
    </row>
    <row r="85" spans="1:14" x14ac:dyDescent="0.2">
      <c r="A85" s="5">
        <v>82</v>
      </c>
      <c r="B85" s="2">
        <v>8</v>
      </c>
      <c r="C85" s="2">
        <v>9</v>
      </c>
      <c r="D85" s="6" t="s">
        <v>1</v>
      </c>
      <c r="E85" s="13">
        <v>601</v>
      </c>
      <c r="F85" s="16">
        <v>9230000</v>
      </c>
      <c r="G85" s="17">
        <f t="shared" si="5"/>
        <v>15357.737104825292</v>
      </c>
      <c r="H85" s="4" t="s">
        <v>2</v>
      </c>
      <c r="J85" s="20">
        <f t="shared" si="6"/>
        <v>8580000</v>
      </c>
      <c r="K85" s="30">
        <f t="shared" si="7"/>
        <v>7660714.2857142854</v>
      </c>
      <c r="L85" s="21">
        <f t="shared" si="8"/>
        <v>12746.612788210126</v>
      </c>
      <c r="N85" s="20">
        <f t="shared" si="9"/>
        <v>766071.42857142864</v>
      </c>
    </row>
    <row r="86" spans="1:14" x14ac:dyDescent="0.2">
      <c r="A86" s="5">
        <v>83</v>
      </c>
      <c r="B86" s="2">
        <v>8</v>
      </c>
      <c r="C86" s="2">
        <v>10</v>
      </c>
      <c r="D86" s="6" t="s">
        <v>1</v>
      </c>
      <c r="E86" s="13">
        <v>580</v>
      </c>
      <c r="F86" s="16">
        <v>8930000</v>
      </c>
      <c r="G86" s="17">
        <f t="shared" si="5"/>
        <v>15396.551724137931</v>
      </c>
      <c r="H86" s="4" t="s">
        <v>2</v>
      </c>
      <c r="J86" s="20">
        <f t="shared" si="6"/>
        <v>8280000</v>
      </c>
      <c r="K86" s="30">
        <f t="shared" si="7"/>
        <v>7392857.1428571418</v>
      </c>
      <c r="L86" s="21">
        <f t="shared" si="8"/>
        <v>12746.30541871921</v>
      </c>
      <c r="N86" s="20">
        <f t="shared" si="9"/>
        <v>739285.7142857142</v>
      </c>
    </row>
    <row r="87" spans="1:14" x14ac:dyDescent="0.2">
      <c r="A87" s="5">
        <v>84</v>
      </c>
      <c r="B87" s="2">
        <v>8</v>
      </c>
      <c r="C87" s="2">
        <v>11</v>
      </c>
      <c r="D87" s="6" t="s">
        <v>1</v>
      </c>
      <c r="E87" s="13">
        <v>510</v>
      </c>
      <c r="F87" s="16">
        <v>8260000</v>
      </c>
      <c r="G87" s="17">
        <f t="shared" si="5"/>
        <v>16196.078431372549</v>
      </c>
      <c r="H87" s="4" t="s">
        <v>2</v>
      </c>
      <c r="J87" s="20">
        <f t="shared" si="6"/>
        <v>7610000</v>
      </c>
      <c r="K87" s="30">
        <f t="shared" si="7"/>
        <v>6794642.8571428563</v>
      </c>
      <c r="L87" s="21">
        <f t="shared" si="8"/>
        <v>13322.829131652659</v>
      </c>
      <c r="N87" s="20">
        <f t="shared" si="9"/>
        <v>679464.28571428568</v>
      </c>
    </row>
    <row r="88" spans="1:14" x14ac:dyDescent="0.2">
      <c r="A88" s="5">
        <v>85</v>
      </c>
      <c r="B88" s="2">
        <v>8</v>
      </c>
      <c r="C88" s="2">
        <v>12</v>
      </c>
      <c r="D88" s="6" t="s">
        <v>1</v>
      </c>
      <c r="E88" s="13">
        <v>600</v>
      </c>
      <c r="F88" s="16">
        <v>10380000</v>
      </c>
      <c r="G88" s="17">
        <f t="shared" si="5"/>
        <v>17300</v>
      </c>
      <c r="H88" s="4" t="s">
        <v>2</v>
      </c>
      <c r="J88" s="20">
        <f t="shared" si="6"/>
        <v>9730000</v>
      </c>
      <c r="K88" s="30">
        <f t="shared" si="7"/>
        <v>8687500</v>
      </c>
      <c r="L88" s="21">
        <f t="shared" si="8"/>
        <v>14479.166666666666</v>
      </c>
      <c r="N88" s="20">
        <f t="shared" si="9"/>
        <v>868750</v>
      </c>
    </row>
    <row r="89" spans="1:14" x14ac:dyDescent="0.2">
      <c r="A89" s="5">
        <v>86</v>
      </c>
      <c r="B89" s="2">
        <v>8</v>
      </c>
      <c r="C89" s="2">
        <v>15</v>
      </c>
      <c r="D89" s="6" t="s">
        <v>1</v>
      </c>
      <c r="E89" s="13">
        <v>482</v>
      </c>
      <c r="F89" s="16">
        <v>7840000</v>
      </c>
      <c r="G89" s="17">
        <f t="shared" si="5"/>
        <v>16265.560165975105</v>
      </c>
      <c r="H89" s="4" t="s">
        <v>2</v>
      </c>
      <c r="J89" s="20">
        <f t="shared" si="6"/>
        <v>7190000</v>
      </c>
      <c r="K89" s="30">
        <f t="shared" si="7"/>
        <v>6419642.8571428563</v>
      </c>
      <c r="L89" s="21">
        <f t="shared" si="8"/>
        <v>13318.761114404266</v>
      </c>
      <c r="N89" s="20">
        <f t="shared" si="9"/>
        <v>641964.28571428568</v>
      </c>
    </row>
    <row r="90" spans="1:14" x14ac:dyDescent="0.2">
      <c r="A90" s="5">
        <v>87</v>
      </c>
      <c r="B90" s="2">
        <v>8</v>
      </c>
      <c r="C90" s="2">
        <v>16</v>
      </c>
      <c r="D90" s="6" t="s">
        <v>1</v>
      </c>
      <c r="E90" s="13">
        <v>483</v>
      </c>
      <c r="F90" s="16">
        <v>7230000</v>
      </c>
      <c r="G90" s="17">
        <f t="shared" si="5"/>
        <v>14968.944099378881</v>
      </c>
      <c r="H90" s="4" t="s">
        <v>2</v>
      </c>
      <c r="J90" s="20">
        <f t="shared" si="6"/>
        <v>6580000</v>
      </c>
      <c r="K90" s="30">
        <f t="shared" si="7"/>
        <v>5874999.9999999991</v>
      </c>
      <c r="L90" s="21">
        <f t="shared" si="8"/>
        <v>12163.561076604554</v>
      </c>
      <c r="N90" s="20">
        <f t="shared" si="9"/>
        <v>587499.99999999988</v>
      </c>
    </row>
    <row r="91" spans="1:14" x14ac:dyDescent="0.2">
      <c r="A91" s="5">
        <v>88</v>
      </c>
      <c r="B91" s="2">
        <v>9</v>
      </c>
      <c r="C91" s="2">
        <v>1</v>
      </c>
      <c r="D91" s="6" t="s">
        <v>1</v>
      </c>
      <c r="E91" s="13">
        <v>558</v>
      </c>
      <c r="F91" s="16">
        <v>11150000</v>
      </c>
      <c r="G91" s="17">
        <f t="shared" si="5"/>
        <v>19982.078853046594</v>
      </c>
      <c r="H91" s="4"/>
      <c r="J91" s="20">
        <f t="shared" si="6"/>
        <v>10500000</v>
      </c>
      <c r="K91" s="30">
        <f t="shared" si="7"/>
        <v>9375000</v>
      </c>
      <c r="L91" s="21">
        <f t="shared" si="8"/>
        <v>16801.075268817203</v>
      </c>
      <c r="N91" s="20">
        <f t="shared" si="9"/>
        <v>937500</v>
      </c>
    </row>
    <row r="92" spans="1:14" x14ac:dyDescent="0.2">
      <c r="A92" s="5">
        <v>89</v>
      </c>
      <c r="B92" s="2">
        <v>9</v>
      </c>
      <c r="C92" s="2">
        <v>2</v>
      </c>
      <c r="D92" s="6" t="s">
        <v>1</v>
      </c>
      <c r="E92" s="13">
        <v>491</v>
      </c>
      <c r="F92" s="16">
        <v>9890000</v>
      </c>
      <c r="G92" s="17">
        <f t="shared" si="5"/>
        <v>20142.566191446029</v>
      </c>
      <c r="H92" s="4"/>
      <c r="J92" s="20">
        <f t="shared" si="6"/>
        <v>9240000</v>
      </c>
      <c r="K92" s="30">
        <f t="shared" si="7"/>
        <v>8249999.9999999991</v>
      </c>
      <c r="L92" s="21">
        <f t="shared" si="8"/>
        <v>16802.443991853357</v>
      </c>
      <c r="N92" s="20">
        <f t="shared" si="9"/>
        <v>825000</v>
      </c>
    </row>
    <row r="93" spans="1:14" x14ac:dyDescent="0.2">
      <c r="A93" s="5">
        <v>90</v>
      </c>
      <c r="B93" s="2">
        <v>9</v>
      </c>
      <c r="C93" s="2">
        <v>3</v>
      </c>
      <c r="D93" s="6" t="s">
        <v>1</v>
      </c>
      <c r="E93" s="13">
        <v>450</v>
      </c>
      <c r="F93" s="16">
        <v>9410000</v>
      </c>
      <c r="G93" s="17">
        <f t="shared" si="5"/>
        <v>20911.111111111109</v>
      </c>
      <c r="H93" s="4"/>
      <c r="J93" s="20">
        <f t="shared" si="6"/>
        <v>8760000</v>
      </c>
      <c r="K93" s="30">
        <f t="shared" si="7"/>
        <v>7821428.5714285709</v>
      </c>
      <c r="L93" s="21">
        <f t="shared" si="8"/>
        <v>17380.952380952378</v>
      </c>
      <c r="N93" s="20">
        <f t="shared" si="9"/>
        <v>782142.85714285716</v>
      </c>
    </row>
    <row r="94" spans="1:14" x14ac:dyDescent="0.2">
      <c r="A94" s="5">
        <v>91</v>
      </c>
      <c r="B94" s="2">
        <v>9</v>
      </c>
      <c r="C94" s="2">
        <v>5</v>
      </c>
      <c r="D94" s="6" t="s">
        <v>1</v>
      </c>
      <c r="E94" s="13">
        <v>450</v>
      </c>
      <c r="F94" s="16">
        <v>9410000</v>
      </c>
      <c r="G94" s="17">
        <f t="shared" si="5"/>
        <v>20911.111111111109</v>
      </c>
      <c r="H94" s="4"/>
      <c r="J94" s="20">
        <f t="shared" si="6"/>
        <v>8760000</v>
      </c>
      <c r="K94" s="30">
        <f t="shared" si="7"/>
        <v>7821428.5714285709</v>
      </c>
      <c r="L94" s="21">
        <f t="shared" si="8"/>
        <v>17380.952380952378</v>
      </c>
      <c r="N94" s="20">
        <f t="shared" si="9"/>
        <v>782142.85714285716</v>
      </c>
    </row>
    <row r="95" spans="1:14" x14ac:dyDescent="0.2">
      <c r="A95" s="5">
        <v>92</v>
      </c>
      <c r="B95" s="2">
        <v>9</v>
      </c>
      <c r="C95" s="2">
        <v>6</v>
      </c>
      <c r="D95" s="6" t="s">
        <v>1</v>
      </c>
      <c r="E95" s="13">
        <v>450</v>
      </c>
      <c r="F95" s="16">
        <v>9120000</v>
      </c>
      <c r="G95" s="17">
        <f t="shared" si="5"/>
        <v>20266.666666666668</v>
      </c>
      <c r="H95" s="4"/>
      <c r="J95" s="20">
        <f t="shared" si="6"/>
        <v>8470000</v>
      </c>
      <c r="K95" s="30">
        <f t="shared" si="7"/>
        <v>7562499.9999999991</v>
      </c>
      <c r="L95" s="21">
        <f t="shared" si="8"/>
        <v>16805.555555555555</v>
      </c>
      <c r="N95" s="20">
        <f t="shared" si="9"/>
        <v>756250</v>
      </c>
    </row>
    <row r="96" spans="1:14" x14ac:dyDescent="0.2">
      <c r="A96" s="5">
        <v>93</v>
      </c>
      <c r="B96" s="2">
        <v>10</v>
      </c>
      <c r="C96" s="2">
        <v>1</v>
      </c>
      <c r="D96" s="6" t="s">
        <v>0</v>
      </c>
      <c r="E96" s="13">
        <v>1000</v>
      </c>
      <c r="F96" s="16">
        <v>13720000</v>
      </c>
      <c r="G96" s="17">
        <f t="shared" si="5"/>
        <v>13720</v>
      </c>
      <c r="H96" s="4"/>
      <c r="J96" s="20">
        <f t="shared" si="6"/>
        <v>13070000</v>
      </c>
      <c r="K96" s="30">
        <f t="shared" si="7"/>
        <v>11669642.857142856</v>
      </c>
      <c r="L96" s="21">
        <f t="shared" si="8"/>
        <v>11669.642857142857</v>
      </c>
      <c r="N96" s="20">
        <f t="shared" si="9"/>
        <v>1166964.2857142857</v>
      </c>
    </row>
    <row r="97" spans="1:14" x14ac:dyDescent="0.2">
      <c r="A97" s="5">
        <v>94</v>
      </c>
      <c r="B97" s="2">
        <v>10</v>
      </c>
      <c r="C97" s="2">
        <v>2</v>
      </c>
      <c r="D97" s="6" t="s">
        <v>0</v>
      </c>
      <c r="E97" s="13">
        <v>1000</v>
      </c>
      <c r="F97" s="16">
        <v>14470000</v>
      </c>
      <c r="G97" s="17">
        <f t="shared" si="5"/>
        <v>14470</v>
      </c>
      <c r="H97" s="4"/>
      <c r="J97" s="20">
        <f t="shared" si="6"/>
        <v>13820000</v>
      </c>
      <c r="K97" s="30">
        <f t="shared" si="7"/>
        <v>12339285.714285713</v>
      </c>
      <c r="L97" s="21">
        <f t="shared" si="8"/>
        <v>12339.285714285712</v>
      </c>
      <c r="N97" s="20">
        <f t="shared" si="9"/>
        <v>1233928.5714285714</v>
      </c>
    </row>
    <row r="98" spans="1:14" x14ac:dyDescent="0.2">
      <c r="A98" s="5">
        <v>95</v>
      </c>
      <c r="B98" s="2">
        <v>10</v>
      </c>
      <c r="C98" s="2">
        <v>3</v>
      </c>
      <c r="D98" s="6" t="s">
        <v>0</v>
      </c>
      <c r="E98" s="13">
        <v>1000</v>
      </c>
      <c r="F98" s="16">
        <v>14470000</v>
      </c>
      <c r="G98" s="17">
        <f t="shared" si="5"/>
        <v>14470</v>
      </c>
      <c r="H98" s="4"/>
      <c r="J98" s="20">
        <f t="shared" si="6"/>
        <v>13820000</v>
      </c>
      <c r="K98" s="30">
        <f t="shared" si="7"/>
        <v>12339285.714285713</v>
      </c>
      <c r="L98" s="21">
        <f t="shared" si="8"/>
        <v>12339.285714285712</v>
      </c>
      <c r="N98" s="20">
        <f t="shared" si="9"/>
        <v>1233928.5714285714</v>
      </c>
    </row>
    <row r="99" spans="1:14" x14ac:dyDescent="0.2">
      <c r="A99" s="5">
        <v>96</v>
      </c>
      <c r="B99" s="2">
        <v>10</v>
      </c>
      <c r="C99" s="2">
        <v>5</v>
      </c>
      <c r="D99" s="6" t="s">
        <v>0</v>
      </c>
      <c r="E99" s="13">
        <v>1000</v>
      </c>
      <c r="F99" s="16">
        <v>16190000</v>
      </c>
      <c r="G99" s="17">
        <f t="shared" si="5"/>
        <v>16190</v>
      </c>
      <c r="H99" s="4"/>
      <c r="J99" s="20">
        <f t="shared" si="6"/>
        <v>15540000</v>
      </c>
      <c r="K99" s="30">
        <f t="shared" si="7"/>
        <v>13874999.999999998</v>
      </c>
      <c r="L99" s="21">
        <f t="shared" si="8"/>
        <v>13874.999999999998</v>
      </c>
      <c r="N99" s="20">
        <f t="shared" si="9"/>
        <v>1387500</v>
      </c>
    </row>
    <row r="100" spans="1:14" x14ac:dyDescent="0.2">
      <c r="A100" s="5">
        <v>97</v>
      </c>
      <c r="B100" s="2">
        <v>10</v>
      </c>
      <c r="C100" s="2">
        <v>6</v>
      </c>
      <c r="D100" s="6" t="s">
        <v>0</v>
      </c>
      <c r="E100" s="13">
        <v>1000</v>
      </c>
      <c r="F100" s="16">
        <v>16190000</v>
      </c>
      <c r="G100" s="17">
        <f t="shared" si="5"/>
        <v>16190</v>
      </c>
      <c r="H100" s="4"/>
      <c r="J100" s="20">
        <f t="shared" si="6"/>
        <v>15540000</v>
      </c>
      <c r="K100" s="30">
        <f t="shared" si="7"/>
        <v>13874999.999999998</v>
      </c>
      <c r="L100" s="21">
        <f t="shared" si="8"/>
        <v>13874.999999999998</v>
      </c>
      <c r="N100" s="20">
        <f t="shared" si="9"/>
        <v>1387500</v>
      </c>
    </row>
    <row r="101" spans="1:14" x14ac:dyDescent="0.2">
      <c r="A101" s="5">
        <v>98</v>
      </c>
      <c r="B101" s="2">
        <v>10</v>
      </c>
      <c r="C101" s="2">
        <v>7</v>
      </c>
      <c r="D101" s="6" t="s">
        <v>0</v>
      </c>
      <c r="E101" s="13">
        <v>1000</v>
      </c>
      <c r="F101" s="16">
        <v>16190000</v>
      </c>
      <c r="G101" s="17">
        <f t="shared" si="5"/>
        <v>16190</v>
      </c>
      <c r="H101" s="4"/>
      <c r="J101" s="20">
        <f t="shared" si="6"/>
        <v>15540000</v>
      </c>
      <c r="K101" s="30">
        <f t="shared" si="7"/>
        <v>13874999.999999998</v>
      </c>
      <c r="L101" s="21">
        <f t="shared" si="8"/>
        <v>13874.999999999998</v>
      </c>
      <c r="N101" s="20">
        <f t="shared" si="9"/>
        <v>1387500</v>
      </c>
    </row>
    <row r="102" spans="1:14" x14ac:dyDescent="0.2">
      <c r="A102" s="5">
        <v>99</v>
      </c>
      <c r="B102" s="2">
        <v>10</v>
      </c>
      <c r="C102" s="2">
        <v>8</v>
      </c>
      <c r="D102" s="6" t="s">
        <v>0</v>
      </c>
      <c r="E102" s="13">
        <v>1000</v>
      </c>
      <c r="F102" s="16">
        <v>16480000</v>
      </c>
      <c r="G102" s="17">
        <f t="shared" si="5"/>
        <v>16480</v>
      </c>
      <c r="H102" s="4"/>
      <c r="J102" s="20">
        <f t="shared" si="6"/>
        <v>15830000</v>
      </c>
      <c r="K102" s="30">
        <f t="shared" si="7"/>
        <v>14133928.571428571</v>
      </c>
      <c r="L102" s="21">
        <f t="shared" si="8"/>
        <v>14133.928571428571</v>
      </c>
      <c r="N102" s="20">
        <f t="shared" si="9"/>
        <v>1413392.8571428573</v>
      </c>
    </row>
    <row r="103" spans="1:14" x14ac:dyDescent="0.2">
      <c r="A103" s="5">
        <v>100</v>
      </c>
      <c r="B103" s="2">
        <v>11</v>
      </c>
      <c r="C103" s="2">
        <v>1</v>
      </c>
      <c r="D103" s="6" t="s">
        <v>0</v>
      </c>
      <c r="E103" s="13">
        <v>934</v>
      </c>
      <c r="F103" s="16">
        <v>14600000</v>
      </c>
      <c r="G103" s="17">
        <f t="shared" si="5"/>
        <v>15631.691648822271</v>
      </c>
      <c r="H103" s="4"/>
      <c r="J103" s="20">
        <f t="shared" si="6"/>
        <v>13950000</v>
      </c>
      <c r="K103" s="30">
        <f t="shared" si="7"/>
        <v>12455357.142857142</v>
      </c>
      <c r="L103" s="21">
        <f t="shared" si="8"/>
        <v>13335.500152951972</v>
      </c>
      <c r="N103" s="20">
        <f t="shared" si="9"/>
        <v>1245535.7142857143</v>
      </c>
    </row>
    <row r="104" spans="1:14" x14ac:dyDescent="0.2">
      <c r="A104" s="5">
        <v>101</v>
      </c>
      <c r="B104" s="2">
        <v>11</v>
      </c>
      <c r="C104" s="2">
        <v>2</v>
      </c>
      <c r="D104" s="6" t="s">
        <v>0</v>
      </c>
      <c r="E104" s="13">
        <v>934</v>
      </c>
      <c r="F104" s="16">
        <v>14600000</v>
      </c>
      <c r="G104" s="17">
        <f t="shared" si="5"/>
        <v>15631.691648822271</v>
      </c>
      <c r="H104" s="4"/>
      <c r="J104" s="20">
        <f t="shared" si="6"/>
        <v>13950000</v>
      </c>
      <c r="K104" s="30">
        <f t="shared" si="7"/>
        <v>12455357.142857142</v>
      </c>
      <c r="L104" s="21">
        <f t="shared" si="8"/>
        <v>13335.500152951972</v>
      </c>
      <c r="N104" s="20">
        <f t="shared" si="9"/>
        <v>1245535.7142857143</v>
      </c>
    </row>
    <row r="105" spans="1:14" x14ac:dyDescent="0.2">
      <c r="A105" s="5">
        <v>102</v>
      </c>
      <c r="B105" s="2">
        <v>11</v>
      </c>
      <c r="C105" s="2">
        <v>3</v>
      </c>
      <c r="D105" s="6" t="s">
        <v>0</v>
      </c>
      <c r="E105" s="13">
        <v>1001</v>
      </c>
      <c r="F105" s="16">
        <v>11870000</v>
      </c>
      <c r="G105" s="17">
        <f t="shared" si="5"/>
        <v>11858.141858141858</v>
      </c>
      <c r="H105" s="4"/>
      <c r="J105" s="20">
        <f t="shared" si="6"/>
        <v>11220000</v>
      </c>
      <c r="K105" s="30">
        <f t="shared" si="7"/>
        <v>10017857.142857142</v>
      </c>
      <c r="L105" s="21">
        <f t="shared" si="8"/>
        <v>10007.849293563579</v>
      </c>
      <c r="N105" s="20">
        <f t="shared" si="9"/>
        <v>1001785.7142857142</v>
      </c>
    </row>
    <row r="106" spans="1:14" x14ac:dyDescent="0.2">
      <c r="A106" s="5">
        <v>103</v>
      </c>
      <c r="B106" s="2">
        <v>11</v>
      </c>
      <c r="C106" s="2">
        <v>5</v>
      </c>
      <c r="D106" s="6" t="s">
        <v>0</v>
      </c>
      <c r="E106" s="13">
        <v>1000</v>
      </c>
      <c r="F106" s="16">
        <v>11980000</v>
      </c>
      <c r="G106" s="17">
        <f t="shared" si="5"/>
        <v>11980</v>
      </c>
      <c r="H106" s="4"/>
      <c r="J106" s="20">
        <f t="shared" si="6"/>
        <v>11330000</v>
      </c>
      <c r="K106" s="30">
        <f t="shared" si="7"/>
        <v>10116071.428571427</v>
      </c>
      <c r="L106" s="21">
        <f t="shared" si="8"/>
        <v>10116.071428571428</v>
      </c>
      <c r="N106" s="20">
        <f t="shared" si="9"/>
        <v>1011607.1428571427</v>
      </c>
    </row>
    <row r="107" spans="1:14" x14ac:dyDescent="0.2">
      <c r="A107" s="5">
        <v>104</v>
      </c>
      <c r="B107" s="2">
        <v>11</v>
      </c>
      <c r="C107" s="2">
        <v>6</v>
      </c>
      <c r="D107" s="6" t="s">
        <v>0</v>
      </c>
      <c r="E107" s="13">
        <v>1000</v>
      </c>
      <c r="F107" s="16">
        <v>11980000</v>
      </c>
      <c r="G107" s="17">
        <f t="shared" si="5"/>
        <v>11980</v>
      </c>
      <c r="H107" s="4"/>
      <c r="J107" s="20">
        <f t="shared" si="6"/>
        <v>11330000</v>
      </c>
      <c r="K107" s="30">
        <f t="shared" si="7"/>
        <v>10116071.428571427</v>
      </c>
      <c r="L107" s="21">
        <f t="shared" si="8"/>
        <v>10116.071428571428</v>
      </c>
      <c r="N107" s="20">
        <f t="shared" si="9"/>
        <v>1011607.1428571427</v>
      </c>
    </row>
    <row r="108" spans="1:14" x14ac:dyDescent="0.2">
      <c r="A108" s="5">
        <v>105</v>
      </c>
      <c r="B108" s="2">
        <v>11</v>
      </c>
      <c r="C108" s="2">
        <v>7</v>
      </c>
      <c r="D108" s="6" t="s">
        <v>0</v>
      </c>
      <c r="E108" s="13">
        <v>1000</v>
      </c>
      <c r="F108" s="16">
        <v>11980000</v>
      </c>
      <c r="G108" s="17">
        <f t="shared" si="5"/>
        <v>11980</v>
      </c>
      <c r="H108" s="4"/>
      <c r="J108" s="20">
        <f t="shared" si="6"/>
        <v>11330000</v>
      </c>
      <c r="K108" s="30">
        <f t="shared" si="7"/>
        <v>10116071.428571427</v>
      </c>
      <c r="L108" s="21">
        <f t="shared" si="8"/>
        <v>10116.071428571428</v>
      </c>
      <c r="N108" s="20">
        <f t="shared" si="9"/>
        <v>1011607.1428571427</v>
      </c>
    </row>
    <row r="109" spans="1:14" x14ac:dyDescent="0.2">
      <c r="A109" s="5">
        <v>106</v>
      </c>
      <c r="B109" s="2">
        <v>11</v>
      </c>
      <c r="C109" s="2">
        <v>8</v>
      </c>
      <c r="D109" s="6" t="s">
        <v>0</v>
      </c>
      <c r="E109" s="13">
        <v>850</v>
      </c>
      <c r="F109" s="16">
        <v>11060000</v>
      </c>
      <c r="G109" s="17">
        <f t="shared" si="5"/>
        <v>13011.764705882353</v>
      </c>
      <c r="H109" s="4"/>
      <c r="J109" s="20">
        <f t="shared" si="6"/>
        <v>10410000</v>
      </c>
      <c r="K109" s="30">
        <f t="shared" si="7"/>
        <v>9294642.8571428563</v>
      </c>
      <c r="L109" s="21">
        <f t="shared" si="8"/>
        <v>10934.873949579831</v>
      </c>
      <c r="N109" s="20">
        <f t="shared" si="9"/>
        <v>929464.28571428568</v>
      </c>
    </row>
    <row r="110" spans="1:14" x14ac:dyDescent="0.2">
      <c r="A110" s="5">
        <v>107</v>
      </c>
      <c r="B110" s="2">
        <v>11</v>
      </c>
      <c r="C110" s="2">
        <v>9</v>
      </c>
      <c r="D110" s="6" t="s">
        <v>0</v>
      </c>
      <c r="E110" s="13">
        <v>850</v>
      </c>
      <c r="F110" s="16">
        <v>10810000</v>
      </c>
      <c r="G110" s="17">
        <f t="shared" si="5"/>
        <v>12717.64705882353</v>
      </c>
      <c r="H110" s="4"/>
      <c r="J110" s="20">
        <f t="shared" si="6"/>
        <v>10160000</v>
      </c>
      <c r="K110" s="30">
        <f t="shared" si="7"/>
        <v>9071428.5714285709</v>
      </c>
      <c r="L110" s="21">
        <f t="shared" si="8"/>
        <v>10672.268907563024</v>
      </c>
      <c r="N110" s="20">
        <f t="shared" si="9"/>
        <v>907142.85714285716</v>
      </c>
    </row>
    <row r="111" spans="1:14" x14ac:dyDescent="0.2">
      <c r="A111" s="5">
        <v>108</v>
      </c>
      <c r="B111" s="2">
        <v>11</v>
      </c>
      <c r="C111" s="2">
        <v>10</v>
      </c>
      <c r="D111" s="6" t="s">
        <v>0</v>
      </c>
      <c r="E111" s="13">
        <v>877</v>
      </c>
      <c r="F111" s="16">
        <v>11130000</v>
      </c>
      <c r="G111" s="17">
        <f t="shared" si="5"/>
        <v>12690.992018244013</v>
      </c>
      <c r="H111" s="4"/>
      <c r="J111" s="20">
        <f t="shared" si="6"/>
        <v>10480000</v>
      </c>
      <c r="K111" s="30">
        <f t="shared" si="7"/>
        <v>9357142.8571428563</v>
      </c>
      <c r="L111" s="21">
        <f t="shared" si="8"/>
        <v>10669.49014497475</v>
      </c>
      <c r="N111" s="20">
        <f t="shared" si="9"/>
        <v>935714.28571428568</v>
      </c>
    </row>
    <row r="112" spans="1:14" x14ac:dyDescent="0.2">
      <c r="A112" s="5">
        <v>109</v>
      </c>
      <c r="B112" s="2">
        <v>12</v>
      </c>
      <c r="C112" s="2">
        <v>1</v>
      </c>
      <c r="D112" s="6" t="s">
        <v>0</v>
      </c>
      <c r="E112" s="13">
        <v>900</v>
      </c>
      <c r="F112" s="16">
        <v>11740000</v>
      </c>
      <c r="G112" s="17">
        <f t="shared" si="5"/>
        <v>13044.444444444445</v>
      </c>
      <c r="H112" s="4"/>
      <c r="J112" s="20">
        <f t="shared" si="6"/>
        <v>11090000</v>
      </c>
      <c r="K112" s="30">
        <f t="shared" si="7"/>
        <v>9901785.7142857127</v>
      </c>
      <c r="L112" s="21">
        <f t="shared" si="8"/>
        <v>11001.984126984125</v>
      </c>
      <c r="N112" s="20">
        <f t="shared" si="9"/>
        <v>990178.57142857136</v>
      </c>
    </row>
    <row r="113" spans="1:14" x14ac:dyDescent="0.2">
      <c r="A113" s="5">
        <v>110</v>
      </c>
      <c r="B113" s="2">
        <v>12</v>
      </c>
      <c r="C113" s="2">
        <v>2</v>
      </c>
      <c r="D113" s="6" t="s">
        <v>0</v>
      </c>
      <c r="E113" s="13">
        <v>894</v>
      </c>
      <c r="F113" s="16">
        <v>12280000</v>
      </c>
      <c r="G113" s="17">
        <f t="shared" si="5"/>
        <v>13736.017897091722</v>
      </c>
      <c r="H113" s="4"/>
      <c r="J113" s="20">
        <f t="shared" si="6"/>
        <v>11630000</v>
      </c>
      <c r="K113" s="30">
        <f t="shared" si="7"/>
        <v>10383928.571428571</v>
      </c>
      <c r="L113" s="21">
        <f t="shared" si="8"/>
        <v>11615.1326302333</v>
      </c>
      <c r="N113" s="20">
        <f t="shared" si="9"/>
        <v>1038392.8571428572</v>
      </c>
    </row>
    <row r="114" spans="1:14" x14ac:dyDescent="0.2">
      <c r="A114" s="5">
        <v>111</v>
      </c>
      <c r="B114" s="2">
        <v>12</v>
      </c>
      <c r="C114" s="2">
        <v>3</v>
      </c>
      <c r="D114" s="6" t="s">
        <v>0</v>
      </c>
      <c r="E114" s="13">
        <v>900</v>
      </c>
      <c r="F114" s="16">
        <v>11740000</v>
      </c>
      <c r="G114" s="17">
        <f t="shared" si="5"/>
        <v>13044.444444444445</v>
      </c>
      <c r="H114" s="4"/>
      <c r="J114" s="20">
        <f t="shared" si="6"/>
        <v>11090000</v>
      </c>
      <c r="K114" s="30">
        <f t="shared" si="7"/>
        <v>9901785.7142857127</v>
      </c>
      <c r="L114" s="21">
        <f t="shared" si="8"/>
        <v>11001.984126984125</v>
      </c>
      <c r="N114" s="20">
        <f t="shared" si="9"/>
        <v>990178.57142857136</v>
      </c>
    </row>
    <row r="115" spans="1:14" x14ac:dyDescent="0.2">
      <c r="A115" s="5">
        <v>112</v>
      </c>
      <c r="B115" s="2">
        <v>15</v>
      </c>
      <c r="C115" s="2">
        <v>1</v>
      </c>
      <c r="D115" s="6" t="s">
        <v>0</v>
      </c>
      <c r="E115" s="13">
        <v>1945</v>
      </c>
      <c r="F115" s="16">
        <v>22680000</v>
      </c>
      <c r="G115" s="17">
        <f t="shared" si="5"/>
        <v>11660.668380462725</v>
      </c>
      <c r="H115" s="4"/>
      <c r="J115" s="20">
        <f t="shared" si="6"/>
        <v>22030000</v>
      </c>
      <c r="K115" s="30">
        <f t="shared" si="7"/>
        <v>19669642.857142854</v>
      </c>
      <c r="L115" s="21">
        <f t="shared" si="8"/>
        <v>10112.926918839514</v>
      </c>
      <c r="N115" s="20">
        <f t="shared" si="9"/>
        <v>1966964.2857142854</v>
      </c>
    </row>
    <row r="116" spans="1:14" x14ac:dyDescent="0.2">
      <c r="A116" s="5">
        <v>113</v>
      </c>
      <c r="B116" s="2">
        <v>15</v>
      </c>
      <c r="C116" s="2">
        <v>2</v>
      </c>
      <c r="D116" s="6" t="s">
        <v>0</v>
      </c>
      <c r="E116" s="13">
        <v>1300</v>
      </c>
      <c r="F116" s="16">
        <v>17400000</v>
      </c>
      <c r="G116" s="17">
        <f t="shared" si="5"/>
        <v>13384.615384615385</v>
      </c>
      <c r="H116" s="4"/>
      <c r="J116" s="20">
        <f t="shared" si="6"/>
        <v>16750000</v>
      </c>
      <c r="K116" s="30">
        <f t="shared" si="7"/>
        <v>14955357.142857142</v>
      </c>
      <c r="L116" s="21">
        <f t="shared" si="8"/>
        <v>11504.120879120879</v>
      </c>
      <c r="N116" s="20">
        <f t="shared" si="9"/>
        <v>1495535.7142857143</v>
      </c>
    </row>
    <row r="117" spans="1:14" x14ac:dyDescent="0.2">
      <c r="A117" s="5">
        <v>114</v>
      </c>
      <c r="B117" s="2">
        <v>15</v>
      </c>
      <c r="C117" s="2">
        <v>3</v>
      </c>
      <c r="D117" s="6" t="s">
        <v>0</v>
      </c>
      <c r="E117" s="13">
        <v>1300</v>
      </c>
      <c r="F117" s="16">
        <v>17400000</v>
      </c>
      <c r="G117" s="17">
        <f t="shared" si="5"/>
        <v>13384.615384615385</v>
      </c>
      <c r="H117" s="4"/>
      <c r="J117" s="20">
        <f t="shared" si="6"/>
        <v>16750000</v>
      </c>
      <c r="K117" s="30">
        <f t="shared" si="7"/>
        <v>14955357.142857142</v>
      </c>
      <c r="L117" s="21">
        <f t="shared" si="8"/>
        <v>11504.120879120879</v>
      </c>
      <c r="N117" s="20">
        <f t="shared" si="9"/>
        <v>1495535.7142857143</v>
      </c>
    </row>
    <row r="118" spans="1:14" x14ac:dyDescent="0.2">
      <c r="A118" s="5">
        <v>115</v>
      </c>
      <c r="B118" s="2">
        <v>15</v>
      </c>
      <c r="C118" s="2">
        <v>5</v>
      </c>
      <c r="D118" s="6" t="s">
        <v>0</v>
      </c>
      <c r="E118" s="13">
        <v>900</v>
      </c>
      <c r="F118" s="16">
        <v>11940000</v>
      </c>
      <c r="G118" s="17">
        <f t="shared" si="5"/>
        <v>13266.666666666666</v>
      </c>
      <c r="H118" s="4"/>
      <c r="J118" s="20">
        <f t="shared" si="6"/>
        <v>11290000</v>
      </c>
      <c r="K118" s="30">
        <f t="shared" si="7"/>
        <v>10080357.142857142</v>
      </c>
      <c r="L118" s="21">
        <f t="shared" si="8"/>
        <v>11200.396825396825</v>
      </c>
      <c r="N118" s="20">
        <f t="shared" si="9"/>
        <v>1008035.7142857142</v>
      </c>
    </row>
    <row r="119" spans="1:14" x14ac:dyDescent="0.2">
      <c r="A119" s="5">
        <v>116</v>
      </c>
      <c r="B119" s="2">
        <v>15</v>
      </c>
      <c r="C119" s="2">
        <v>6</v>
      </c>
      <c r="D119" s="6" t="s">
        <v>0</v>
      </c>
      <c r="E119" s="13">
        <v>851</v>
      </c>
      <c r="F119" s="16">
        <v>10690000</v>
      </c>
      <c r="G119" s="17">
        <f t="shared" si="5"/>
        <v>12561.692126909518</v>
      </c>
      <c r="H119" s="4"/>
      <c r="J119" s="20">
        <f t="shared" si="6"/>
        <v>10040000</v>
      </c>
      <c r="K119" s="30">
        <f t="shared" si="7"/>
        <v>8964285.7142857127</v>
      </c>
      <c r="L119" s="21">
        <f t="shared" si="8"/>
        <v>10533.825751217053</v>
      </c>
      <c r="N119" s="20">
        <f t="shared" si="9"/>
        <v>896428.57142857136</v>
      </c>
    </row>
    <row r="120" spans="1:14" x14ac:dyDescent="0.2">
      <c r="A120" s="5">
        <v>117</v>
      </c>
      <c r="B120" s="2">
        <v>16</v>
      </c>
      <c r="C120" s="2">
        <v>1</v>
      </c>
      <c r="D120" s="6" t="s">
        <v>1</v>
      </c>
      <c r="E120" s="13">
        <v>600</v>
      </c>
      <c r="F120" s="16">
        <v>11640000</v>
      </c>
      <c r="G120" s="17">
        <f t="shared" si="5"/>
        <v>19400</v>
      </c>
      <c r="H120" s="4"/>
      <c r="J120" s="20">
        <f t="shared" si="6"/>
        <v>10990000</v>
      </c>
      <c r="K120" s="30">
        <f t="shared" si="7"/>
        <v>9812499.9999999981</v>
      </c>
      <c r="L120" s="21">
        <f t="shared" si="8"/>
        <v>16354.166666666664</v>
      </c>
      <c r="N120" s="20">
        <f t="shared" si="9"/>
        <v>981249.99999999988</v>
      </c>
    </row>
    <row r="121" spans="1:14" x14ac:dyDescent="0.2">
      <c r="A121" s="5">
        <v>118</v>
      </c>
      <c r="B121" s="2">
        <v>16</v>
      </c>
      <c r="C121" s="2">
        <v>2</v>
      </c>
      <c r="D121" s="6" t="s">
        <v>1</v>
      </c>
      <c r="E121" s="13">
        <v>579</v>
      </c>
      <c r="F121" s="16">
        <v>10080000</v>
      </c>
      <c r="G121" s="17">
        <f t="shared" si="5"/>
        <v>17409.326424870465</v>
      </c>
      <c r="H121" s="4"/>
      <c r="J121" s="20">
        <f t="shared" si="6"/>
        <v>9430000</v>
      </c>
      <c r="K121" s="30">
        <f t="shared" si="7"/>
        <v>8419642.8571428563</v>
      </c>
      <c r="L121" s="21">
        <f t="shared" si="8"/>
        <v>14541.697508018749</v>
      </c>
      <c r="N121" s="20">
        <f t="shared" si="9"/>
        <v>841964.28571428568</v>
      </c>
    </row>
    <row r="122" spans="1:14" x14ac:dyDescent="0.2">
      <c r="A122" s="5">
        <v>119</v>
      </c>
      <c r="B122" s="2">
        <v>16</v>
      </c>
      <c r="C122" s="2">
        <v>3</v>
      </c>
      <c r="D122" s="6" t="s">
        <v>1</v>
      </c>
      <c r="E122" s="13">
        <v>579</v>
      </c>
      <c r="F122" s="16">
        <v>10080000</v>
      </c>
      <c r="G122" s="17">
        <f t="shared" si="5"/>
        <v>17409.326424870465</v>
      </c>
      <c r="H122" s="4"/>
      <c r="J122" s="20">
        <f t="shared" si="6"/>
        <v>9430000</v>
      </c>
      <c r="K122" s="30">
        <f t="shared" si="7"/>
        <v>8419642.8571428563</v>
      </c>
      <c r="L122" s="21">
        <f t="shared" si="8"/>
        <v>14541.697508018749</v>
      </c>
      <c r="N122" s="20">
        <f t="shared" si="9"/>
        <v>841964.28571428568</v>
      </c>
    </row>
    <row r="123" spans="1:14" x14ac:dyDescent="0.2">
      <c r="A123" s="5">
        <v>120</v>
      </c>
      <c r="B123" s="2">
        <v>16</v>
      </c>
      <c r="C123" s="2">
        <v>5</v>
      </c>
      <c r="D123" s="6" t="s">
        <v>1</v>
      </c>
      <c r="E123" s="13">
        <v>600</v>
      </c>
      <c r="F123" s="16">
        <v>11230000</v>
      </c>
      <c r="G123" s="17">
        <f t="shared" si="5"/>
        <v>18716.666666666668</v>
      </c>
      <c r="H123" s="4"/>
      <c r="J123" s="20">
        <f t="shared" si="6"/>
        <v>10580000</v>
      </c>
      <c r="K123" s="30">
        <f t="shared" si="7"/>
        <v>9446428.5714285709</v>
      </c>
      <c r="L123" s="21">
        <f t="shared" si="8"/>
        <v>15744.047619047618</v>
      </c>
      <c r="N123" s="20">
        <f t="shared" si="9"/>
        <v>944642.85714285716</v>
      </c>
    </row>
    <row r="124" spans="1:14" x14ac:dyDescent="0.2">
      <c r="A124" s="5">
        <v>121</v>
      </c>
      <c r="B124" s="2">
        <v>16</v>
      </c>
      <c r="C124" s="2">
        <v>6</v>
      </c>
      <c r="D124" s="6" t="s">
        <v>1</v>
      </c>
      <c r="E124" s="13">
        <v>600</v>
      </c>
      <c r="F124" s="16">
        <v>11230000</v>
      </c>
      <c r="G124" s="17">
        <f t="shared" si="5"/>
        <v>18716.666666666668</v>
      </c>
      <c r="H124" s="4"/>
      <c r="J124" s="20">
        <f t="shared" si="6"/>
        <v>10580000</v>
      </c>
      <c r="K124" s="30">
        <f t="shared" si="7"/>
        <v>9446428.5714285709</v>
      </c>
      <c r="L124" s="21">
        <f t="shared" si="8"/>
        <v>15744.047619047618</v>
      </c>
      <c r="N124" s="20">
        <f t="shared" si="9"/>
        <v>944642.85714285716</v>
      </c>
    </row>
    <row r="125" spans="1:14" x14ac:dyDescent="0.2">
      <c r="A125" s="5">
        <v>122</v>
      </c>
      <c r="B125" s="2">
        <v>16</v>
      </c>
      <c r="C125" s="2">
        <v>7</v>
      </c>
      <c r="D125" s="6" t="s">
        <v>1</v>
      </c>
      <c r="E125" s="13">
        <v>549</v>
      </c>
      <c r="F125" s="16">
        <v>9590000</v>
      </c>
      <c r="G125" s="17">
        <f t="shared" si="5"/>
        <v>17468.123861566484</v>
      </c>
      <c r="H125" s="4"/>
      <c r="J125" s="20">
        <f t="shared" si="6"/>
        <v>8940000</v>
      </c>
      <c r="K125" s="30">
        <f t="shared" si="7"/>
        <v>7982142.8571428563</v>
      </c>
      <c r="L125" s="21">
        <f t="shared" si="8"/>
        <v>14539.422326307571</v>
      </c>
      <c r="N125" s="20">
        <f t="shared" si="9"/>
        <v>798214.28571428568</v>
      </c>
    </row>
    <row r="126" spans="1:14" x14ac:dyDescent="0.2">
      <c r="A126" s="5">
        <v>123</v>
      </c>
      <c r="B126" s="2">
        <v>16</v>
      </c>
      <c r="C126" s="2">
        <v>8</v>
      </c>
      <c r="D126" s="6" t="s">
        <v>1</v>
      </c>
      <c r="E126" s="13">
        <v>549</v>
      </c>
      <c r="F126" s="16">
        <v>10480000</v>
      </c>
      <c r="G126" s="17">
        <f t="shared" si="5"/>
        <v>19089.253187613842</v>
      </c>
      <c r="H126" s="4"/>
      <c r="J126" s="20">
        <f t="shared" si="6"/>
        <v>9830000</v>
      </c>
      <c r="K126" s="30">
        <f t="shared" si="7"/>
        <v>8776785.7142857127</v>
      </c>
      <c r="L126" s="21">
        <f t="shared" si="8"/>
        <v>15986.859224564139</v>
      </c>
      <c r="N126" s="20">
        <f t="shared" si="9"/>
        <v>877678.57142857136</v>
      </c>
    </row>
    <row r="127" spans="1:14" x14ac:dyDescent="0.2">
      <c r="A127" s="5">
        <v>124</v>
      </c>
      <c r="B127" s="2">
        <v>16</v>
      </c>
      <c r="C127" s="2">
        <v>9</v>
      </c>
      <c r="D127" s="6" t="s">
        <v>1</v>
      </c>
      <c r="E127" s="13">
        <v>600</v>
      </c>
      <c r="F127" s="16">
        <v>11640000</v>
      </c>
      <c r="G127" s="17">
        <f t="shared" si="5"/>
        <v>19400</v>
      </c>
      <c r="H127" s="4"/>
      <c r="J127" s="20">
        <f t="shared" si="6"/>
        <v>10990000</v>
      </c>
      <c r="K127" s="30">
        <f t="shared" si="7"/>
        <v>9812499.9999999981</v>
      </c>
      <c r="L127" s="21">
        <f t="shared" si="8"/>
        <v>16354.166666666664</v>
      </c>
      <c r="N127" s="20">
        <f t="shared" si="9"/>
        <v>981249.99999999988</v>
      </c>
    </row>
    <row r="128" spans="1:14" x14ac:dyDescent="0.2">
      <c r="A128" s="5">
        <v>125</v>
      </c>
      <c r="B128" s="2">
        <v>17</v>
      </c>
      <c r="C128" s="2">
        <v>1</v>
      </c>
      <c r="D128" s="6" t="s">
        <v>1</v>
      </c>
      <c r="E128" s="13">
        <v>601</v>
      </c>
      <c r="F128" s="16">
        <v>11660000</v>
      </c>
      <c r="G128" s="17">
        <f t="shared" si="5"/>
        <v>19400.998336106488</v>
      </c>
      <c r="H128" s="4"/>
      <c r="J128" s="20">
        <f t="shared" si="6"/>
        <v>11010000</v>
      </c>
      <c r="K128" s="30">
        <f t="shared" si="7"/>
        <v>9830357.1428571418</v>
      </c>
      <c r="L128" s="21">
        <f t="shared" si="8"/>
        <v>16356.667458996908</v>
      </c>
      <c r="N128" s="20">
        <f t="shared" si="9"/>
        <v>983035.7142857142</v>
      </c>
    </row>
    <row r="129" spans="1:14" x14ac:dyDescent="0.2">
      <c r="A129" s="5">
        <v>126</v>
      </c>
      <c r="B129" s="2">
        <v>17</v>
      </c>
      <c r="C129" s="2">
        <v>2</v>
      </c>
      <c r="D129" s="6" t="s">
        <v>1</v>
      </c>
      <c r="E129" s="13">
        <v>463</v>
      </c>
      <c r="F129" s="16">
        <v>8190000</v>
      </c>
      <c r="G129" s="17">
        <f t="shared" si="5"/>
        <v>17688.984881209504</v>
      </c>
      <c r="H129" s="4"/>
      <c r="J129" s="20">
        <f t="shared" si="6"/>
        <v>7540000</v>
      </c>
      <c r="K129" s="30">
        <f t="shared" si="7"/>
        <v>6732142.8571428563</v>
      </c>
      <c r="L129" s="21">
        <f t="shared" si="8"/>
        <v>14540.265350200554</v>
      </c>
      <c r="N129" s="20">
        <f t="shared" si="9"/>
        <v>673214.28571428568</v>
      </c>
    </row>
    <row r="130" spans="1:14" x14ac:dyDescent="0.2">
      <c r="A130" s="5">
        <v>127</v>
      </c>
      <c r="B130" s="2">
        <v>17</v>
      </c>
      <c r="C130" s="2">
        <v>3</v>
      </c>
      <c r="D130" s="6" t="s">
        <v>1</v>
      </c>
      <c r="E130" s="13">
        <v>600</v>
      </c>
      <c r="F130" s="16">
        <v>11230000</v>
      </c>
      <c r="G130" s="17">
        <f t="shared" si="5"/>
        <v>18716.666666666668</v>
      </c>
      <c r="H130" s="4"/>
      <c r="J130" s="20">
        <f t="shared" si="6"/>
        <v>10580000</v>
      </c>
      <c r="K130" s="30">
        <f t="shared" si="7"/>
        <v>9446428.5714285709</v>
      </c>
      <c r="L130" s="21">
        <f t="shared" si="8"/>
        <v>15744.047619047618</v>
      </c>
      <c r="N130" s="20">
        <f t="shared" si="9"/>
        <v>944642.85714285716</v>
      </c>
    </row>
    <row r="131" spans="1:14" x14ac:dyDescent="0.2">
      <c r="A131" s="5">
        <v>128</v>
      </c>
      <c r="B131" s="2">
        <v>17</v>
      </c>
      <c r="C131" s="2">
        <v>5</v>
      </c>
      <c r="D131" s="6" t="s">
        <v>1</v>
      </c>
      <c r="E131" s="13">
        <v>601</v>
      </c>
      <c r="F131" s="16">
        <v>11660000</v>
      </c>
      <c r="G131" s="17">
        <f t="shared" si="5"/>
        <v>19400.998336106488</v>
      </c>
      <c r="H131" s="4"/>
      <c r="J131" s="20">
        <f t="shared" si="6"/>
        <v>11010000</v>
      </c>
      <c r="K131" s="30">
        <f t="shared" si="7"/>
        <v>9830357.1428571418</v>
      </c>
      <c r="L131" s="21">
        <f t="shared" si="8"/>
        <v>16356.667458996908</v>
      </c>
      <c r="N131" s="20">
        <f t="shared" si="9"/>
        <v>983035.7142857142</v>
      </c>
    </row>
    <row r="132" spans="1:14" x14ac:dyDescent="0.2">
      <c r="A132" s="5">
        <v>129</v>
      </c>
      <c r="B132" s="2">
        <v>17</v>
      </c>
      <c r="C132" s="2">
        <v>6</v>
      </c>
      <c r="D132" s="6" t="s">
        <v>1</v>
      </c>
      <c r="E132" s="13">
        <v>463</v>
      </c>
      <c r="F132" s="16">
        <v>8500000</v>
      </c>
      <c r="G132" s="17">
        <f t="shared" si="5"/>
        <v>18358.531317494599</v>
      </c>
      <c r="H132" s="4"/>
      <c r="J132" s="20">
        <f t="shared" si="6"/>
        <v>7850000</v>
      </c>
      <c r="K132" s="30">
        <f t="shared" si="7"/>
        <v>7008928.5714285709</v>
      </c>
      <c r="L132" s="21">
        <f t="shared" si="8"/>
        <v>15138.074668312249</v>
      </c>
      <c r="N132" s="20">
        <f t="shared" si="9"/>
        <v>700892.85714285716</v>
      </c>
    </row>
    <row r="133" spans="1:14" x14ac:dyDescent="0.2">
      <c r="A133" s="5">
        <v>130</v>
      </c>
      <c r="B133" s="2">
        <v>17</v>
      </c>
      <c r="C133" s="2">
        <v>7</v>
      </c>
      <c r="D133" s="6" t="s">
        <v>1</v>
      </c>
      <c r="E133" s="13">
        <v>600</v>
      </c>
      <c r="F133" s="16">
        <v>10820000</v>
      </c>
      <c r="G133" s="17">
        <f t="shared" ref="G133:G188" si="10">+F133/E133</f>
        <v>18033.333333333332</v>
      </c>
      <c r="H133" s="4"/>
      <c r="J133" s="20">
        <f t="shared" ref="J133:J188" si="11">+F133-650000</f>
        <v>10170000</v>
      </c>
      <c r="K133" s="30">
        <f t="shared" ref="K133:K188" si="12">+J133/1.12</f>
        <v>9080357.1428571418</v>
      </c>
      <c r="L133" s="21">
        <f t="shared" ref="L133:L188" si="13">+K133/E133</f>
        <v>15133.928571428569</v>
      </c>
      <c r="N133" s="20">
        <f t="shared" ref="N133:N188" si="14">+K133*0.1</f>
        <v>908035.7142857142</v>
      </c>
    </row>
    <row r="134" spans="1:14" x14ac:dyDescent="0.2">
      <c r="A134" s="5">
        <v>131</v>
      </c>
      <c r="B134" s="2">
        <v>18</v>
      </c>
      <c r="C134" s="2">
        <v>1</v>
      </c>
      <c r="D134" s="6" t="s">
        <v>1</v>
      </c>
      <c r="E134" s="13">
        <v>588</v>
      </c>
      <c r="F134" s="16">
        <v>11020000</v>
      </c>
      <c r="G134" s="17">
        <f t="shared" si="10"/>
        <v>18741.496598639456</v>
      </c>
      <c r="H134" s="4" t="s">
        <v>2</v>
      </c>
      <c r="J134" s="20">
        <f t="shared" si="11"/>
        <v>10370000</v>
      </c>
      <c r="K134" s="30">
        <f t="shared" si="12"/>
        <v>9258928.5714285709</v>
      </c>
      <c r="L134" s="21">
        <f t="shared" si="13"/>
        <v>15746.477162293488</v>
      </c>
      <c r="N134" s="20">
        <f t="shared" si="14"/>
        <v>925892.85714285716</v>
      </c>
    </row>
    <row r="135" spans="1:14" x14ac:dyDescent="0.2">
      <c r="A135" s="5">
        <v>132</v>
      </c>
      <c r="B135" s="2">
        <v>18</v>
      </c>
      <c r="C135" s="3">
        <v>2</v>
      </c>
      <c r="D135" s="6" t="s">
        <v>1</v>
      </c>
      <c r="E135" s="13">
        <v>450</v>
      </c>
      <c r="F135" s="16">
        <v>7980000</v>
      </c>
      <c r="G135" s="17">
        <f t="shared" si="10"/>
        <v>17733.333333333332</v>
      </c>
      <c r="H135" s="4" t="s">
        <v>2</v>
      </c>
      <c r="J135" s="20">
        <f t="shared" si="11"/>
        <v>7330000</v>
      </c>
      <c r="K135" s="30">
        <f t="shared" si="12"/>
        <v>6544642.8571428563</v>
      </c>
      <c r="L135" s="21">
        <f t="shared" si="13"/>
        <v>14543.650793650791</v>
      </c>
      <c r="N135" s="20">
        <f t="shared" si="14"/>
        <v>654464.28571428568</v>
      </c>
    </row>
    <row r="136" spans="1:14" x14ac:dyDescent="0.2">
      <c r="A136" s="5">
        <v>133</v>
      </c>
      <c r="B136" s="2">
        <v>18</v>
      </c>
      <c r="C136" s="3">
        <v>3</v>
      </c>
      <c r="D136" s="6" t="s">
        <v>1</v>
      </c>
      <c r="E136" s="13">
        <v>450</v>
      </c>
      <c r="F136" s="16">
        <v>9410000</v>
      </c>
      <c r="G136" s="17">
        <f t="shared" si="10"/>
        <v>20911.111111111109</v>
      </c>
      <c r="H136" s="4" t="s">
        <v>2</v>
      </c>
      <c r="J136" s="20">
        <f t="shared" si="11"/>
        <v>8760000</v>
      </c>
      <c r="K136" s="30">
        <f t="shared" si="12"/>
        <v>7821428.5714285709</v>
      </c>
      <c r="L136" s="21">
        <f t="shared" si="13"/>
        <v>17380.952380952378</v>
      </c>
      <c r="N136" s="20">
        <f t="shared" si="14"/>
        <v>782142.85714285716</v>
      </c>
    </row>
    <row r="137" spans="1:14" x14ac:dyDescent="0.2">
      <c r="A137" s="5">
        <v>134</v>
      </c>
      <c r="B137" s="2">
        <v>18</v>
      </c>
      <c r="C137" s="3">
        <v>5</v>
      </c>
      <c r="D137" s="6" t="s">
        <v>1</v>
      </c>
      <c r="E137" s="13">
        <v>600</v>
      </c>
      <c r="F137" s="16">
        <v>11230000</v>
      </c>
      <c r="G137" s="17">
        <f t="shared" si="10"/>
        <v>18716.666666666668</v>
      </c>
      <c r="H137" s="4" t="s">
        <v>2</v>
      </c>
      <c r="J137" s="20">
        <f t="shared" si="11"/>
        <v>10580000</v>
      </c>
      <c r="K137" s="30">
        <f t="shared" si="12"/>
        <v>9446428.5714285709</v>
      </c>
      <c r="L137" s="21">
        <f t="shared" si="13"/>
        <v>15744.047619047618</v>
      </c>
      <c r="N137" s="20">
        <f t="shared" si="14"/>
        <v>944642.85714285716</v>
      </c>
    </row>
    <row r="138" spans="1:14" x14ac:dyDescent="0.2">
      <c r="A138" s="5">
        <v>135</v>
      </c>
      <c r="B138" s="2">
        <v>18</v>
      </c>
      <c r="C138" s="3">
        <v>6</v>
      </c>
      <c r="D138" s="6" t="s">
        <v>1</v>
      </c>
      <c r="E138" s="13">
        <v>500</v>
      </c>
      <c r="F138" s="16">
        <v>8790000</v>
      </c>
      <c r="G138" s="17">
        <f t="shared" si="10"/>
        <v>17580</v>
      </c>
      <c r="H138" s="4" t="s">
        <v>2</v>
      </c>
      <c r="J138" s="20">
        <f t="shared" si="11"/>
        <v>8140000</v>
      </c>
      <c r="K138" s="30">
        <f t="shared" si="12"/>
        <v>7267857.1428571418</v>
      </c>
      <c r="L138" s="21">
        <f t="shared" si="13"/>
        <v>14535.714285714284</v>
      </c>
      <c r="N138" s="20">
        <f t="shared" si="14"/>
        <v>726785.7142857142</v>
      </c>
    </row>
    <row r="139" spans="1:14" x14ac:dyDescent="0.2">
      <c r="A139" s="5">
        <v>136</v>
      </c>
      <c r="B139" s="2">
        <v>18</v>
      </c>
      <c r="C139" s="2">
        <v>7</v>
      </c>
      <c r="D139" s="6" t="s">
        <v>1</v>
      </c>
      <c r="E139" s="13">
        <v>500</v>
      </c>
      <c r="F139" s="16">
        <v>8790000</v>
      </c>
      <c r="G139" s="17">
        <f t="shared" si="10"/>
        <v>17580</v>
      </c>
      <c r="H139" s="4" t="s">
        <v>2</v>
      </c>
      <c r="J139" s="20">
        <f t="shared" si="11"/>
        <v>8140000</v>
      </c>
      <c r="K139" s="30">
        <f t="shared" si="12"/>
        <v>7267857.1428571418</v>
      </c>
      <c r="L139" s="21">
        <f t="shared" si="13"/>
        <v>14535.714285714284</v>
      </c>
      <c r="N139" s="20">
        <f t="shared" si="14"/>
        <v>726785.7142857142</v>
      </c>
    </row>
    <row r="140" spans="1:14" x14ac:dyDescent="0.2">
      <c r="A140" s="5">
        <v>137</v>
      </c>
      <c r="B140" s="2">
        <v>18</v>
      </c>
      <c r="C140" s="2">
        <v>8</v>
      </c>
      <c r="D140" s="6" t="s">
        <v>1</v>
      </c>
      <c r="E140" s="13">
        <v>500</v>
      </c>
      <c r="F140" s="16">
        <v>10840000</v>
      </c>
      <c r="G140" s="17">
        <f t="shared" si="10"/>
        <v>21680</v>
      </c>
      <c r="H140" s="4" t="s">
        <v>2</v>
      </c>
      <c r="J140" s="20">
        <f t="shared" si="11"/>
        <v>10190000</v>
      </c>
      <c r="K140" s="30">
        <f t="shared" si="12"/>
        <v>9098214.2857142854</v>
      </c>
      <c r="L140" s="21">
        <f t="shared" si="13"/>
        <v>18196.428571428572</v>
      </c>
      <c r="N140" s="20">
        <f t="shared" si="14"/>
        <v>909821.42857142864</v>
      </c>
    </row>
    <row r="141" spans="1:14" x14ac:dyDescent="0.2">
      <c r="A141" s="5">
        <v>138</v>
      </c>
      <c r="B141" s="2">
        <v>18</v>
      </c>
      <c r="C141" s="2">
        <v>9</v>
      </c>
      <c r="D141" s="6" t="s">
        <v>1</v>
      </c>
      <c r="E141" s="13">
        <v>500</v>
      </c>
      <c r="F141" s="16">
        <v>10710000</v>
      </c>
      <c r="G141" s="17">
        <f t="shared" si="10"/>
        <v>21420</v>
      </c>
      <c r="H141" s="4" t="s">
        <v>2</v>
      </c>
      <c r="J141" s="20">
        <f t="shared" si="11"/>
        <v>10060000</v>
      </c>
      <c r="K141" s="30">
        <f t="shared" si="12"/>
        <v>8982142.8571428563</v>
      </c>
      <c r="L141" s="21">
        <f t="shared" si="13"/>
        <v>17964.285714285714</v>
      </c>
      <c r="N141" s="20">
        <f t="shared" si="14"/>
        <v>898214.28571428568</v>
      </c>
    </row>
    <row r="142" spans="1:14" x14ac:dyDescent="0.2">
      <c r="A142" s="5">
        <v>139</v>
      </c>
      <c r="B142" s="2">
        <v>18</v>
      </c>
      <c r="C142" s="2">
        <v>10</v>
      </c>
      <c r="D142" s="6" t="s">
        <v>1</v>
      </c>
      <c r="E142" s="13">
        <v>500</v>
      </c>
      <c r="F142" s="16">
        <v>10380000</v>
      </c>
      <c r="G142" s="17">
        <f t="shared" si="10"/>
        <v>20760</v>
      </c>
      <c r="H142" s="4" t="s">
        <v>2</v>
      </c>
      <c r="J142" s="20">
        <f t="shared" si="11"/>
        <v>9730000</v>
      </c>
      <c r="K142" s="30">
        <f t="shared" si="12"/>
        <v>8687500</v>
      </c>
      <c r="L142" s="21">
        <f t="shared" si="13"/>
        <v>17375</v>
      </c>
      <c r="N142" s="20">
        <f t="shared" si="14"/>
        <v>868750</v>
      </c>
    </row>
    <row r="143" spans="1:14" x14ac:dyDescent="0.2">
      <c r="A143" s="5">
        <v>140</v>
      </c>
      <c r="B143" s="2">
        <v>18</v>
      </c>
      <c r="C143" s="2">
        <v>11</v>
      </c>
      <c r="D143" s="6" t="s">
        <v>1</v>
      </c>
      <c r="E143" s="13">
        <v>450</v>
      </c>
      <c r="F143" s="16">
        <v>9410000</v>
      </c>
      <c r="G143" s="17">
        <f t="shared" si="10"/>
        <v>20911.111111111109</v>
      </c>
      <c r="H143" s="4" t="s">
        <v>2</v>
      </c>
      <c r="J143" s="20">
        <f t="shared" si="11"/>
        <v>8760000</v>
      </c>
      <c r="K143" s="30">
        <f t="shared" si="12"/>
        <v>7821428.5714285709</v>
      </c>
      <c r="L143" s="21">
        <f t="shared" si="13"/>
        <v>17380.952380952378</v>
      </c>
      <c r="N143" s="20">
        <f t="shared" si="14"/>
        <v>782142.85714285716</v>
      </c>
    </row>
    <row r="144" spans="1:14" x14ac:dyDescent="0.2">
      <c r="A144" s="5">
        <v>141</v>
      </c>
      <c r="B144" s="2">
        <v>19</v>
      </c>
      <c r="C144" s="2">
        <v>1</v>
      </c>
      <c r="D144" s="6" t="s">
        <v>1</v>
      </c>
      <c r="E144" s="13">
        <v>600</v>
      </c>
      <c r="F144" s="16">
        <v>11230000</v>
      </c>
      <c r="G144" s="17">
        <f t="shared" si="10"/>
        <v>18716.666666666668</v>
      </c>
      <c r="H144" s="4" t="s">
        <v>2</v>
      </c>
      <c r="J144" s="20">
        <f t="shared" si="11"/>
        <v>10580000</v>
      </c>
      <c r="K144" s="30">
        <f t="shared" si="12"/>
        <v>9446428.5714285709</v>
      </c>
      <c r="L144" s="21">
        <f t="shared" si="13"/>
        <v>15744.047619047618</v>
      </c>
      <c r="N144" s="20">
        <f t="shared" si="14"/>
        <v>944642.85714285716</v>
      </c>
    </row>
    <row r="145" spans="1:14" x14ac:dyDescent="0.2">
      <c r="A145" s="5">
        <v>142</v>
      </c>
      <c r="B145" s="2">
        <v>19</v>
      </c>
      <c r="C145" s="2">
        <v>2</v>
      </c>
      <c r="D145" s="6" t="s">
        <v>1</v>
      </c>
      <c r="E145" s="13">
        <v>550</v>
      </c>
      <c r="F145" s="16">
        <v>9230000</v>
      </c>
      <c r="G145" s="17">
        <f t="shared" si="10"/>
        <v>16781.81818181818</v>
      </c>
      <c r="H145" s="4" t="s">
        <v>2</v>
      </c>
      <c r="J145" s="20">
        <f t="shared" si="11"/>
        <v>8580000</v>
      </c>
      <c r="K145" s="30">
        <f t="shared" si="12"/>
        <v>7660714.2857142854</v>
      </c>
      <c r="L145" s="21">
        <f t="shared" si="13"/>
        <v>13928.571428571428</v>
      </c>
      <c r="N145" s="20">
        <f t="shared" si="14"/>
        <v>766071.42857142864</v>
      </c>
    </row>
    <row r="146" spans="1:14" x14ac:dyDescent="0.2">
      <c r="A146" s="5">
        <v>143</v>
      </c>
      <c r="B146" s="2">
        <v>19</v>
      </c>
      <c r="C146" s="2">
        <v>3</v>
      </c>
      <c r="D146" s="6" t="s">
        <v>1</v>
      </c>
      <c r="E146" s="13">
        <v>570</v>
      </c>
      <c r="F146" s="16">
        <v>9160000</v>
      </c>
      <c r="G146" s="17">
        <f t="shared" si="10"/>
        <v>16070.17543859649</v>
      </c>
      <c r="H146" s="4" t="s">
        <v>2</v>
      </c>
      <c r="J146" s="20">
        <f t="shared" si="11"/>
        <v>8510000</v>
      </c>
      <c r="K146" s="30">
        <f t="shared" si="12"/>
        <v>7598214.2857142854</v>
      </c>
      <c r="L146" s="21">
        <f t="shared" si="13"/>
        <v>13330.200501253132</v>
      </c>
      <c r="N146" s="20">
        <f t="shared" si="14"/>
        <v>759821.42857142864</v>
      </c>
    </row>
    <row r="147" spans="1:14" x14ac:dyDescent="0.2">
      <c r="A147" s="5">
        <v>144</v>
      </c>
      <c r="B147" s="2">
        <v>19</v>
      </c>
      <c r="C147" s="2">
        <v>5</v>
      </c>
      <c r="D147" s="6" t="s">
        <v>1</v>
      </c>
      <c r="E147" s="13">
        <v>570</v>
      </c>
      <c r="F147" s="16">
        <v>10310000</v>
      </c>
      <c r="G147" s="17">
        <f t="shared" si="10"/>
        <v>18087.719298245614</v>
      </c>
      <c r="H147" s="4" t="s">
        <v>2</v>
      </c>
      <c r="J147" s="20">
        <f t="shared" si="11"/>
        <v>9660000</v>
      </c>
      <c r="K147" s="30">
        <f t="shared" si="12"/>
        <v>8625000</v>
      </c>
      <c r="L147" s="21">
        <f t="shared" si="13"/>
        <v>15131.578947368422</v>
      </c>
      <c r="N147" s="20">
        <f t="shared" si="14"/>
        <v>862500</v>
      </c>
    </row>
    <row r="148" spans="1:14" x14ac:dyDescent="0.2">
      <c r="A148" s="5">
        <v>145</v>
      </c>
      <c r="B148" s="2">
        <v>20</v>
      </c>
      <c r="C148" s="2">
        <v>1</v>
      </c>
      <c r="D148" s="6" t="s">
        <v>1</v>
      </c>
      <c r="E148" s="13">
        <v>600</v>
      </c>
      <c r="F148" s="16">
        <v>11640000</v>
      </c>
      <c r="G148" s="17">
        <f t="shared" si="10"/>
        <v>19400</v>
      </c>
      <c r="H148" s="4"/>
      <c r="J148" s="20">
        <f t="shared" si="11"/>
        <v>10990000</v>
      </c>
      <c r="K148" s="30">
        <f t="shared" si="12"/>
        <v>9812499.9999999981</v>
      </c>
      <c r="L148" s="21">
        <f t="shared" si="13"/>
        <v>16354.166666666664</v>
      </c>
      <c r="N148" s="20">
        <f t="shared" si="14"/>
        <v>981249.99999999988</v>
      </c>
    </row>
    <row r="149" spans="1:14" x14ac:dyDescent="0.2">
      <c r="A149" s="5">
        <v>146</v>
      </c>
      <c r="B149" s="2">
        <v>20</v>
      </c>
      <c r="C149" s="2">
        <v>2</v>
      </c>
      <c r="D149" s="6" t="s">
        <v>1</v>
      </c>
      <c r="E149" s="13">
        <v>540</v>
      </c>
      <c r="F149" s="16">
        <v>9810000</v>
      </c>
      <c r="G149" s="17">
        <f t="shared" si="10"/>
        <v>18166.666666666668</v>
      </c>
      <c r="H149" s="4"/>
      <c r="J149" s="20">
        <f t="shared" si="11"/>
        <v>9160000</v>
      </c>
      <c r="K149" s="30">
        <f t="shared" si="12"/>
        <v>8178571.4285714282</v>
      </c>
      <c r="L149" s="21">
        <f t="shared" si="13"/>
        <v>15145.502645502645</v>
      </c>
      <c r="N149" s="20">
        <f t="shared" si="14"/>
        <v>817857.14285714284</v>
      </c>
    </row>
    <row r="150" spans="1:14" x14ac:dyDescent="0.2">
      <c r="A150" s="5">
        <v>147</v>
      </c>
      <c r="B150" s="2">
        <v>20</v>
      </c>
      <c r="C150" s="2">
        <v>3</v>
      </c>
      <c r="D150" s="6" t="s">
        <v>1</v>
      </c>
      <c r="E150" s="13">
        <v>540</v>
      </c>
      <c r="F150" s="16">
        <v>9810000</v>
      </c>
      <c r="G150" s="17">
        <f t="shared" si="10"/>
        <v>18166.666666666668</v>
      </c>
      <c r="H150" s="4"/>
      <c r="J150" s="20">
        <f t="shared" si="11"/>
        <v>9160000</v>
      </c>
      <c r="K150" s="30">
        <f t="shared" si="12"/>
        <v>8178571.4285714282</v>
      </c>
      <c r="L150" s="21">
        <f t="shared" si="13"/>
        <v>15145.502645502645</v>
      </c>
      <c r="N150" s="20">
        <f t="shared" si="14"/>
        <v>817857.14285714284</v>
      </c>
    </row>
    <row r="151" spans="1:14" x14ac:dyDescent="0.2">
      <c r="A151" s="5">
        <v>148</v>
      </c>
      <c r="B151" s="2">
        <v>21</v>
      </c>
      <c r="C151" s="2">
        <v>1</v>
      </c>
      <c r="D151" s="6" t="s">
        <v>1</v>
      </c>
      <c r="E151" s="13">
        <v>600</v>
      </c>
      <c r="F151" s="16">
        <v>11640000</v>
      </c>
      <c r="G151" s="17">
        <f t="shared" si="10"/>
        <v>19400</v>
      </c>
      <c r="H151" s="4"/>
      <c r="J151" s="20">
        <f t="shared" si="11"/>
        <v>10990000</v>
      </c>
      <c r="K151" s="30">
        <f t="shared" si="12"/>
        <v>9812499.9999999981</v>
      </c>
      <c r="L151" s="21">
        <f t="shared" si="13"/>
        <v>16354.166666666664</v>
      </c>
      <c r="N151" s="20">
        <f t="shared" si="14"/>
        <v>981249.99999999988</v>
      </c>
    </row>
    <row r="152" spans="1:14" x14ac:dyDescent="0.2">
      <c r="A152" s="5">
        <v>149</v>
      </c>
      <c r="B152" s="2">
        <v>21</v>
      </c>
      <c r="C152" s="2">
        <v>2</v>
      </c>
      <c r="D152" s="6" t="s">
        <v>1</v>
      </c>
      <c r="E152" s="13">
        <v>550</v>
      </c>
      <c r="F152" s="16">
        <v>9980000</v>
      </c>
      <c r="G152" s="17">
        <f t="shared" si="10"/>
        <v>18145.454545454544</v>
      </c>
      <c r="H152" s="4"/>
      <c r="J152" s="20">
        <f t="shared" si="11"/>
        <v>9330000</v>
      </c>
      <c r="K152" s="30">
        <f t="shared" si="12"/>
        <v>8330357.1428571418</v>
      </c>
      <c r="L152" s="21">
        <f t="shared" si="13"/>
        <v>15146.103896103894</v>
      </c>
      <c r="N152" s="20">
        <f t="shared" si="14"/>
        <v>833035.7142857142</v>
      </c>
    </row>
    <row r="153" spans="1:14" x14ac:dyDescent="0.2">
      <c r="A153" s="5">
        <v>150</v>
      </c>
      <c r="B153" s="2">
        <v>21</v>
      </c>
      <c r="C153" s="2">
        <v>3</v>
      </c>
      <c r="D153" s="6" t="s">
        <v>1</v>
      </c>
      <c r="E153" s="13">
        <v>550</v>
      </c>
      <c r="F153" s="16">
        <v>9980000</v>
      </c>
      <c r="G153" s="17">
        <f t="shared" si="10"/>
        <v>18145.454545454544</v>
      </c>
      <c r="H153" s="4"/>
      <c r="J153" s="20">
        <f t="shared" si="11"/>
        <v>9330000</v>
      </c>
      <c r="K153" s="30">
        <f t="shared" si="12"/>
        <v>8330357.1428571418</v>
      </c>
      <c r="L153" s="21">
        <f t="shared" si="13"/>
        <v>15146.103896103894</v>
      </c>
      <c r="N153" s="20">
        <f t="shared" si="14"/>
        <v>833035.7142857142</v>
      </c>
    </row>
    <row r="154" spans="1:14" x14ac:dyDescent="0.2">
      <c r="A154" s="5">
        <v>151</v>
      </c>
      <c r="B154" s="2">
        <v>21</v>
      </c>
      <c r="C154" s="2">
        <v>5</v>
      </c>
      <c r="D154" s="6" t="s">
        <v>1</v>
      </c>
      <c r="E154" s="13">
        <v>601</v>
      </c>
      <c r="F154" s="16">
        <v>10430000</v>
      </c>
      <c r="G154" s="17">
        <f t="shared" si="10"/>
        <v>17354.40931780366</v>
      </c>
      <c r="H154" s="4"/>
      <c r="J154" s="20">
        <f t="shared" si="11"/>
        <v>9780000</v>
      </c>
      <c r="K154" s="30">
        <f t="shared" si="12"/>
        <v>8732142.8571428563</v>
      </c>
      <c r="L154" s="21">
        <f t="shared" si="13"/>
        <v>14529.35583551224</v>
      </c>
      <c r="N154" s="20">
        <f t="shared" si="14"/>
        <v>873214.28571428568</v>
      </c>
    </row>
    <row r="155" spans="1:14" x14ac:dyDescent="0.2">
      <c r="A155" s="5">
        <v>152</v>
      </c>
      <c r="B155" s="2">
        <v>23</v>
      </c>
      <c r="C155" s="2">
        <v>1</v>
      </c>
      <c r="D155" s="6" t="s">
        <v>1</v>
      </c>
      <c r="E155" s="13">
        <v>529</v>
      </c>
      <c r="F155" s="16">
        <v>8890000</v>
      </c>
      <c r="G155" s="17">
        <f t="shared" si="10"/>
        <v>16805.293005671079</v>
      </c>
      <c r="H155" s="4"/>
      <c r="J155" s="20">
        <f t="shared" si="11"/>
        <v>8240000</v>
      </c>
      <c r="K155" s="30">
        <f t="shared" si="12"/>
        <v>7357142.8571428563</v>
      </c>
      <c r="L155" s="21">
        <f t="shared" si="13"/>
        <v>13907.642452065891</v>
      </c>
      <c r="N155" s="20">
        <f t="shared" si="14"/>
        <v>735714.28571428568</v>
      </c>
    </row>
    <row r="156" spans="1:14" x14ac:dyDescent="0.2">
      <c r="A156" s="5">
        <v>153</v>
      </c>
      <c r="B156" s="2">
        <v>23</v>
      </c>
      <c r="C156" s="2">
        <v>2</v>
      </c>
      <c r="D156" s="6" t="s">
        <v>1</v>
      </c>
      <c r="E156" s="13">
        <v>595</v>
      </c>
      <c r="F156" s="16">
        <v>9910000</v>
      </c>
      <c r="G156" s="17">
        <f t="shared" si="10"/>
        <v>16655.462184873948</v>
      </c>
      <c r="H156" s="4"/>
      <c r="J156" s="20">
        <f t="shared" si="11"/>
        <v>9260000</v>
      </c>
      <c r="K156" s="30">
        <f t="shared" si="12"/>
        <v>8267857.1428571418</v>
      </c>
      <c r="L156" s="21">
        <f t="shared" si="13"/>
        <v>13895.558223289314</v>
      </c>
      <c r="N156" s="20">
        <f t="shared" si="14"/>
        <v>826785.7142857142</v>
      </c>
    </row>
    <row r="157" spans="1:14" x14ac:dyDescent="0.2">
      <c r="A157" s="5">
        <v>154</v>
      </c>
      <c r="B157" s="2">
        <v>23</v>
      </c>
      <c r="C157" s="2">
        <v>3</v>
      </c>
      <c r="D157" s="6" t="s">
        <v>1</v>
      </c>
      <c r="E157" s="13">
        <v>600</v>
      </c>
      <c r="F157" s="16">
        <v>10380000</v>
      </c>
      <c r="G157" s="17">
        <f t="shared" si="10"/>
        <v>17300</v>
      </c>
      <c r="H157" s="4"/>
      <c r="J157" s="20">
        <f t="shared" si="11"/>
        <v>9730000</v>
      </c>
      <c r="K157" s="30">
        <f t="shared" si="12"/>
        <v>8687500</v>
      </c>
      <c r="L157" s="21">
        <f t="shared" si="13"/>
        <v>14479.166666666666</v>
      </c>
      <c r="N157" s="20">
        <f t="shared" si="14"/>
        <v>868750</v>
      </c>
    </row>
    <row r="158" spans="1:14" x14ac:dyDescent="0.2">
      <c r="A158" s="5">
        <v>155</v>
      </c>
      <c r="B158" s="2">
        <v>23</v>
      </c>
      <c r="C158" s="2">
        <v>5</v>
      </c>
      <c r="D158" s="6" t="s">
        <v>1</v>
      </c>
      <c r="E158" s="13">
        <v>600</v>
      </c>
      <c r="F158" s="16">
        <v>10380000</v>
      </c>
      <c r="G158" s="17">
        <f t="shared" si="10"/>
        <v>17300</v>
      </c>
      <c r="H158" s="4"/>
      <c r="J158" s="20">
        <f t="shared" si="11"/>
        <v>9730000</v>
      </c>
      <c r="K158" s="30">
        <f t="shared" si="12"/>
        <v>8687500</v>
      </c>
      <c r="L158" s="21">
        <f t="shared" si="13"/>
        <v>14479.166666666666</v>
      </c>
      <c r="N158" s="20">
        <f t="shared" si="14"/>
        <v>868750</v>
      </c>
    </row>
    <row r="159" spans="1:14" x14ac:dyDescent="0.2">
      <c r="A159" s="5">
        <v>156</v>
      </c>
      <c r="B159" s="2">
        <v>23</v>
      </c>
      <c r="C159" s="2">
        <v>6</v>
      </c>
      <c r="D159" s="6" t="s">
        <v>1</v>
      </c>
      <c r="E159" s="13">
        <v>600</v>
      </c>
      <c r="F159" s="16">
        <v>10380000</v>
      </c>
      <c r="G159" s="17">
        <f t="shared" si="10"/>
        <v>17300</v>
      </c>
      <c r="H159" s="4"/>
      <c r="J159" s="20">
        <f t="shared" si="11"/>
        <v>9730000</v>
      </c>
      <c r="K159" s="30">
        <f t="shared" si="12"/>
        <v>8687500</v>
      </c>
      <c r="L159" s="21">
        <f t="shared" si="13"/>
        <v>14479.166666666666</v>
      </c>
      <c r="N159" s="20">
        <f t="shared" si="14"/>
        <v>868750</v>
      </c>
    </row>
    <row r="160" spans="1:14" x14ac:dyDescent="0.2">
      <c r="A160" s="5">
        <v>157</v>
      </c>
      <c r="B160" s="2">
        <v>23</v>
      </c>
      <c r="C160" s="2">
        <v>7</v>
      </c>
      <c r="D160" s="6" t="s">
        <v>1</v>
      </c>
      <c r="E160" s="13">
        <v>600</v>
      </c>
      <c r="F160" s="16">
        <v>11160000</v>
      </c>
      <c r="G160" s="17">
        <f t="shared" si="10"/>
        <v>18600</v>
      </c>
      <c r="H160" s="4"/>
      <c r="J160" s="20">
        <f t="shared" si="11"/>
        <v>10510000</v>
      </c>
      <c r="K160" s="30">
        <f t="shared" si="12"/>
        <v>9383928.5714285709</v>
      </c>
      <c r="L160" s="21">
        <f t="shared" si="13"/>
        <v>15639.880952380952</v>
      </c>
      <c r="N160" s="20">
        <f t="shared" si="14"/>
        <v>938392.85714285716</v>
      </c>
    </row>
    <row r="161" spans="1:14" x14ac:dyDescent="0.2">
      <c r="A161" s="5">
        <v>158</v>
      </c>
      <c r="B161" s="2">
        <v>23</v>
      </c>
      <c r="C161" s="2">
        <v>8</v>
      </c>
      <c r="D161" s="6" t="s">
        <v>1</v>
      </c>
      <c r="E161" s="13">
        <v>600</v>
      </c>
      <c r="F161" s="16">
        <v>10930000</v>
      </c>
      <c r="G161" s="17">
        <f t="shared" si="10"/>
        <v>18216.666666666668</v>
      </c>
      <c r="H161" s="4"/>
      <c r="J161" s="20">
        <f t="shared" si="11"/>
        <v>10280000</v>
      </c>
      <c r="K161" s="30">
        <f t="shared" si="12"/>
        <v>9178571.4285714272</v>
      </c>
      <c r="L161" s="21">
        <f t="shared" si="13"/>
        <v>15297.619047619046</v>
      </c>
      <c r="N161" s="20">
        <f t="shared" si="14"/>
        <v>917857.14285714272</v>
      </c>
    </row>
    <row r="162" spans="1:14" x14ac:dyDescent="0.2">
      <c r="A162" s="5">
        <v>159</v>
      </c>
      <c r="B162" s="2">
        <v>23</v>
      </c>
      <c r="C162" s="2">
        <v>9</v>
      </c>
      <c r="D162" s="6" t="s">
        <v>1</v>
      </c>
      <c r="E162" s="13">
        <v>450</v>
      </c>
      <c r="F162" s="16">
        <v>7660000</v>
      </c>
      <c r="G162" s="17">
        <f t="shared" si="10"/>
        <v>17022.222222222223</v>
      </c>
      <c r="H162" s="4"/>
      <c r="J162" s="20">
        <f t="shared" si="11"/>
        <v>7010000</v>
      </c>
      <c r="K162" s="30">
        <f t="shared" si="12"/>
        <v>6258928.5714285709</v>
      </c>
      <c r="L162" s="21">
        <f t="shared" si="13"/>
        <v>13908.730158730157</v>
      </c>
      <c r="N162" s="20">
        <f t="shared" si="14"/>
        <v>625892.85714285716</v>
      </c>
    </row>
    <row r="163" spans="1:14" x14ac:dyDescent="0.2">
      <c r="A163" s="5">
        <v>160</v>
      </c>
      <c r="B163" s="2">
        <v>23</v>
      </c>
      <c r="C163" s="2">
        <v>10</v>
      </c>
      <c r="D163" s="6" t="s">
        <v>1</v>
      </c>
      <c r="E163" s="13">
        <v>450</v>
      </c>
      <c r="F163" s="16">
        <v>7660000</v>
      </c>
      <c r="G163" s="17">
        <f t="shared" si="10"/>
        <v>17022.222222222223</v>
      </c>
      <c r="H163" s="4"/>
      <c r="J163" s="20">
        <f t="shared" si="11"/>
        <v>7010000</v>
      </c>
      <c r="K163" s="30">
        <f t="shared" si="12"/>
        <v>6258928.5714285709</v>
      </c>
      <c r="L163" s="21">
        <f t="shared" si="13"/>
        <v>13908.730158730157</v>
      </c>
      <c r="N163" s="20">
        <f t="shared" si="14"/>
        <v>625892.85714285716</v>
      </c>
    </row>
    <row r="164" spans="1:14" x14ac:dyDescent="0.2">
      <c r="A164" s="5">
        <v>161</v>
      </c>
      <c r="B164" s="2">
        <v>23</v>
      </c>
      <c r="C164" s="2">
        <v>11</v>
      </c>
      <c r="D164" s="6" t="s">
        <v>1</v>
      </c>
      <c r="E164" s="13">
        <v>450</v>
      </c>
      <c r="F164" s="16">
        <v>7660000</v>
      </c>
      <c r="G164" s="17">
        <f t="shared" si="10"/>
        <v>17022.222222222223</v>
      </c>
      <c r="H164" s="4"/>
      <c r="J164" s="20">
        <f t="shared" si="11"/>
        <v>7010000</v>
      </c>
      <c r="K164" s="30">
        <f t="shared" si="12"/>
        <v>6258928.5714285709</v>
      </c>
      <c r="L164" s="21">
        <f t="shared" si="13"/>
        <v>13908.730158730157</v>
      </c>
      <c r="N164" s="20">
        <f t="shared" si="14"/>
        <v>625892.85714285716</v>
      </c>
    </row>
    <row r="165" spans="1:14" x14ac:dyDescent="0.2">
      <c r="A165" s="5">
        <v>162</v>
      </c>
      <c r="B165" s="2">
        <v>23</v>
      </c>
      <c r="C165" s="2">
        <v>12</v>
      </c>
      <c r="D165" s="6" t="s">
        <v>1</v>
      </c>
      <c r="E165" s="13">
        <v>450</v>
      </c>
      <c r="F165" s="16">
        <v>7660000</v>
      </c>
      <c r="G165" s="17">
        <f t="shared" si="10"/>
        <v>17022.222222222223</v>
      </c>
      <c r="H165" s="4"/>
      <c r="J165" s="20">
        <f t="shared" si="11"/>
        <v>7010000</v>
      </c>
      <c r="K165" s="30">
        <f t="shared" si="12"/>
        <v>6258928.5714285709</v>
      </c>
      <c r="L165" s="21">
        <f t="shared" si="13"/>
        <v>13908.730158730157</v>
      </c>
      <c r="N165" s="20">
        <f t="shared" si="14"/>
        <v>625892.85714285716</v>
      </c>
    </row>
    <row r="166" spans="1:14" x14ac:dyDescent="0.2">
      <c r="A166" s="5">
        <v>163</v>
      </c>
      <c r="B166" s="2">
        <v>23</v>
      </c>
      <c r="C166" s="2">
        <v>15</v>
      </c>
      <c r="D166" s="6" t="s">
        <v>1</v>
      </c>
      <c r="E166" s="13">
        <v>480</v>
      </c>
      <c r="F166" s="16">
        <v>8750000</v>
      </c>
      <c r="G166" s="17">
        <f t="shared" si="10"/>
        <v>18229.166666666668</v>
      </c>
      <c r="H166" s="4"/>
      <c r="J166" s="20">
        <f t="shared" si="11"/>
        <v>8100000</v>
      </c>
      <c r="K166" s="30">
        <f t="shared" si="12"/>
        <v>7232142.8571428563</v>
      </c>
      <c r="L166" s="21">
        <f t="shared" si="13"/>
        <v>15066.964285714284</v>
      </c>
      <c r="N166" s="20">
        <f t="shared" si="14"/>
        <v>723214.28571428568</v>
      </c>
    </row>
    <row r="167" spans="1:14" x14ac:dyDescent="0.2">
      <c r="A167" s="5">
        <v>164</v>
      </c>
      <c r="B167" s="2">
        <v>23</v>
      </c>
      <c r="C167" s="2">
        <v>16</v>
      </c>
      <c r="D167" s="6" t="s">
        <v>1</v>
      </c>
      <c r="E167" s="13">
        <v>570</v>
      </c>
      <c r="F167" s="16">
        <v>9160000</v>
      </c>
      <c r="G167" s="17">
        <f t="shared" si="10"/>
        <v>16070.17543859649</v>
      </c>
      <c r="H167" s="4"/>
      <c r="J167" s="20">
        <f t="shared" si="11"/>
        <v>8510000</v>
      </c>
      <c r="K167" s="30">
        <f t="shared" si="12"/>
        <v>7598214.2857142854</v>
      </c>
      <c r="L167" s="21">
        <f t="shared" si="13"/>
        <v>13330.200501253132</v>
      </c>
      <c r="N167" s="20">
        <f t="shared" si="14"/>
        <v>759821.42857142864</v>
      </c>
    </row>
    <row r="168" spans="1:14" x14ac:dyDescent="0.2">
      <c r="A168" s="5">
        <v>165</v>
      </c>
      <c r="B168" s="2">
        <v>23</v>
      </c>
      <c r="C168" s="2">
        <v>17</v>
      </c>
      <c r="D168" s="6" t="s">
        <v>1</v>
      </c>
      <c r="E168" s="13">
        <v>600</v>
      </c>
      <c r="F168" s="16">
        <v>10380000</v>
      </c>
      <c r="G168" s="17">
        <f t="shared" si="10"/>
        <v>17300</v>
      </c>
      <c r="H168" s="4"/>
      <c r="J168" s="20">
        <f t="shared" si="11"/>
        <v>9730000</v>
      </c>
      <c r="K168" s="30">
        <f t="shared" si="12"/>
        <v>8687500</v>
      </c>
      <c r="L168" s="21">
        <f t="shared" si="13"/>
        <v>14479.166666666666</v>
      </c>
      <c r="N168" s="20">
        <f t="shared" si="14"/>
        <v>868750</v>
      </c>
    </row>
    <row r="169" spans="1:14" x14ac:dyDescent="0.2">
      <c r="A169" s="5">
        <v>166</v>
      </c>
      <c r="B169" s="2">
        <v>25</v>
      </c>
      <c r="C169" s="2">
        <v>1</v>
      </c>
      <c r="D169" s="6" t="s">
        <v>1</v>
      </c>
      <c r="E169" s="13">
        <v>600</v>
      </c>
      <c r="F169" s="16">
        <v>10380000</v>
      </c>
      <c r="G169" s="17">
        <f t="shared" si="10"/>
        <v>17300</v>
      </c>
      <c r="H169" s="4"/>
      <c r="J169" s="20">
        <f t="shared" si="11"/>
        <v>9730000</v>
      </c>
      <c r="K169" s="30">
        <f t="shared" si="12"/>
        <v>8687500</v>
      </c>
      <c r="L169" s="21">
        <f t="shared" si="13"/>
        <v>14479.166666666666</v>
      </c>
      <c r="N169" s="20">
        <f t="shared" si="14"/>
        <v>868750</v>
      </c>
    </row>
    <row r="170" spans="1:14" x14ac:dyDescent="0.2">
      <c r="A170" s="5">
        <v>167</v>
      </c>
      <c r="B170" s="2">
        <v>25</v>
      </c>
      <c r="C170" s="2">
        <v>2</v>
      </c>
      <c r="D170" s="6" t="s">
        <v>1</v>
      </c>
      <c r="E170" s="13">
        <v>545</v>
      </c>
      <c r="F170" s="16">
        <v>8430000</v>
      </c>
      <c r="G170" s="17">
        <f t="shared" si="10"/>
        <v>15467.889908256881</v>
      </c>
      <c r="H170" s="4"/>
      <c r="J170" s="20">
        <f t="shared" si="11"/>
        <v>7780000</v>
      </c>
      <c r="K170" s="30">
        <f t="shared" si="12"/>
        <v>6946428.5714285709</v>
      </c>
      <c r="L170" s="21">
        <f t="shared" si="13"/>
        <v>12745.740498034074</v>
      </c>
      <c r="N170" s="20">
        <f t="shared" si="14"/>
        <v>694642.85714285716</v>
      </c>
    </row>
    <row r="171" spans="1:14" x14ac:dyDescent="0.2">
      <c r="A171" s="5">
        <v>168</v>
      </c>
      <c r="B171" s="2">
        <v>25</v>
      </c>
      <c r="C171" s="2">
        <v>3</v>
      </c>
      <c r="D171" s="6" t="s">
        <v>1</v>
      </c>
      <c r="E171" s="13">
        <v>540</v>
      </c>
      <c r="F171" s="16">
        <v>8360000</v>
      </c>
      <c r="G171" s="17">
        <f t="shared" si="10"/>
        <v>15481.481481481482</v>
      </c>
      <c r="H171" s="4"/>
      <c r="J171" s="20">
        <f t="shared" si="11"/>
        <v>7710000</v>
      </c>
      <c r="K171" s="30">
        <f t="shared" si="12"/>
        <v>6883928.5714285709</v>
      </c>
      <c r="L171" s="21">
        <f t="shared" si="13"/>
        <v>12748.015873015873</v>
      </c>
      <c r="N171" s="20">
        <f t="shared" si="14"/>
        <v>688392.85714285716</v>
      </c>
    </row>
    <row r="172" spans="1:14" x14ac:dyDescent="0.2">
      <c r="A172" s="5">
        <v>169</v>
      </c>
      <c r="B172" s="2">
        <v>25</v>
      </c>
      <c r="C172" s="2">
        <v>5</v>
      </c>
      <c r="D172" s="6" t="s">
        <v>1</v>
      </c>
      <c r="E172" s="13">
        <v>540</v>
      </c>
      <c r="F172" s="16">
        <v>8360000</v>
      </c>
      <c r="G172" s="17">
        <f t="shared" si="10"/>
        <v>15481.481481481482</v>
      </c>
      <c r="H172" s="4"/>
      <c r="J172" s="20">
        <f t="shared" si="11"/>
        <v>7710000</v>
      </c>
      <c r="K172" s="30">
        <f t="shared" si="12"/>
        <v>6883928.5714285709</v>
      </c>
      <c r="L172" s="21">
        <f t="shared" si="13"/>
        <v>12748.015873015873</v>
      </c>
      <c r="N172" s="20">
        <f t="shared" si="14"/>
        <v>688392.85714285716</v>
      </c>
    </row>
    <row r="173" spans="1:14" x14ac:dyDescent="0.2">
      <c r="A173" s="5">
        <v>170</v>
      </c>
      <c r="B173" s="2">
        <v>25</v>
      </c>
      <c r="C173" s="2">
        <v>6</v>
      </c>
      <c r="D173" s="6" t="s">
        <v>1</v>
      </c>
      <c r="E173" s="13">
        <v>520</v>
      </c>
      <c r="F173" s="16">
        <v>8410000</v>
      </c>
      <c r="G173" s="17">
        <f t="shared" si="10"/>
        <v>16173.076923076924</v>
      </c>
      <c r="H173" s="4"/>
      <c r="J173" s="20">
        <f t="shared" si="11"/>
        <v>7760000</v>
      </c>
      <c r="K173" s="30">
        <f t="shared" si="12"/>
        <v>6928571.4285714282</v>
      </c>
      <c r="L173" s="21">
        <f t="shared" si="13"/>
        <v>13324.175824175823</v>
      </c>
      <c r="N173" s="20">
        <f t="shared" si="14"/>
        <v>692857.14285714284</v>
      </c>
    </row>
    <row r="174" spans="1:14" x14ac:dyDescent="0.2">
      <c r="A174" s="5">
        <v>171</v>
      </c>
      <c r="B174" s="2">
        <v>26</v>
      </c>
      <c r="C174" s="2">
        <v>1</v>
      </c>
      <c r="D174" s="6" t="s">
        <v>0</v>
      </c>
      <c r="E174" s="13">
        <v>759</v>
      </c>
      <c r="F174" s="16">
        <v>8940000</v>
      </c>
      <c r="G174" s="17">
        <f t="shared" si="10"/>
        <v>11778.656126482214</v>
      </c>
      <c r="H174" s="4"/>
      <c r="J174" s="20">
        <f t="shared" si="11"/>
        <v>8290000</v>
      </c>
      <c r="K174" s="30">
        <f t="shared" si="12"/>
        <v>7401785.7142857136</v>
      </c>
      <c r="L174" s="21">
        <f t="shared" si="13"/>
        <v>9752.0233389798595</v>
      </c>
      <c r="N174" s="20">
        <f t="shared" si="14"/>
        <v>740178.57142857136</v>
      </c>
    </row>
    <row r="175" spans="1:14" x14ac:dyDescent="0.2">
      <c r="A175" s="5">
        <v>172</v>
      </c>
      <c r="B175" s="2">
        <v>26</v>
      </c>
      <c r="C175" s="2">
        <v>2</v>
      </c>
      <c r="D175" s="6" t="s">
        <v>0</v>
      </c>
      <c r="E175" s="13">
        <v>739</v>
      </c>
      <c r="F175" s="16">
        <v>8720000</v>
      </c>
      <c r="G175" s="17">
        <f t="shared" si="10"/>
        <v>11799.729364005412</v>
      </c>
      <c r="H175" s="4"/>
      <c r="J175" s="20">
        <f t="shared" si="11"/>
        <v>8070000</v>
      </c>
      <c r="K175" s="30">
        <f t="shared" si="12"/>
        <v>7205357.1428571418</v>
      </c>
      <c r="L175" s="21">
        <f t="shared" si="13"/>
        <v>9750.1449835685271</v>
      </c>
      <c r="N175" s="20">
        <f t="shared" si="14"/>
        <v>720535.7142857142</v>
      </c>
    </row>
    <row r="176" spans="1:14" x14ac:dyDescent="0.2">
      <c r="A176" s="5">
        <v>173</v>
      </c>
      <c r="B176" s="2">
        <v>27</v>
      </c>
      <c r="C176" s="2">
        <v>1</v>
      </c>
      <c r="D176" s="6" t="s">
        <v>0</v>
      </c>
      <c r="E176" s="13">
        <v>1000</v>
      </c>
      <c r="F176" s="16">
        <v>12970000</v>
      </c>
      <c r="G176" s="17">
        <f t="shared" si="10"/>
        <v>12970</v>
      </c>
      <c r="H176" s="4"/>
      <c r="J176" s="20">
        <f t="shared" si="11"/>
        <v>12320000</v>
      </c>
      <c r="K176" s="30">
        <f t="shared" si="12"/>
        <v>10999999.999999998</v>
      </c>
      <c r="L176" s="21">
        <f t="shared" si="13"/>
        <v>10999.999999999998</v>
      </c>
      <c r="N176" s="20">
        <f t="shared" si="14"/>
        <v>1099999.9999999998</v>
      </c>
    </row>
    <row r="177" spans="1:15" x14ac:dyDescent="0.2">
      <c r="A177" s="5">
        <v>174</v>
      </c>
      <c r="B177" s="2">
        <v>27</v>
      </c>
      <c r="C177" s="2">
        <v>2</v>
      </c>
      <c r="D177" s="6" t="s">
        <v>0</v>
      </c>
      <c r="E177" s="13">
        <v>1000</v>
      </c>
      <c r="F177" s="16">
        <v>12230000</v>
      </c>
      <c r="G177" s="17">
        <f t="shared" si="10"/>
        <v>12230</v>
      </c>
      <c r="H177" s="4"/>
      <c r="J177" s="20">
        <f t="shared" si="11"/>
        <v>11580000</v>
      </c>
      <c r="K177" s="30">
        <f t="shared" si="12"/>
        <v>10339285.714285713</v>
      </c>
      <c r="L177" s="21">
        <f t="shared" si="13"/>
        <v>10339.285714285712</v>
      </c>
      <c r="N177" s="20">
        <f t="shared" si="14"/>
        <v>1033928.5714285714</v>
      </c>
    </row>
    <row r="178" spans="1:15" x14ac:dyDescent="0.2">
      <c r="A178" s="5">
        <v>175</v>
      </c>
      <c r="B178" s="2">
        <v>27</v>
      </c>
      <c r="C178" s="2">
        <v>3</v>
      </c>
      <c r="D178" s="6" t="s">
        <v>0</v>
      </c>
      <c r="E178" s="13">
        <v>1000</v>
      </c>
      <c r="F178" s="16">
        <v>12230000</v>
      </c>
      <c r="G178" s="17">
        <f t="shared" si="10"/>
        <v>12230</v>
      </c>
      <c r="H178" s="4"/>
      <c r="J178" s="20">
        <f t="shared" si="11"/>
        <v>11580000</v>
      </c>
      <c r="K178" s="30">
        <f t="shared" si="12"/>
        <v>10339285.714285713</v>
      </c>
      <c r="L178" s="21">
        <f t="shared" si="13"/>
        <v>10339.285714285712</v>
      </c>
      <c r="N178" s="20">
        <f t="shared" si="14"/>
        <v>1033928.5714285714</v>
      </c>
    </row>
    <row r="179" spans="1:15" x14ac:dyDescent="0.2">
      <c r="A179" s="5">
        <v>176</v>
      </c>
      <c r="B179" s="2">
        <v>27</v>
      </c>
      <c r="C179" s="2">
        <v>5</v>
      </c>
      <c r="D179" s="6" t="s">
        <v>0</v>
      </c>
      <c r="E179" s="13">
        <v>854</v>
      </c>
      <c r="F179" s="16">
        <v>11180000</v>
      </c>
      <c r="G179" s="17">
        <f t="shared" si="10"/>
        <v>13091.334894613583</v>
      </c>
      <c r="H179" s="4"/>
      <c r="J179" s="20">
        <f t="shared" si="11"/>
        <v>10530000</v>
      </c>
      <c r="K179" s="30">
        <f t="shared" si="12"/>
        <v>9401785.7142857127</v>
      </c>
      <c r="L179" s="21">
        <f t="shared" si="13"/>
        <v>11009.116761458679</v>
      </c>
      <c r="N179" s="20">
        <f t="shared" si="14"/>
        <v>940178.57142857136</v>
      </c>
    </row>
    <row r="180" spans="1:15" x14ac:dyDescent="0.2">
      <c r="A180" s="5">
        <v>177</v>
      </c>
      <c r="B180" s="2">
        <v>27</v>
      </c>
      <c r="C180" s="2">
        <v>6</v>
      </c>
      <c r="D180" s="6" t="s">
        <v>0</v>
      </c>
      <c r="E180" s="13">
        <v>754</v>
      </c>
      <c r="F180" s="16">
        <v>9940000</v>
      </c>
      <c r="G180" s="17">
        <f t="shared" si="10"/>
        <v>13183.023872679045</v>
      </c>
      <c r="H180" s="4"/>
      <c r="J180" s="20">
        <f t="shared" si="11"/>
        <v>9290000</v>
      </c>
      <c r="K180" s="30">
        <f t="shared" si="12"/>
        <v>8294642.8571428563</v>
      </c>
      <c r="L180" s="21">
        <f t="shared" si="13"/>
        <v>11000.85259568018</v>
      </c>
      <c r="N180" s="20">
        <f t="shared" si="14"/>
        <v>829464.28571428568</v>
      </c>
    </row>
    <row r="181" spans="1:15" x14ac:dyDescent="0.2">
      <c r="A181" s="5">
        <v>178</v>
      </c>
      <c r="B181" s="2">
        <v>27</v>
      </c>
      <c r="C181" s="2">
        <v>7</v>
      </c>
      <c r="D181" s="6" t="s">
        <v>0</v>
      </c>
      <c r="E181" s="13">
        <v>758</v>
      </c>
      <c r="F181" s="16">
        <v>9990000</v>
      </c>
      <c r="G181" s="17">
        <f t="shared" si="10"/>
        <v>13179.419525065963</v>
      </c>
      <c r="H181" s="4" t="s">
        <v>2</v>
      </c>
      <c r="J181" s="20">
        <f t="shared" si="11"/>
        <v>9340000</v>
      </c>
      <c r="K181" s="30">
        <f t="shared" si="12"/>
        <v>8339285.7142857136</v>
      </c>
      <c r="L181" s="21">
        <f t="shared" si="13"/>
        <v>11001.696192989068</v>
      </c>
      <c r="N181" s="20">
        <f t="shared" si="14"/>
        <v>833928.57142857136</v>
      </c>
    </row>
    <row r="182" spans="1:15" x14ac:dyDescent="0.2">
      <c r="A182" s="5">
        <v>179</v>
      </c>
      <c r="B182" s="2">
        <v>27</v>
      </c>
      <c r="C182" s="2">
        <v>8</v>
      </c>
      <c r="D182" s="6" t="s">
        <v>0</v>
      </c>
      <c r="E182" s="13">
        <v>850</v>
      </c>
      <c r="F182" s="16">
        <v>11380000</v>
      </c>
      <c r="G182" s="17">
        <f t="shared" si="10"/>
        <v>13388.235294117647</v>
      </c>
      <c r="H182" s="4" t="s">
        <v>2</v>
      </c>
      <c r="J182" s="20">
        <f t="shared" si="11"/>
        <v>10730000</v>
      </c>
      <c r="K182" s="30">
        <f t="shared" si="12"/>
        <v>9580357.1428571418</v>
      </c>
      <c r="L182" s="21">
        <f t="shared" si="13"/>
        <v>11271.008403361344</v>
      </c>
      <c r="N182" s="20">
        <f t="shared" si="14"/>
        <v>958035.7142857142</v>
      </c>
    </row>
    <row r="183" spans="1:15" x14ac:dyDescent="0.2">
      <c r="A183" s="5">
        <v>180</v>
      </c>
      <c r="B183" s="2">
        <v>27</v>
      </c>
      <c r="C183" s="2">
        <v>9</v>
      </c>
      <c r="D183" s="6" t="s">
        <v>0</v>
      </c>
      <c r="E183" s="13">
        <v>875</v>
      </c>
      <c r="F183" s="16">
        <v>10450000</v>
      </c>
      <c r="G183" s="17">
        <f t="shared" si="10"/>
        <v>11942.857142857143</v>
      </c>
      <c r="H183" s="4" t="s">
        <v>2</v>
      </c>
      <c r="J183" s="20">
        <f t="shared" si="11"/>
        <v>9800000</v>
      </c>
      <c r="K183" s="30">
        <f t="shared" si="12"/>
        <v>8750000</v>
      </c>
      <c r="L183" s="21">
        <f t="shared" si="13"/>
        <v>10000</v>
      </c>
      <c r="N183" s="20">
        <f t="shared" si="14"/>
        <v>875000</v>
      </c>
    </row>
    <row r="184" spans="1:15" x14ac:dyDescent="0.2">
      <c r="A184" s="5">
        <v>181</v>
      </c>
      <c r="B184" s="2">
        <v>27</v>
      </c>
      <c r="C184" s="2">
        <v>10</v>
      </c>
      <c r="D184" s="6" t="s">
        <v>0</v>
      </c>
      <c r="E184" s="13">
        <v>880</v>
      </c>
      <c r="F184" s="16">
        <v>10510000</v>
      </c>
      <c r="G184" s="17">
        <f t="shared" si="10"/>
        <v>11943.181818181818</v>
      </c>
      <c r="H184" s="4" t="s">
        <v>2</v>
      </c>
      <c r="J184" s="20">
        <f t="shared" si="11"/>
        <v>9860000</v>
      </c>
      <c r="K184" s="30">
        <f t="shared" si="12"/>
        <v>8803571.4285714272</v>
      </c>
      <c r="L184" s="21">
        <f t="shared" si="13"/>
        <v>10004.05844155844</v>
      </c>
      <c r="N184" s="20">
        <f t="shared" si="14"/>
        <v>880357.14285714272</v>
      </c>
    </row>
    <row r="185" spans="1:15" x14ac:dyDescent="0.2">
      <c r="A185" s="5">
        <v>182</v>
      </c>
      <c r="B185" s="2">
        <v>27</v>
      </c>
      <c r="C185" s="2">
        <v>11</v>
      </c>
      <c r="D185" s="6" t="s">
        <v>0</v>
      </c>
      <c r="E185" s="13">
        <v>1000</v>
      </c>
      <c r="F185" s="16">
        <v>12600000</v>
      </c>
      <c r="G185" s="17">
        <f t="shared" si="10"/>
        <v>12600</v>
      </c>
      <c r="H185" s="4" t="s">
        <v>2</v>
      </c>
      <c r="J185" s="20">
        <f t="shared" si="11"/>
        <v>11950000</v>
      </c>
      <c r="K185" s="30">
        <f t="shared" si="12"/>
        <v>10669642.857142856</v>
      </c>
      <c r="L185" s="21">
        <f t="shared" si="13"/>
        <v>10669.642857142857</v>
      </c>
      <c r="N185" s="20">
        <f t="shared" si="14"/>
        <v>1066964.2857142857</v>
      </c>
    </row>
    <row r="186" spans="1:15" x14ac:dyDescent="0.2">
      <c r="A186" s="5">
        <v>183</v>
      </c>
      <c r="B186" s="2">
        <v>27</v>
      </c>
      <c r="C186" s="2">
        <v>12</v>
      </c>
      <c r="D186" s="6" t="s">
        <v>0</v>
      </c>
      <c r="E186" s="13">
        <v>999</v>
      </c>
      <c r="F186" s="16">
        <v>14830000</v>
      </c>
      <c r="G186" s="17">
        <f t="shared" si="10"/>
        <v>14844.844844844845</v>
      </c>
      <c r="H186" s="4" t="s">
        <v>2</v>
      </c>
      <c r="J186" s="20">
        <f t="shared" si="11"/>
        <v>14180000</v>
      </c>
      <c r="K186" s="30">
        <f t="shared" si="12"/>
        <v>12660714.285714284</v>
      </c>
      <c r="L186" s="21">
        <f t="shared" si="13"/>
        <v>12673.387673387671</v>
      </c>
      <c r="N186" s="20">
        <f t="shared" si="14"/>
        <v>1266071.4285714284</v>
      </c>
    </row>
    <row r="187" spans="1:15" x14ac:dyDescent="0.2">
      <c r="A187" s="5">
        <v>184</v>
      </c>
      <c r="B187" s="2">
        <v>27</v>
      </c>
      <c r="C187" s="2">
        <v>15</v>
      </c>
      <c r="D187" s="6" t="s">
        <v>0</v>
      </c>
      <c r="E187" s="13">
        <v>999</v>
      </c>
      <c r="F187" s="16">
        <v>14080000</v>
      </c>
      <c r="G187" s="17">
        <f t="shared" si="10"/>
        <v>14094.094094094095</v>
      </c>
      <c r="H187" s="4" t="s">
        <v>2</v>
      </c>
      <c r="J187" s="20">
        <f t="shared" si="11"/>
        <v>13430000</v>
      </c>
      <c r="K187" s="30">
        <f t="shared" si="12"/>
        <v>11991071.428571427</v>
      </c>
      <c r="L187" s="21">
        <f t="shared" si="13"/>
        <v>12003.074503074502</v>
      </c>
      <c r="N187" s="20">
        <f t="shared" si="14"/>
        <v>1199107.1428571427</v>
      </c>
    </row>
    <row r="188" spans="1:15" ht="16" thickBot="1" x14ac:dyDescent="0.25">
      <c r="A188" s="5">
        <v>185</v>
      </c>
      <c r="B188" s="2">
        <v>27</v>
      </c>
      <c r="C188" s="1">
        <v>16</v>
      </c>
      <c r="D188" s="6" t="s">
        <v>0</v>
      </c>
      <c r="E188" s="13">
        <v>999</v>
      </c>
      <c r="F188" s="18">
        <v>14830000</v>
      </c>
      <c r="G188" s="19">
        <f t="shared" si="10"/>
        <v>14844.844844844845</v>
      </c>
      <c r="H188" s="4" t="s">
        <v>2</v>
      </c>
      <c r="J188" s="20">
        <f t="shared" si="11"/>
        <v>14180000</v>
      </c>
      <c r="K188" s="31">
        <f t="shared" si="12"/>
        <v>12660714.285714284</v>
      </c>
      <c r="L188" s="21">
        <f t="shared" si="13"/>
        <v>12673.387673387671</v>
      </c>
      <c r="N188" s="20">
        <f t="shared" si="14"/>
        <v>1266071.4285714284</v>
      </c>
    </row>
    <row r="189" spans="1:15" x14ac:dyDescent="0.2">
      <c r="A189" t="s">
        <v>19</v>
      </c>
      <c r="F189" s="8">
        <f>+SUM(F4:F188)</f>
        <v>1982810000</v>
      </c>
      <c r="H189" s="4">
        <f>+COUNTIF(H4:H188, "HOLD")</f>
        <v>82</v>
      </c>
      <c r="K189" s="34">
        <f>+SUM(K4:K188)</f>
        <v>1662999999.9999998</v>
      </c>
      <c r="L189" s="8">
        <f>+SUM(L4:L188)</f>
        <v>2438639.2559993253</v>
      </c>
      <c r="N189" s="38">
        <f>+SUM(N4:N188)</f>
        <v>166299999.99999994</v>
      </c>
    </row>
    <row r="191" spans="1:15" x14ac:dyDescent="0.2">
      <c r="E191" s="25" t="s">
        <v>19</v>
      </c>
      <c r="F191" s="24"/>
      <c r="G191" s="24"/>
      <c r="H191" s="24"/>
      <c r="I191" s="24"/>
      <c r="J191" s="24"/>
      <c r="K191" s="24" t="s">
        <v>19</v>
      </c>
      <c r="L191" s="24" t="s">
        <v>19</v>
      </c>
      <c r="M191" s="24" t="s">
        <v>17</v>
      </c>
      <c r="N191" s="24" t="s">
        <v>20</v>
      </c>
      <c r="O191" s="24" t="s">
        <v>18</v>
      </c>
    </row>
    <row r="192" spans="1:15" x14ac:dyDescent="0.2">
      <c r="E192" s="21">
        <f t="array" ref="E192">+SUM(IF($D$4:$D$188="Orchard",$E$4:$E$188))</f>
        <v>69896</v>
      </c>
      <c r="J192" t="s">
        <v>15</v>
      </c>
      <c r="K192" s="21">
        <f t="array" ref="K192">+SUM(IF($D$4:$D$188="Orchard",$K$4:$K$188))</f>
        <v>767214285.71428609</v>
      </c>
      <c r="L192" s="21">
        <f t="array" ref="L192">+SUM(IF($D$4:$D$188="Orchard",$L$4:$L$188))</f>
        <v>810035.31295971898</v>
      </c>
      <c r="M192" s="22">
        <f>+K192/L192</f>
        <v>947.13683890030325</v>
      </c>
      <c r="N192" s="8">
        <f>+O192*M192</f>
        <v>10396258.917972172</v>
      </c>
      <c r="O192" s="21">
        <f>+K192/E192</f>
        <v>10976.512042381339</v>
      </c>
    </row>
    <row r="193" spans="5:15" x14ac:dyDescent="0.2">
      <c r="E193" s="21">
        <f t="array" ref="E193">+SUM(IF($D$4:$D$188="Garden",$E$4:$E$188))</f>
        <v>61118</v>
      </c>
      <c r="J193" t="s">
        <v>16</v>
      </c>
      <c r="K193" s="26">
        <f t="array" ref="K193">+SUM(IF($D$4:$D$188="Garden",$K$4:$K$188))</f>
        <v>895785714.28571403</v>
      </c>
      <c r="L193" s="26">
        <f t="array" ref="L193">+SUM(IF($D$4:$D$188="Garden",$L$4:$L$188))</f>
        <v>1628603.9430396061</v>
      </c>
      <c r="M193" s="27">
        <f>+K193/L193</f>
        <v>550.03287822933225</v>
      </c>
      <c r="N193" s="28">
        <f>+O193*M193</f>
        <v>8061644.6006952059</v>
      </c>
      <c r="O193" s="26">
        <f>+K193/E193</f>
        <v>14656.659483060866</v>
      </c>
    </row>
    <row r="194" spans="5:15" ht="16" thickBot="1" x14ac:dyDescent="0.25">
      <c r="E194" s="23">
        <f>+E192+E193</f>
        <v>131014</v>
      </c>
      <c r="K194" s="22">
        <f>+K192+K193</f>
        <v>1663000000</v>
      </c>
      <c r="L194" s="22">
        <f>+L192+L193</f>
        <v>2438639.2559993248</v>
      </c>
      <c r="M194" s="22">
        <f>+K194/L194</f>
        <v>681.9376813970473</v>
      </c>
      <c r="N194" s="8">
        <f>+O194*M194</f>
        <v>8656039.5390056763</v>
      </c>
      <c r="O194" s="21">
        <f>+K194/E194</f>
        <v>12693.299952676813</v>
      </c>
    </row>
    <row r="195" spans="5:15" x14ac:dyDescent="0.2">
      <c r="H195" s="48"/>
      <c r="I195" s="49"/>
      <c r="J195" s="49"/>
      <c r="K195" s="49"/>
      <c r="L195" s="40"/>
    </row>
    <row r="196" spans="5:15" x14ac:dyDescent="0.2">
      <c r="H196" s="50"/>
      <c r="L196" s="51"/>
    </row>
    <row r="197" spans="5:15" x14ac:dyDescent="0.2">
      <c r="H197" s="50"/>
      <c r="I197" t="s">
        <v>10</v>
      </c>
      <c r="L197" s="51"/>
    </row>
    <row r="198" spans="5:15" ht="16" thickBot="1" x14ac:dyDescent="0.25">
      <c r="H198" s="50"/>
      <c r="L198" s="51"/>
    </row>
    <row r="199" spans="5:15" x14ac:dyDescent="0.2">
      <c r="G199" t="s">
        <v>36</v>
      </c>
      <c r="H199" s="50"/>
      <c r="I199" t="s">
        <v>23</v>
      </c>
      <c r="K199" s="8">
        <f>+K189</f>
        <v>1662999999.9999998</v>
      </c>
      <c r="L199" s="51"/>
      <c r="N199" s="39">
        <f t="array" ref="N199">+SUM(IF($D$4:$D$188="Orchard",$N$4:$N$188))</f>
        <v>76721428.571428612</v>
      </c>
      <c r="O199" s="40" t="s">
        <v>30</v>
      </c>
    </row>
    <row r="200" spans="5:15" ht="16" thickBot="1" x14ac:dyDescent="0.25">
      <c r="H200" s="50"/>
      <c r="I200" t="s">
        <v>24</v>
      </c>
      <c r="J200" s="35">
        <v>0.1</v>
      </c>
      <c r="K200" s="20">
        <f>+K199*J200</f>
        <v>166300000</v>
      </c>
      <c r="L200" s="51"/>
      <c r="N200" s="41">
        <f t="array" ref="N200">+SUM(IF($D$4:$D$188="Garden",$N$4:$N$188))</f>
        <v>89578571.428571403</v>
      </c>
      <c r="O200" s="42" t="s">
        <v>31</v>
      </c>
    </row>
    <row r="201" spans="5:15" x14ac:dyDescent="0.2">
      <c r="H201" s="50"/>
      <c r="I201" t="s">
        <v>27</v>
      </c>
      <c r="K201" s="36">
        <f>+K199-K200</f>
        <v>1496699999.9999998</v>
      </c>
      <c r="L201" s="51"/>
      <c r="N201" s="37"/>
    </row>
    <row r="202" spans="5:15" x14ac:dyDescent="0.2">
      <c r="H202" s="50"/>
      <c r="I202" t="s">
        <v>25</v>
      </c>
      <c r="J202" s="35">
        <v>0.1</v>
      </c>
      <c r="K202" s="20">
        <f>+(K192-N199)*J202</f>
        <v>69049285.714285746</v>
      </c>
      <c r="L202" s="52"/>
      <c r="N202" s="37"/>
    </row>
    <row r="203" spans="5:15" x14ac:dyDescent="0.2">
      <c r="H203" s="50"/>
      <c r="I203" t="s">
        <v>26</v>
      </c>
      <c r="J203" s="35">
        <v>0.05</v>
      </c>
      <c r="K203" s="20">
        <f>+((K193-N200)*J203)</f>
        <v>40310357.142857134</v>
      </c>
      <c r="L203" s="52"/>
    </row>
    <row r="204" spans="5:15" x14ac:dyDescent="0.2">
      <c r="H204" s="50"/>
      <c r="I204" t="s">
        <v>28</v>
      </c>
      <c r="K204" s="36">
        <f>+K201-K202-K203</f>
        <v>1387340357.1428568</v>
      </c>
      <c r="L204" s="52"/>
    </row>
    <row r="205" spans="5:15" ht="16" thickBot="1" x14ac:dyDescent="0.25">
      <c r="H205" s="50"/>
      <c r="I205" t="s">
        <v>29</v>
      </c>
      <c r="J205" s="35">
        <v>0.02</v>
      </c>
      <c r="K205" s="20">
        <f>+K204*J205</f>
        <v>27746807.142857138</v>
      </c>
      <c r="L205" s="53"/>
    </row>
    <row r="206" spans="5:15" ht="16" thickBot="1" x14ac:dyDescent="0.25">
      <c r="G206" t="s">
        <v>37</v>
      </c>
      <c r="H206" s="50"/>
      <c r="I206" s="43" t="s">
        <v>32</v>
      </c>
      <c r="J206" s="44"/>
      <c r="K206" s="45">
        <f>+K204-K205</f>
        <v>1359593549.9999998</v>
      </c>
      <c r="L206" s="54"/>
    </row>
    <row r="207" spans="5:15" x14ac:dyDescent="0.2">
      <c r="H207" s="50"/>
      <c r="L207" s="51"/>
    </row>
    <row r="208" spans="5:15" x14ac:dyDescent="0.2">
      <c r="H208" s="50"/>
      <c r="K208">
        <f>+K206*1.12</f>
        <v>1522744775.9999998</v>
      </c>
      <c r="L208" s="51"/>
    </row>
    <row r="209" spans="8:12" x14ac:dyDescent="0.2">
      <c r="H209" s="50"/>
      <c r="K209" s="20">
        <f>+K208+(185*650000)</f>
        <v>1642994775.9999998</v>
      </c>
      <c r="L209" s="51"/>
    </row>
    <row r="210" spans="8:12" ht="16" thickBot="1" x14ac:dyDescent="0.25">
      <c r="H210" s="55"/>
      <c r="I210" s="56"/>
      <c r="J210" s="56"/>
      <c r="K210" s="57"/>
      <c r="L210" s="58"/>
    </row>
    <row r="211" spans="8:12" x14ac:dyDescent="0.2">
      <c r="K211" s="8"/>
      <c r="L211" s="8"/>
    </row>
    <row r="212" spans="8:12" x14ac:dyDescent="0.2">
      <c r="K212" s="37"/>
    </row>
    <row r="1048576" spans="14:14" x14ac:dyDescent="0.2">
      <c r="N1048576" s="21"/>
    </row>
  </sheetData>
  <mergeCells count="1">
    <mergeCell ref="F2:G2"/>
  </mergeCell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92D050"/>
    <pageSetUpPr fitToPage="1"/>
  </sheetPr>
  <dimension ref="B1:P115"/>
  <sheetViews>
    <sheetView topLeftCell="A2" zoomScaleSheetLayoutView="100" workbookViewId="0">
      <selection activeCell="J33" sqref="J33"/>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18.33203125" style="212" customWidth="1"/>
    <col min="5" max="5" width="18.5" style="212" customWidth="1"/>
    <col min="6" max="6" width="20.1640625" style="212" hidden="1" customWidth="1"/>
    <col min="7" max="7" width="17.5" style="212" hidden="1" customWidth="1"/>
    <col min="8" max="8" width="22" style="212" customWidth="1"/>
    <col min="9" max="9" width="29.1640625" style="212" customWidth="1"/>
    <col min="10" max="10" width="9.33203125" style="212" bestFit="1" customWidth="1"/>
    <col min="11" max="11" width="0" style="212" hidden="1" customWidth="1"/>
    <col min="12" max="12" width="26.1640625" style="212" hidden="1" customWidth="1"/>
    <col min="13" max="13" width="15.83203125" style="212" hidden="1" customWidth="1"/>
    <col min="14" max="14" width="0" style="212" hidden="1" customWidth="1"/>
    <col min="15"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6" x14ac:dyDescent="0.2">
      <c r="L1" s="511"/>
    </row>
    <row r="2" spans="2:16" x14ac:dyDescent="0.2">
      <c r="B2" s="425" t="s">
        <v>81</v>
      </c>
      <c r="F2" s="426"/>
      <c r="G2" s="426"/>
      <c r="H2" s="426"/>
      <c r="I2" s="512" t="s">
        <v>82</v>
      </c>
      <c r="L2" s="511"/>
    </row>
    <row r="3" spans="2:16" x14ac:dyDescent="0.2">
      <c r="B3" s="425" t="s">
        <v>171</v>
      </c>
      <c r="F3" s="427"/>
      <c r="G3" s="427"/>
      <c r="H3" s="427"/>
      <c r="I3" s="512"/>
      <c r="L3" s="511"/>
    </row>
    <row r="4" spans="2:16" x14ac:dyDescent="0.2">
      <c r="B4" s="425" t="s">
        <v>83</v>
      </c>
      <c r="P4" s="464" t="s">
        <v>84</v>
      </c>
    </row>
    <row r="5" spans="2:16" ht="16" thickBot="1" x14ac:dyDescent="0.25"/>
    <row r="6" spans="2:16" ht="33" customHeight="1" thickBot="1" x14ac:dyDescent="0.25">
      <c r="B6" s="429" t="s">
        <v>71</v>
      </c>
      <c r="C6" s="513">
        <f>INPUT!C12</f>
        <v>0</v>
      </c>
      <c r="D6" s="514"/>
    </row>
    <row r="7" spans="2:16" x14ac:dyDescent="0.2">
      <c r="B7" s="430" t="s">
        <v>85</v>
      </c>
      <c r="C7" s="515" t="str">
        <f>INPUT!C11</f>
        <v>Block 5 Lot 11</v>
      </c>
      <c r="D7" s="516"/>
      <c r="E7" s="425"/>
      <c r="L7" s="431"/>
      <c r="M7" s="431"/>
      <c r="N7" s="431"/>
    </row>
    <row r="8" spans="2:16" x14ac:dyDescent="0.2">
      <c r="B8" s="432" t="s">
        <v>6</v>
      </c>
      <c r="C8" s="517">
        <f>INPUT!C17</f>
        <v>520</v>
      </c>
      <c r="D8" s="518"/>
      <c r="L8" s="431"/>
      <c r="M8" s="431"/>
      <c r="N8" s="431"/>
    </row>
    <row r="9" spans="2:16" x14ac:dyDescent="0.2">
      <c r="B9" s="432" t="s">
        <v>77</v>
      </c>
      <c r="C9" s="519">
        <f>IF(INPUT!C22&lt;=10%,INPUT!C18,"INVALID DISCOUNT")</f>
        <v>9574000</v>
      </c>
      <c r="D9" s="520"/>
      <c r="L9" s="431"/>
      <c r="M9" s="431"/>
      <c r="N9" s="431"/>
    </row>
    <row r="10" spans="2:16" x14ac:dyDescent="0.2">
      <c r="B10" s="432" t="s">
        <v>86</v>
      </c>
      <c r="C10" s="521" t="s">
        <v>259</v>
      </c>
      <c r="D10" s="522"/>
      <c r="L10" s="431"/>
      <c r="M10" s="431"/>
      <c r="N10" s="431"/>
    </row>
    <row r="11" spans="2:16" ht="16" thickBot="1" x14ac:dyDescent="0.25">
      <c r="B11" s="433"/>
      <c r="C11" s="533" t="s">
        <v>176</v>
      </c>
      <c r="D11" s="534"/>
      <c r="L11" s="434"/>
      <c r="M11" s="434"/>
      <c r="N11" s="434"/>
    </row>
    <row r="12" spans="2:16" x14ac:dyDescent="0.2">
      <c r="E12" s="434"/>
      <c r="F12" s="434"/>
      <c r="G12" s="434"/>
      <c r="H12" s="434"/>
      <c r="I12" s="434"/>
      <c r="J12" s="434"/>
      <c r="K12" s="434"/>
      <c r="L12" s="435" t="s">
        <v>87</v>
      </c>
      <c r="M12" s="436">
        <v>0.02</v>
      </c>
      <c r="N12" s="434"/>
    </row>
    <row r="13" spans="2:16" x14ac:dyDescent="0.2">
      <c r="B13" s="437" t="s">
        <v>88</v>
      </c>
      <c r="C13" s="437"/>
      <c r="D13" s="481"/>
      <c r="E13" s="434"/>
      <c r="F13" s="434"/>
      <c r="G13" s="434"/>
      <c r="H13" s="434"/>
      <c r="I13" s="434"/>
      <c r="J13" s="434"/>
      <c r="K13" s="434"/>
      <c r="L13" s="434"/>
      <c r="M13" s="436">
        <v>0</v>
      </c>
      <c r="N13" s="434"/>
    </row>
    <row r="14" spans="2:16" x14ac:dyDescent="0.2">
      <c r="B14" s="495" t="s">
        <v>187</v>
      </c>
      <c r="C14" s="496"/>
      <c r="D14" s="199">
        <f>(C9-650000)</f>
        <v>8924000</v>
      </c>
      <c r="E14" s="439">
        <f>C9</f>
        <v>9574000</v>
      </c>
      <c r="F14" s="440">
        <f t="shared" ref="F14" si="0">D14-E14</f>
        <v>-650000</v>
      </c>
      <c r="G14" s="440"/>
      <c r="H14" s="440"/>
      <c r="I14" s="434"/>
      <c r="J14" s="434"/>
      <c r="K14" s="434"/>
      <c r="L14" s="434"/>
      <c r="M14" s="434"/>
      <c r="N14" s="434"/>
    </row>
    <row r="15" spans="2:16" x14ac:dyDescent="0.2">
      <c r="B15" s="497" t="s">
        <v>109</v>
      </c>
      <c r="C15" s="219">
        <f>INPUT!C22</f>
        <v>0.1</v>
      </c>
      <c r="D15" s="200">
        <f>IF(C15&gt;10%,"maximum of 10%",(D14*C15))</f>
        <v>892400</v>
      </c>
      <c r="E15" s="439"/>
      <c r="F15" s="440"/>
      <c r="G15" s="440"/>
      <c r="H15" s="440"/>
      <c r="I15" s="434"/>
      <c r="J15" s="434"/>
      <c r="K15" s="434"/>
      <c r="L15" s="434"/>
      <c r="M15" s="434"/>
      <c r="N15" s="434"/>
    </row>
    <row r="16" spans="2:16" x14ac:dyDescent="0.2">
      <c r="B16" s="441" t="s">
        <v>87</v>
      </c>
      <c r="C16" s="201" t="str">
        <f>IF(INPUT!C13="Repeat Buyer","2%",IF(INPUT!C13="New Buyer","0%"))</f>
        <v>0%</v>
      </c>
      <c r="D16" s="210">
        <f>IF(C16&gt;2%,((D14-D15))*C16, "maximum of 2%")</f>
        <v>0</v>
      </c>
      <c r="E16" s="439"/>
      <c r="F16" s="440"/>
      <c r="G16" s="440"/>
      <c r="H16" s="440"/>
      <c r="I16" s="434"/>
      <c r="J16" s="434"/>
      <c r="K16" s="434"/>
      <c r="L16" s="434"/>
      <c r="M16" s="434"/>
      <c r="N16" s="434"/>
    </row>
    <row r="17" spans="2:14" x14ac:dyDescent="0.2">
      <c r="B17" s="497"/>
      <c r="C17" s="219"/>
      <c r="D17" s="202">
        <f>D14-SUM(D15:D16)</f>
        <v>8031600</v>
      </c>
      <c r="E17" s="439"/>
      <c r="F17" s="440"/>
      <c r="G17" s="440"/>
      <c r="H17" s="440"/>
      <c r="I17" s="434"/>
      <c r="J17" s="434"/>
      <c r="K17" s="434"/>
      <c r="L17" s="434"/>
      <c r="M17" s="434"/>
      <c r="N17" s="434"/>
    </row>
    <row r="18" spans="2:14" x14ac:dyDescent="0.2">
      <c r="B18" s="497" t="s">
        <v>267</v>
      </c>
      <c r="C18" s="219">
        <v>0.05</v>
      </c>
      <c r="D18" s="200">
        <f>+(D17/1.12)*C18</f>
        <v>358553.57142857142</v>
      </c>
      <c r="E18" s="439"/>
      <c r="F18" s="440"/>
      <c r="G18" s="440"/>
      <c r="H18" s="440"/>
      <c r="I18" s="434"/>
      <c r="J18" s="434"/>
      <c r="K18" s="434"/>
      <c r="L18" s="434"/>
      <c r="M18" s="434"/>
      <c r="N18" s="434"/>
    </row>
    <row r="19" spans="2:14" x14ac:dyDescent="0.2">
      <c r="B19" s="495" t="s">
        <v>193</v>
      </c>
      <c r="C19" s="219"/>
      <c r="D19" s="200">
        <v>650000</v>
      </c>
      <c r="E19" s="439"/>
      <c r="F19" s="440"/>
      <c r="G19" s="440"/>
      <c r="H19" s="440"/>
      <c r="I19" s="434"/>
      <c r="J19" s="434"/>
      <c r="K19" s="434"/>
      <c r="L19" s="434"/>
      <c r="M19" s="434"/>
      <c r="N19" s="434"/>
    </row>
    <row r="20" spans="2:14" ht="16" thickBot="1" x14ac:dyDescent="0.25">
      <c r="B20" s="498" t="s">
        <v>90</v>
      </c>
      <c r="C20" s="219"/>
      <c r="D20" s="205">
        <f>+D17+D18+D19</f>
        <v>9040153.5714285709</v>
      </c>
      <c r="E20" s="439"/>
      <c r="F20" s="440"/>
      <c r="G20" s="440"/>
      <c r="H20" s="440"/>
      <c r="I20" s="434"/>
      <c r="J20" s="434"/>
      <c r="K20" s="434"/>
      <c r="L20" s="434"/>
      <c r="M20" s="434"/>
      <c r="N20" s="434"/>
    </row>
    <row r="21" spans="2:14" ht="17" thickTop="1" thickBot="1" x14ac:dyDescent="0.25"/>
    <row r="22" spans="2:14" ht="43.5" customHeight="1" thickBot="1" x14ac:dyDescent="0.25">
      <c r="B22" s="525" t="s">
        <v>91</v>
      </c>
      <c r="C22" s="526"/>
      <c r="D22" s="444" t="s">
        <v>92</v>
      </c>
      <c r="E22" s="444" t="s">
        <v>93</v>
      </c>
      <c r="F22" s="445" t="s">
        <v>188</v>
      </c>
      <c r="G22" s="446" t="s">
        <v>184</v>
      </c>
      <c r="H22" s="446" t="s">
        <v>202</v>
      </c>
      <c r="I22" s="448" t="s">
        <v>94</v>
      </c>
      <c r="J22" s="499"/>
      <c r="K22" s="434"/>
      <c r="L22" s="434"/>
      <c r="M22" s="434"/>
      <c r="N22" s="434"/>
    </row>
    <row r="23" spans="2:14" x14ac:dyDescent="0.2">
      <c r="B23" s="527">
        <v>0</v>
      </c>
      <c r="C23" s="528"/>
      <c r="D23" s="467"/>
      <c r="E23" s="473" t="s">
        <v>46</v>
      </c>
      <c r="F23" s="186">
        <v>50000</v>
      </c>
      <c r="G23" s="187"/>
      <c r="H23" s="187">
        <f>SUM(F23:G23)</f>
        <v>50000</v>
      </c>
      <c r="I23" s="188">
        <f>D20-H23</f>
        <v>8990153.5714285709</v>
      </c>
      <c r="J23" s="450" t="s">
        <v>95</v>
      </c>
      <c r="K23" s="434"/>
      <c r="L23" s="439">
        <v>56000</v>
      </c>
      <c r="M23" s="440">
        <f>L23-F23</f>
        <v>6000</v>
      </c>
      <c r="N23" s="434"/>
    </row>
    <row r="24" spans="2:14" x14ac:dyDescent="0.2">
      <c r="B24" s="509">
        <v>1</v>
      </c>
      <c r="C24" s="510"/>
      <c r="D24" s="465"/>
      <c r="E24" s="453" t="s">
        <v>170</v>
      </c>
      <c r="F24" s="189">
        <f>(((D17+D19)*40%)-F23)/60</f>
        <v>57044</v>
      </c>
      <c r="G24" s="190">
        <f>(D18*40%)/60</f>
        <v>2390.3571428571431</v>
      </c>
      <c r="H24" s="190">
        <f>SUM(F24:G24)</f>
        <v>59434.357142857145</v>
      </c>
      <c r="I24" s="191">
        <f>I23-H24</f>
        <v>8930719.2142857146</v>
      </c>
      <c r="J24" s="450"/>
      <c r="K24" s="434"/>
      <c r="L24" s="439"/>
      <c r="M24" s="440"/>
      <c r="N24" s="434"/>
    </row>
    <row r="25" spans="2:14" x14ac:dyDescent="0.2">
      <c r="B25" s="509">
        <v>2</v>
      </c>
      <c r="C25" s="510"/>
      <c r="D25" s="468"/>
      <c r="E25" s="453" t="s">
        <v>110</v>
      </c>
      <c r="F25" s="192">
        <f>F24</f>
        <v>57044</v>
      </c>
      <c r="G25" s="190">
        <f>G24</f>
        <v>2390.3571428571431</v>
      </c>
      <c r="H25" s="190">
        <f t="shared" ref="H25:H83" si="1">SUM(F25:G25)</f>
        <v>59434.357142857145</v>
      </c>
      <c r="I25" s="191">
        <f t="shared" ref="I25:I84" si="2">I24-H25</f>
        <v>8871284.8571428582</v>
      </c>
      <c r="J25" s="450"/>
      <c r="K25" s="434"/>
      <c r="L25" s="439"/>
      <c r="M25" s="440"/>
      <c r="N25" s="434"/>
    </row>
    <row r="26" spans="2:14" x14ac:dyDescent="0.2">
      <c r="B26" s="509">
        <v>3</v>
      </c>
      <c r="C26" s="510"/>
      <c r="D26" s="466"/>
      <c r="E26" s="453" t="s">
        <v>111</v>
      </c>
      <c r="F26" s="192">
        <f>F25</f>
        <v>57044</v>
      </c>
      <c r="G26" s="190">
        <f t="shared" ref="G26:G82" si="3">G25</f>
        <v>2390.3571428571431</v>
      </c>
      <c r="H26" s="190">
        <f t="shared" si="1"/>
        <v>59434.357142857145</v>
      </c>
      <c r="I26" s="191">
        <f t="shared" si="2"/>
        <v>8811850.5000000019</v>
      </c>
      <c r="J26" s="450"/>
      <c r="K26" s="434"/>
      <c r="L26" s="439"/>
      <c r="M26" s="440"/>
      <c r="N26" s="434"/>
    </row>
    <row r="27" spans="2:14" x14ac:dyDescent="0.2">
      <c r="B27" s="509">
        <v>4</v>
      </c>
      <c r="C27" s="510"/>
      <c r="D27" s="466"/>
      <c r="E27" s="453" t="s">
        <v>112</v>
      </c>
      <c r="F27" s="192">
        <f t="shared" ref="F27:F82" si="4">F26</f>
        <v>57044</v>
      </c>
      <c r="G27" s="190">
        <f t="shared" si="3"/>
        <v>2390.3571428571431</v>
      </c>
      <c r="H27" s="190">
        <f t="shared" si="1"/>
        <v>59434.357142857145</v>
      </c>
      <c r="I27" s="191">
        <f t="shared" si="2"/>
        <v>8752416.1428571455</v>
      </c>
      <c r="J27" s="450"/>
      <c r="K27" s="434"/>
      <c r="L27" s="439"/>
      <c r="M27" s="440"/>
      <c r="N27" s="434"/>
    </row>
    <row r="28" spans="2:14" x14ac:dyDescent="0.2">
      <c r="B28" s="509">
        <v>5</v>
      </c>
      <c r="C28" s="510"/>
      <c r="D28" s="466"/>
      <c r="E28" s="453" t="s">
        <v>113</v>
      </c>
      <c r="F28" s="192">
        <f t="shared" si="4"/>
        <v>57044</v>
      </c>
      <c r="G28" s="190">
        <f t="shared" si="3"/>
        <v>2390.3571428571431</v>
      </c>
      <c r="H28" s="190">
        <f t="shared" si="1"/>
        <v>59434.357142857145</v>
      </c>
      <c r="I28" s="191">
        <f t="shared" si="2"/>
        <v>8692981.7857142892</v>
      </c>
      <c r="J28" s="450"/>
      <c r="K28" s="434"/>
      <c r="L28" s="439"/>
      <c r="M28" s="440"/>
      <c r="N28" s="434"/>
    </row>
    <row r="29" spans="2:14" x14ac:dyDescent="0.2">
      <c r="B29" s="509">
        <v>6</v>
      </c>
      <c r="C29" s="510"/>
      <c r="D29" s="466"/>
      <c r="E29" s="453" t="s">
        <v>114</v>
      </c>
      <c r="F29" s="192">
        <f t="shared" si="4"/>
        <v>57044</v>
      </c>
      <c r="G29" s="190">
        <f t="shared" si="3"/>
        <v>2390.3571428571431</v>
      </c>
      <c r="H29" s="190">
        <f t="shared" si="1"/>
        <v>59434.357142857145</v>
      </c>
      <c r="I29" s="191">
        <f t="shared" si="2"/>
        <v>8633547.4285714328</v>
      </c>
      <c r="J29" s="450"/>
      <c r="K29" s="434"/>
      <c r="L29" s="439"/>
      <c r="M29" s="440"/>
      <c r="N29" s="434"/>
    </row>
    <row r="30" spans="2:14" x14ac:dyDescent="0.2">
      <c r="B30" s="509">
        <v>7</v>
      </c>
      <c r="C30" s="510"/>
      <c r="D30" s="466"/>
      <c r="E30" s="453" t="s">
        <v>115</v>
      </c>
      <c r="F30" s="192">
        <f t="shared" si="4"/>
        <v>57044</v>
      </c>
      <c r="G30" s="190">
        <f t="shared" si="3"/>
        <v>2390.3571428571431</v>
      </c>
      <c r="H30" s="190">
        <f t="shared" si="1"/>
        <v>59434.357142857145</v>
      </c>
      <c r="I30" s="191">
        <f t="shared" si="2"/>
        <v>8574113.0714285765</v>
      </c>
      <c r="J30" s="450"/>
      <c r="K30" s="434"/>
      <c r="L30" s="439"/>
      <c r="M30" s="440"/>
      <c r="N30" s="434"/>
    </row>
    <row r="31" spans="2:14" x14ac:dyDescent="0.2">
      <c r="B31" s="509">
        <v>8</v>
      </c>
      <c r="C31" s="510"/>
      <c r="D31" s="466"/>
      <c r="E31" s="453" t="s">
        <v>116</v>
      </c>
      <c r="F31" s="192">
        <f t="shared" si="4"/>
        <v>57044</v>
      </c>
      <c r="G31" s="190">
        <f t="shared" si="3"/>
        <v>2390.3571428571431</v>
      </c>
      <c r="H31" s="190">
        <f t="shared" si="1"/>
        <v>59434.357142857145</v>
      </c>
      <c r="I31" s="191">
        <f t="shared" si="2"/>
        <v>8514678.7142857201</v>
      </c>
      <c r="J31" s="450"/>
      <c r="K31" s="434"/>
      <c r="L31" s="439"/>
      <c r="M31" s="440"/>
      <c r="N31" s="434"/>
    </row>
    <row r="32" spans="2:14" x14ac:dyDescent="0.2">
      <c r="B32" s="509">
        <v>9</v>
      </c>
      <c r="C32" s="510"/>
      <c r="D32" s="466"/>
      <c r="E32" s="453" t="s">
        <v>117</v>
      </c>
      <c r="F32" s="192">
        <f t="shared" si="4"/>
        <v>57044</v>
      </c>
      <c r="G32" s="190">
        <f t="shared" si="3"/>
        <v>2390.3571428571431</v>
      </c>
      <c r="H32" s="190">
        <f t="shared" si="1"/>
        <v>59434.357142857145</v>
      </c>
      <c r="I32" s="191">
        <f t="shared" si="2"/>
        <v>8455244.3571428638</v>
      </c>
      <c r="J32" s="450"/>
      <c r="K32" s="434"/>
      <c r="L32" s="439"/>
      <c r="M32" s="440"/>
      <c r="N32" s="434"/>
    </row>
    <row r="33" spans="2:14" x14ac:dyDescent="0.2">
      <c r="B33" s="509">
        <v>10</v>
      </c>
      <c r="C33" s="510"/>
      <c r="D33" s="466"/>
      <c r="E33" s="453" t="s">
        <v>118</v>
      </c>
      <c r="F33" s="192">
        <f t="shared" si="4"/>
        <v>57044</v>
      </c>
      <c r="G33" s="190">
        <f t="shared" si="3"/>
        <v>2390.3571428571431</v>
      </c>
      <c r="H33" s="190">
        <f t="shared" si="1"/>
        <v>59434.357142857145</v>
      </c>
      <c r="I33" s="191">
        <f t="shared" si="2"/>
        <v>8395810.0000000075</v>
      </c>
      <c r="J33" s="450"/>
      <c r="K33" s="434"/>
      <c r="L33" s="439"/>
      <c r="M33" s="440"/>
      <c r="N33" s="434"/>
    </row>
    <row r="34" spans="2:14" x14ac:dyDescent="0.2">
      <c r="B34" s="509">
        <v>11</v>
      </c>
      <c r="C34" s="510"/>
      <c r="D34" s="466"/>
      <c r="E34" s="453" t="s">
        <v>119</v>
      </c>
      <c r="F34" s="192">
        <f t="shared" si="4"/>
        <v>57044</v>
      </c>
      <c r="G34" s="190">
        <f t="shared" si="3"/>
        <v>2390.3571428571431</v>
      </c>
      <c r="H34" s="190">
        <f t="shared" si="1"/>
        <v>59434.357142857145</v>
      </c>
      <c r="I34" s="191">
        <f t="shared" si="2"/>
        <v>8336375.6428571502</v>
      </c>
      <c r="J34" s="450"/>
      <c r="K34" s="434"/>
      <c r="L34" s="439"/>
      <c r="M34" s="440"/>
      <c r="N34" s="434"/>
    </row>
    <row r="35" spans="2:14" x14ac:dyDescent="0.2">
      <c r="B35" s="509">
        <v>12</v>
      </c>
      <c r="C35" s="510"/>
      <c r="D35" s="466"/>
      <c r="E35" s="453" t="s">
        <v>120</v>
      </c>
      <c r="F35" s="192">
        <f t="shared" si="4"/>
        <v>57044</v>
      </c>
      <c r="G35" s="190">
        <f t="shared" si="3"/>
        <v>2390.3571428571431</v>
      </c>
      <c r="H35" s="190">
        <f t="shared" si="1"/>
        <v>59434.357142857145</v>
      </c>
      <c r="I35" s="191">
        <f t="shared" si="2"/>
        <v>8276941.2857142929</v>
      </c>
      <c r="J35" s="450"/>
      <c r="K35" s="434"/>
      <c r="L35" s="439"/>
      <c r="M35" s="440"/>
      <c r="N35" s="434"/>
    </row>
    <row r="36" spans="2:14" x14ac:dyDescent="0.2">
      <c r="B36" s="509">
        <v>13</v>
      </c>
      <c r="C36" s="510"/>
      <c r="D36" s="466"/>
      <c r="E36" s="453" t="s">
        <v>121</v>
      </c>
      <c r="F36" s="192">
        <f t="shared" si="4"/>
        <v>57044</v>
      </c>
      <c r="G36" s="190">
        <f t="shared" si="3"/>
        <v>2390.3571428571431</v>
      </c>
      <c r="H36" s="190">
        <f t="shared" si="1"/>
        <v>59434.357142857145</v>
      </c>
      <c r="I36" s="191">
        <f t="shared" si="2"/>
        <v>8217506.9285714356</v>
      </c>
      <c r="J36" s="450"/>
      <c r="K36" s="434"/>
      <c r="L36" s="439"/>
      <c r="M36" s="440"/>
      <c r="N36" s="434"/>
    </row>
    <row r="37" spans="2:14" x14ac:dyDescent="0.2">
      <c r="B37" s="509">
        <v>14</v>
      </c>
      <c r="C37" s="510"/>
      <c r="D37" s="466"/>
      <c r="E37" s="453" t="s">
        <v>122</v>
      </c>
      <c r="F37" s="192">
        <f t="shared" si="4"/>
        <v>57044</v>
      </c>
      <c r="G37" s="190">
        <f t="shared" si="3"/>
        <v>2390.3571428571431</v>
      </c>
      <c r="H37" s="190">
        <f t="shared" si="1"/>
        <v>59434.357142857145</v>
      </c>
      <c r="I37" s="191">
        <f t="shared" si="2"/>
        <v>8158072.5714285783</v>
      </c>
      <c r="J37" s="450"/>
      <c r="K37" s="434"/>
      <c r="L37" s="439"/>
      <c r="M37" s="440"/>
      <c r="N37" s="434"/>
    </row>
    <row r="38" spans="2:14" x14ac:dyDescent="0.2">
      <c r="B38" s="509">
        <v>15</v>
      </c>
      <c r="C38" s="510"/>
      <c r="D38" s="466"/>
      <c r="E38" s="453" t="s">
        <v>123</v>
      </c>
      <c r="F38" s="192">
        <f t="shared" si="4"/>
        <v>57044</v>
      </c>
      <c r="G38" s="190">
        <f t="shared" si="3"/>
        <v>2390.3571428571431</v>
      </c>
      <c r="H38" s="190">
        <f t="shared" si="1"/>
        <v>59434.357142857145</v>
      </c>
      <c r="I38" s="191">
        <f t="shared" si="2"/>
        <v>8098638.2142857211</v>
      </c>
      <c r="J38" s="450"/>
      <c r="K38" s="434"/>
      <c r="L38" s="439"/>
      <c r="M38" s="440"/>
      <c r="N38" s="434"/>
    </row>
    <row r="39" spans="2:14" x14ac:dyDescent="0.2">
      <c r="B39" s="509">
        <v>16</v>
      </c>
      <c r="C39" s="510"/>
      <c r="D39" s="466"/>
      <c r="E39" s="453" t="s">
        <v>124</v>
      </c>
      <c r="F39" s="192">
        <f t="shared" si="4"/>
        <v>57044</v>
      </c>
      <c r="G39" s="190">
        <f t="shared" si="3"/>
        <v>2390.3571428571431</v>
      </c>
      <c r="H39" s="190">
        <f t="shared" si="1"/>
        <v>59434.357142857145</v>
      </c>
      <c r="I39" s="191">
        <f t="shared" si="2"/>
        <v>8039203.8571428638</v>
      </c>
      <c r="J39" s="450"/>
      <c r="K39" s="434"/>
      <c r="L39" s="439"/>
      <c r="M39" s="440"/>
      <c r="N39" s="434"/>
    </row>
    <row r="40" spans="2:14" x14ac:dyDescent="0.2">
      <c r="B40" s="509">
        <v>17</v>
      </c>
      <c r="C40" s="510"/>
      <c r="D40" s="466"/>
      <c r="E40" s="453" t="s">
        <v>125</v>
      </c>
      <c r="F40" s="192">
        <f t="shared" si="4"/>
        <v>57044</v>
      </c>
      <c r="G40" s="190">
        <f t="shared" si="3"/>
        <v>2390.3571428571431</v>
      </c>
      <c r="H40" s="190">
        <f t="shared" si="1"/>
        <v>59434.357142857145</v>
      </c>
      <c r="I40" s="191">
        <f t="shared" si="2"/>
        <v>7979769.5000000065</v>
      </c>
      <c r="J40" s="450"/>
      <c r="K40" s="434"/>
      <c r="L40" s="439"/>
      <c r="M40" s="440"/>
      <c r="N40" s="434"/>
    </row>
    <row r="41" spans="2:14" x14ac:dyDescent="0.2">
      <c r="B41" s="509">
        <v>18</v>
      </c>
      <c r="C41" s="510"/>
      <c r="D41" s="466"/>
      <c r="E41" s="453" t="s">
        <v>126</v>
      </c>
      <c r="F41" s="192">
        <f t="shared" si="4"/>
        <v>57044</v>
      </c>
      <c r="G41" s="190">
        <f t="shared" si="3"/>
        <v>2390.3571428571431</v>
      </c>
      <c r="H41" s="190">
        <f t="shared" si="1"/>
        <v>59434.357142857145</v>
      </c>
      <c r="I41" s="191">
        <f t="shared" si="2"/>
        <v>7920335.1428571492</v>
      </c>
      <c r="J41" s="450"/>
      <c r="K41" s="434"/>
      <c r="L41" s="439"/>
      <c r="M41" s="440"/>
      <c r="N41" s="434"/>
    </row>
    <row r="42" spans="2:14" x14ac:dyDescent="0.2">
      <c r="B42" s="509">
        <v>19</v>
      </c>
      <c r="C42" s="510"/>
      <c r="D42" s="466"/>
      <c r="E42" s="453" t="s">
        <v>127</v>
      </c>
      <c r="F42" s="192">
        <f t="shared" si="4"/>
        <v>57044</v>
      </c>
      <c r="G42" s="190">
        <f t="shared" si="3"/>
        <v>2390.3571428571431</v>
      </c>
      <c r="H42" s="190">
        <f t="shared" si="1"/>
        <v>59434.357142857145</v>
      </c>
      <c r="I42" s="191">
        <f t="shared" si="2"/>
        <v>7860900.785714292</v>
      </c>
      <c r="J42" s="450"/>
      <c r="K42" s="434"/>
      <c r="L42" s="439"/>
      <c r="M42" s="440"/>
      <c r="N42" s="434"/>
    </row>
    <row r="43" spans="2:14" x14ac:dyDescent="0.2">
      <c r="B43" s="509">
        <v>20</v>
      </c>
      <c r="C43" s="510"/>
      <c r="D43" s="466"/>
      <c r="E43" s="453" t="s">
        <v>128</v>
      </c>
      <c r="F43" s="192">
        <f t="shared" si="4"/>
        <v>57044</v>
      </c>
      <c r="G43" s="190">
        <f t="shared" si="3"/>
        <v>2390.3571428571431</v>
      </c>
      <c r="H43" s="190">
        <f t="shared" si="1"/>
        <v>59434.357142857145</v>
      </c>
      <c r="I43" s="191">
        <f t="shared" si="2"/>
        <v>7801466.4285714347</v>
      </c>
      <c r="J43" s="450"/>
      <c r="K43" s="434"/>
      <c r="L43" s="439"/>
      <c r="M43" s="440"/>
      <c r="N43" s="434"/>
    </row>
    <row r="44" spans="2:14" x14ac:dyDescent="0.2">
      <c r="B44" s="509">
        <v>21</v>
      </c>
      <c r="C44" s="510"/>
      <c r="D44" s="466"/>
      <c r="E44" s="453" t="s">
        <v>129</v>
      </c>
      <c r="F44" s="192">
        <f t="shared" si="4"/>
        <v>57044</v>
      </c>
      <c r="G44" s="190">
        <f t="shared" si="3"/>
        <v>2390.3571428571431</v>
      </c>
      <c r="H44" s="190">
        <f t="shared" si="1"/>
        <v>59434.357142857145</v>
      </c>
      <c r="I44" s="191">
        <f t="shared" si="2"/>
        <v>7742032.0714285774</v>
      </c>
      <c r="J44" s="450"/>
      <c r="K44" s="434"/>
      <c r="L44" s="439"/>
      <c r="M44" s="440"/>
      <c r="N44" s="434"/>
    </row>
    <row r="45" spans="2:14" x14ac:dyDescent="0.2">
      <c r="B45" s="509">
        <v>22</v>
      </c>
      <c r="C45" s="510"/>
      <c r="D45" s="466"/>
      <c r="E45" s="453" t="s">
        <v>130</v>
      </c>
      <c r="F45" s="192">
        <f t="shared" si="4"/>
        <v>57044</v>
      </c>
      <c r="G45" s="190">
        <f t="shared" si="3"/>
        <v>2390.3571428571431</v>
      </c>
      <c r="H45" s="190">
        <f t="shared" si="1"/>
        <v>59434.357142857145</v>
      </c>
      <c r="I45" s="191">
        <f t="shared" si="2"/>
        <v>7682597.7142857201</v>
      </c>
      <c r="J45" s="450"/>
      <c r="K45" s="434"/>
      <c r="L45" s="439"/>
      <c r="M45" s="440"/>
      <c r="N45" s="434"/>
    </row>
    <row r="46" spans="2:14" x14ac:dyDescent="0.2">
      <c r="B46" s="509">
        <v>23</v>
      </c>
      <c r="C46" s="510"/>
      <c r="D46" s="466"/>
      <c r="E46" s="453" t="s">
        <v>131</v>
      </c>
      <c r="F46" s="192">
        <f t="shared" si="4"/>
        <v>57044</v>
      </c>
      <c r="G46" s="190">
        <f t="shared" si="3"/>
        <v>2390.3571428571431</v>
      </c>
      <c r="H46" s="190">
        <f t="shared" si="1"/>
        <v>59434.357142857145</v>
      </c>
      <c r="I46" s="191">
        <f t="shared" si="2"/>
        <v>7623163.3571428629</v>
      </c>
      <c r="J46" s="450"/>
      <c r="K46" s="434"/>
      <c r="L46" s="439"/>
      <c r="M46" s="440"/>
      <c r="N46" s="434"/>
    </row>
    <row r="47" spans="2:14" x14ac:dyDescent="0.2">
      <c r="B47" s="509">
        <v>24</v>
      </c>
      <c r="C47" s="510"/>
      <c r="D47" s="466"/>
      <c r="E47" s="453" t="s">
        <v>132</v>
      </c>
      <c r="F47" s="192">
        <f t="shared" si="4"/>
        <v>57044</v>
      </c>
      <c r="G47" s="190">
        <f t="shared" si="3"/>
        <v>2390.3571428571431</v>
      </c>
      <c r="H47" s="190">
        <f t="shared" si="1"/>
        <v>59434.357142857145</v>
      </c>
      <c r="I47" s="191">
        <f t="shared" si="2"/>
        <v>7563729.0000000056</v>
      </c>
      <c r="J47" s="450"/>
      <c r="K47" s="434"/>
      <c r="L47" s="439"/>
      <c r="M47" s="440"/>
      <c r="N47" s="434"/>
    </row>
    <row r="48" spans="2:14" x14ac:dyDescent="0.2">
      <c r="B48" s="509">
        <v>25</v>
      </c>
      <c r="C48" s="510"/>
      <c r="D48" s="466"/>
      <c r="E48" s="453" t="s">
        <v>133</v>
      </c>
      <c r="F48" s="192">
        <f t="shared" si="4"/>
        <v>57044</v>
      </c>
      <c r="G48" s="190">
        <f t="shared" si="3"/>
        <v>2390.3571428571431</v>
      </c>
      <c r="H48" s="190">
        <f t="shared" si="1"/>
        <v>59434.357142857145</v>
      </c>
      <c r="I48" s="191">
        <f t="shared" si="2"/>
        <v>7504294.6428571483</v>
      </c>
      <c r="J48" s="450"/>
      <c r="K48" s="434"/>
      <c r="L48" s="439"/>
      <c r="M48" s="440"/>
      <c r="N48" s="434"/>
    </row>
    <row r="49" spans="2:14" x14ac:dyDescent="0.2">
      <c r="B49" s="509">
        <v>26</v>
      </c>
      <c r="C49" s="510"/>
      <c r="D49" s="466"/>
      <c r="E49" s="453" t="s">
        <v>134</v>
      </c>
      <c r="F49" s="192">
        <f t="shared" si="4"/>
        <v>57044</v>
      </c>
      <c r="G49" s="190">
        <f t="shared" si="3"/>
        <v>2390.3571428571431</v>
      </c>
      <c r="H49" s="190">
        <f t="shared" si="1"/>
        <v>59434.357142857145</v>
      </c>
      <c r="I49" s="191">
        <f t="shared" si="2"/>
        <v>7444860.285714291</v>
      </c>
      <c r="J49" s="450"/>
      <c r="K49" s="434"/>
      <c r="L49" s="439"/>
      <c r="M49" s="440"/>
      <c r="N49" s="434"/>
    </row>
    <row r="50" spans="2:14" x14ac:dyDescent="0.2">
      <c r="B50" s="509">
        <v>27</v>
      </c>
      <c r="C50" s="510"/>
      <c r="D50" s="466"/>
      <c r="E50" s="453" t="s">
        <v>135</v>
      </c>
      <c r="F50" s="192">
        <f t="shared" si="4"/>
        <v>57044</v>
      </c>
      <c r="G50" s="190">
        <f t="shared" si="3"/>
        <v>2390.3571428571431</v>
      </c>
      <c r="H50" s="190">
        <f t="shared" si="1"/>
        <v>59434.357142857145</v>
      </c>
      <c r="I50" s="191">
        <f t="shared" si="2"/>
        <v>7385425.9285714338</v>
      </c>
      <c r="J50" s="450"/>
      <c r="K50" s="434"/>
      <c r="L50" s="439"/>
      <c r="M50" s="440"/>
      <c r="N50" s="434"/>
    </row>
    <row r="51" spans="2:14" x14ac:dyDescent="0.2">
      <c r="B51" s="509">
        <v>28</v>
      </c>
      <c r="C51" s="510"/>
      <c r="D51" s="466"/>
      <c r="E51" s="453" t="s">
        <v>136</v>
      </c>
      <c r="F51" s="192">
        <f t="shared" si="4"/>
        <v>57044</v>
      </c>
      <c r="G51" s="190">
        <f t="shared" si="3"/>
        <v>2390.3571428571431</v>
      </c>
      <c r="H51" s="190">
        <f t="shared" si="1"/>
        <v>59434.357142857145</v>
      </c>
      <c r="I51" s="191">
        <f t="shared" si="2"/>
        <v>7325991.5714285765</v>
      </c>
      <c r="J51" s="450"/>
      <c r="K51" s="434"/>
      <c r="L51" s="439"/>
      <c r="M51" s="440"/>
      <c r="N51" s="434"/>
    </row>
    <row r="52" spans="2:14" x14ac:dyDescent="0.2">
      <c r="B52" s="509">
        <v>29</v>
      </c>
      <c r="C52" s="510"/>
      <c r="D52" s="466"/>
      <c r="E52" s="453" t="s">
        <v>137</v>
      </c>
      <c r="F52" s="192">
        <f t="shared" si="4"/>
        <v>57044</v>
      </c>
      <c r="G52" s="190">
        <f t="shared" si="3"/>
        <v>2390.3571428571431</v>
      </c>
      <c r="H52" s="190">
        <f t="shared" si="1"/>
        <v>59434.357142857145</v>
      </c>
      <c r="I52" s="191">
        <f t="shared" si="2"/>
        <v>7266557.2142857192</v>
      </c>
      <c r="J52" s="450"/>
      <c r="K52" s="434"/>
      <c r="L52" s="439"/>
      <c r="M52" s="440"/>
      <c r="N52" s="434"/>
    </row>
    <row r="53" spans="2:14" x14ac:dyDescent="0.2">
      <c r="B53" s="509">
        <v>30</v>
      </c>
      <c r="C53" s="510"/>
      <c r="D53" s="466"/>
      <c r="E53" s="453" t="s">
        <v>138</v>
      </c>
      <c r="F53" s="192">
        <f t="shared" si="4"/>
        <v>57044</v>
      </c>
      <c r="G53" s="190">
        <f t="shared" si="3"/>
        <v>2390.3571428571431</v>
      </c>
      <c r="H53" s="190">
        <f t="shared" si="1"/>
        <v>59434.357142857145</v>
      </c>
      <c r="I53" s="191">
        <f t="shared" si="2"/>
        <v>7207122.8571428619</v>
      </c>
      <c r="J53" s="450"/>
      <c r="K53" s="434"/>
      <c r="L53" s="439"/>
      <c r="M53" s="440"/>
      <c r="N53" s="434"/>
    </row>
    <row r="54" spans="2:14" x14ac:dyDescent="0.2">
      <c r="B54" s="509">
        <v>31</v>
      </c>
      <c r="C54" s="510"/>
      <c r="D54" s="466"/>
      <c r="E54" s="453" t="s">
        <v>139</v>
      </c>
      <c r="F54" s="192">
        <f t="shared" si="4"/>
        <v>57044</v>
      </c>
      <c r="G54" s="190">
        <f t="shared" si="3"/>
        <v>2390.3571428571431</v>
      </c>
      <c r="H54" s="190">
        <f t="shared" si="1"/>
        <v>59434.357142857145</v>
      </c>
      <c r="I54" s="191">
        <f t="shared" si="2"/>
        <v>7147688.5000000047</v>
      </c>
      <c r="J54" s="450"/>
      <c r="K54" s="434"/>
      <c r="L54" s="439"/>
      <c r="M54" s="440"/>
      <c r="N54" s="434"/>
    </row>
    <row r="55" spans="2:14" x14ac:dyDescent="0.2">
      <c r="B55" s="509">
        <v>32</v>
      </c>
      <c r="C55" s="510"/>
      <c r="D55" s="466"/>
      <c r="E55" s="453" t="s">
        <v>140</v>
      </c>
      <c r="F55" s="192">
        <f t="shared" si="4"/>
        <v>57044</v>
      </c>
      <c r="G55" s="190">
        <f t="shared" si="3"/>
        <v>2390.3571428571431</v>
      </c>
      <c r="H55" s="190">
        <f t="shared" si="1"/>
        <v>59434.357142857145</v>
      </c>
      <c r="I55" s="191">
        <f t="shared" si="2"/>
        <v>7088254.1428571474</v>
      </c>
      <c r="J55" s="450"/>
      <c r="K55" s="434"/>
      <c r="L55" s="439"/>
      <c r="M55" s="440"/>
      <c r="N55" s="434"/>
    </row>
    <row r="56" spans="2:14" x14ac:dyDescent="0.2">
      <c r="B56" s="509">
        <v>33</v>
      </c>
      <c r="C56" s="510"/>
      <c r="D56" s="466"/>
      <c r="E56" s="453" t="s">
        <v>141</v>
      </c>
      <c r="F56" s="192">
        <f t="shared" si="4"/>
        <v>57044</v>
      </c>
      <c r="G56" s="190">
        <f t="shared" si="3"/>
        <v>2390.3571428571431</v>
      </c>
      <c r="H56" s="190">
        <f t="shared" si="1"/>
        <v>59434.357142857145</v>
      </c>
      <c r="I56" s="191">
        <f t="shared" si="2"/>
        <v>7028819.7857142901</v>
      </c>
      <c r="J56" s="450"/>
      <c r="K56" s="434"/>
      <c r="L56" s="439"/>
      <c r="M56" s="440"/>
      <c r="N56" s="434"/>
    </row>
    <row r="57" spans="2:14" x14ac:dyDescent="0.2">
      <c r="B57" s="509">
        <v>34</v>
      </c>
      <c r="C57" s="510"/>
      <c r="D57" s="466"/>
      <c r="E57" s="453" t="s">
        <v>142</v>
      </c>
      <c r="F57" s="192">
        <f t="shared" si="4"/>
        <v>57044</v>
      </c>
      <c r="G57" s="190">
        <f t="shared" si="3"/>
        <v>2390.3571428571431</v>
      </c>
      <c r="H57" s="190">
        <f t="shared" si="1"/>
        <v>59434.357142857145</v>
      </c>
      <c r="I57" s="191">
        <f t="shared" si="2"/>
        <v>6969385.4285714328</v>
      </c>
      <c r="J57" s="450"/>
      <c r="K57" s="434"/>
      <c r="L57" s="439"/>
      <c r="M57" s="440"/>
      <c r="N57" s="434"/>
    </row>
    <row r="58" spans="2:14" x14ac:dyDescent="0.2">
      <c r="B58" s="509">
        <v>35</v>
      </c>
      <c r="C58" s="510"/>
      <c r="D58" s="466"/>
      <c r="E58" s="453" t="s">
        <v>143</v>
      </c>
      <c r="F58" s="192">
        <f t="shared" si="4"/>
        <v>57044</v>
      </c>
      <c r="G58" s="190">
        <f t="shared" si="3"/>
        <v>2390.3571428571431</v>
      </c>
      <c r="H58" s="190">
        <f t="shared" si="1"/>
        <v>59434.357142857145</v>
      </c>
      <c r="I58" s="191">
        <f t="shared" si="2"/>
        <v>6909951.0714285756</v>
      </c>
      <c r="J58" s="450"/>
      <c r="K58" s="434"/>
      <c r="L58" s="439"/>
      <c r="M58" s="440"/>
      <c r="N58" s="434"/>
    </row>
    <row r="59" spans="2:14" x14ac:dyDescent="0.2">
      <c r="B59" s="509">
        <v>36</v>
      </c>
      <c r="C59" s="510"/>
      <c r="D59" s="466"/>
      <c r="E59" s="453" t="s">
        <v>144</v>
      </c>
      <c r="F59" s="192">
        <f t="shared" si="4"/>
        <v>57044</v>
      </c>
      <c r="G59" s="190">
        <f t="shared" si="3"/>
        <v>2390.3571428571431</v>
      </c>
      <c r="H59" s="190">
        <f t="shared" si="1"/>
        <v>59434.357142857145</v>
      </c>
      <c r="I59" s="191">
        <f t="shared" si="2"/>
        <v>6850516.7142857183</v>
      </c>
      <c r="J59" s="450"/>
      <c r="K59" s="434"/>
      <c r="L59" s="439"/>
      <c r="M59" s="440"/>
      <c r="N59" s="434"/>
    </row>
    <row r="60" spans="2:14" x14ac:dyDescent="0.2">
      <c r="B60" s="509">
        <v>37</v>
      </c>
      <c r="C60" s="510"/>
      <c r="D60" s="466"/>
      <c r="E60" s="453" t="s">
        <v>145</v>
      </c>
      <c r="F60" s="192">
        <f t="shared" si="4"/>
        <v>57044</v>
      </c>
      <c r="G60" s="190">
        <f t="shared" si="3"/>
        <v>2390.3571428571431</v>
      </c>
      <c r="H60" s="190">
        <f t="shared" si="1"/>
        <v>59434.357142857145</v>
      </c>
      <c r="I60" s="191">
        <f t="shared" si="2"/>
        <v>6791082.357142861</v>
      </c>
      <c r="J60" s="450"/>
      <c r="K60" s="434"/>
      <c r="L60" s="439"/>
      <c r="M60" s="440"/>
      <c r="N60" s="434"/>
    </row>
    <row r="61" spans="2:14" x14ac:dyDescent="0.2">
      <c r="B61" s="509">
        <v>38</v>
      </c>
      <c r="C61" s="510"/>
      <c r="D61" s="466"/>
      <c r="E61" s="453" t="s">
        <v>146</v>
      </c>
      <c r="F61" s="192">
        <f t="shared" si="4"/>
        <v>57044</v>
      </c>
      <c r="G61" s="190">
        <f t="shared" si="3"/>
        <v>2390.3571428571431</v>
      </c>
      <c r="H61" s="190">
        <f t="shared" si="1"/>
        <v>59434.357142857145</v>
      </c>
      <c r="I61" s="191">
        <f t="shared" si="2"/>
        <v>6731648.0000000037</v>
      </c>
      <c r="J61" s="450"/>
      <c r="K61" s="434"/>
      <c r="L61" s="439"/>
      <c r="M61" s="440"/>
      <c r="N61" s="434"/>
    </row>
    <row r="62" spans="2:14" x14ac:dyDescent="0.2">
      <c r="B62" s="509">
        <v>39</v>
      </c>
      <c r="C62" s="510"/>
      <c r="D62" s="466"/>
      <c r="E62" s="453" t="s">
        <v>147</v>
      </c>
      <c r="F62" s="192">
        <f t="shared" si="4"/>
        <v>57044</v>
      </c>
      <c r="G62" s="190">
        <f t="shared" si="3"/>
        <v>2390.3571428571431</v>
      </c>
      <c r="H62" s="190">
        <f t="shared" si="1"/>
        <v>59434.357142857145</v>
      </c>
      <c r="I62" s="191">
        <f t="shared" si="2"/>
        <v>6672213.6428571464</v>
      </c>
      <c r="J62" s="450"/>
      <c r="K62" s="434"/>
      <c r="L62" s="439"/>
      <c r="M62" s="440"/>
      <c r="N62" s="434"/>
    </row>
    <row r="63" spans="2:14" x14ac:dyDescent="0.2">
      <c r="B63" s="509">
        <v>40</v>
      </c>
      <c r="C63" s="510"/>
      <c r="D63" s="466"/>
      <c r="E63" s="453" t="s">
        <v>148</v>
      </c>
      <c r="F63" s="192">
        <f t="shared" si="4"/>
        <v>57044</v>
      </c>
      <c r="G63" s="190">
        <f t="shared" si="3"/>
        <v>2390.3571428571431</v>
      </c>
      <c r="H63" s="190">
        <f t="shared" si="1"/>
        <v>59434.357142857145</v>
      </c>
      <c r="I63" s="191">
        <f t="shared" si="2"/>
        <v>6612779.2857142892</v>
      </c>
      <c r="J63" s="450"/>
      <c r="K63" s="434"/>
      <c r="L63" s="439"/>
      <c r="M63" s="440"/>
      <c r="N63" s="434"/>
    </row>
    <row r="64" spans="2:14" x14ac:dyDescent="0.2">
      <c r="B64" s="509">
        <v>41</v>
      </c>
      <c r="C64" s="510"/>
      <c r="D64" s="466"/>
      <c r="E64" s="453" t="s">
        <v>149</v>
      </c>
      <c r="F64" s="192">
        <f t="shared" si="4"/>
        <v>57044</v>
      </c>
      <c r="G64" s="190">
        <f t="shared" si="3"/>
        <v>2390.3571428571431</v>
      </c>
      <c r="H64" s="190">
        <f t="shared" si="1"/>
        <v>59434.357142857145</v>
      </c>
      <c r="I64" s="191">
        <f t="shared" si="2"/>
        <v>6553344.9285714319</v>
      </c>
      <c r="J64" s="450"/>
      <c r="K64" s="434"/>
      <c r="L64" s="439"/>
      <c r="M64" s="440"/>
      <c r="N64" s="434"/>
    </row>
    <row r="65" spans="2:14" x14ac:dyDescent="0.2">
      <c r="B65" s="509">
        <v>42</v>
      </c>
      <c r="C65" s="510"/>
      <c r="D65" s="466"/>
      <c r="E65" s="453" t="s">
        <v>150</v>
      </c>
      <c r="F65" s="192">
        <f t="shared" si="4"/>
        <v>57044</v>
      </c>
      <c r="G65" s="190">
        <f t="shared" si="3"/>
        <v>2390.3571428571431</v>
      </c>
      <c r="H65" s="190">
        <f t="shared" si="1"/>
        <v>59434.357142857145</v>
      </c>
      <c r="I65" s="191">
        <f t="shared" si="2"/>
        <v>6493910.5714285746</v>
      </c>
      <c r="J65" s="450"/>
      <c r="K65" s="434"/>
      <c r="L65" s="439"/>
      <c r="M65" s="440"/>
      <c r="N65" s="434"/>
    </row>
    <row r="66" spans="2:14" x14ac:dyDescent="0.2">
      <c r="B66" s="509">
        <v>43</v>
      </c>
      <c r="C66" s="510"/>
      <c r="D66" s="466"/>
      <c r="E66" s="453" t="s">
        <v>151</v>
      </c>
      <c r="F66" s="192">
        <f t="shared" si="4"/>
        <v>57044</v>
      </c>
      <c r="G66" s="190">
        <f t="shared" si="3"/>
        <v>2390.3571428571431</v>
      </c>
      <c r="H66" s="190">
        <f t="shared" si="1"/>
        <v>59434.357142857145</v>
      </c>
      <c r="I66" s="191">
        <f t="shared" si="2"/>
        <v>6434476.2142857173</v>
      </c>
      <c r="J66" s="450"/>
      <c r="K66" s="434"/>
      <c r="L66" s="439"/>
      <c r="M66" s="440"/>
      <c r="N66" s="434"/>
    </row>
    <row r="67" spans="2:14" x14ac:dyDescent="0.2">
      <c r="B67" s="509">
        <v>44</v>
      </c>
      <c r="C67" s="510"/>
      <c r="D67" s="466"/>
      <c r="E67" s="453" t="s">
        <v>152</v>
      </c>
      <c r="F67" s="192">
        <f t="shared" si="4"/>
        <v>57044</v>
      </c>
      <c r="G67" s="190">
        <f t="shared" si="3"/>
        <v>2390.3571428571431</v>
      </c>
      <c r="H67" s="190">
        <f t="shared" si="1"/>
        <v>59434.357142857145</v>
      </c>
      <c r="I67" s="191">
        <f t="shared" si="2"/>
        <v>6375041.8571428601</v>
      </c>
      <c r="J67" s="450"/>
      <c r="K67" s="434"/>
      <c r="L67" s="439"/>
      <c r="M67" s="440"/>
      <c r="N67" s="434"/>
    </row>
    <row r="68" spans="2:14" x14ac:dyDescent="0.2">
      <c r="B68" s="509">
        <v>45</v>
      </c>
      <c r="C68" s="510"/>
      <c r="D68" s="466"/>
      <c r="E68" s="453" t="s">
        <v>153</v>
      </c>
      <c r="F68" s="192">
        <f t="shared" si="4"/>
        <v>57044</v>
      </c>
      <c r="G68" s="190">
        <f t="shared" si="3"/>
        <v>2390.3571428571431</v>
      </c>
      <c r="H68" s="190">
        <f t="shared" si="1"/>
        <v>59434.357142857145</v>
      </c>
      <c r="I68" s="191">
        <f t="shared" si="2"/>
        <v>6315607.5000000028</v>
      </c>
      <c r="J68" s="450"/>
      <c r="K68" s="434"/>
      <c r="L68" s="439"/>
      <c r="M68" s="440"/>
      <c r="N68" s="434"/>
    </row>
    <row r="69" spans="2:14" x14ac:dyDescent="0.2">
      <c r="B69" s="509">
        <v>46</v>
      </c>
      <c r="C69" s="510"/>
      <c r="D69" s="466"/>
      <c r="E69" s="453" t="s">
        <v>154</v>
      </c>
      <c r="F69" s="192">
        <f t="shared" si="4"/>
        <v>57044</v>
      </c>
      <c r="G69" s="190">
        <f t="shared" si="3"/>
        <v>2390.3571428571431</v>
      </c>
      <c r="H69" s="190">
        <f t="shared" si="1"/>
        <v>59434.357142857145</v>
      </c>
      <c r="I69" s="191">
        <f t="shared" si="2"/>
        <v>6256173.1428571455</v>
      </c>
      <c r="J69" s="450"/>
      <c r="K69" s="434"/>
      <c r="L69" s="439"/>
      <c r="M69" s="440"/>
      <c r="N69" s="434"/>
    </row>
    <row r="70" spans="2:14" x14ac:dyDescent="0.2">
      <c r="B70" s="509">
        <v>47</v>
      </c>
      <c r="C70" s="510"/>
      <c r="D70" s="466"/>
      <c r="E70" s="453" t="s">
        <v>155</v>
      </c>
      <c r="F70" s="192">
        <f t="shared" si="4"/>
        <v>57044</v>
      </c>
      <c r="G70" s="190">
        <f t="shared" si="3"/>
        <v>2390.3571428571431</v>
      </c>
      <c r="H70" s="190">
        <f t="shared" si="1"/>
        <v>59434.357142857145</v>
      </c>
      <c r="I70" s="191">
        <f t="shared" si="2"/>
        <v>6196738.7857142882</v>
      </c>
      <c r="J70" s="450"/>
      <c r="K70" s="434"/>
      <c r="L70" s="439"/>
      <c r="M70" s="440"/>
      <c r="N70" s="434"/>
    </row>
    <row r="71" spans="2:14" x14ac:dyDescent="0.2">
      <c r="B71" s="509">
        <v>48</v>
      </c>
      <c r="C71" s="510"/>
      <c r="D71" s="466"/>
      <c r="E71" s="453" t="s">
        <v>156</v>
      </c>
      <c r="F71" s="192">
        <f t="shared" si="4"/>
        <v>57044</v>
      </c>
      <c r="G71" s="190">
        <f t="shared" si="3"/>
        <v>2390.3571428571431</v>
      </c>
      <c r="H71" s="190">
        <f t="shared" si="1"/>
        <v>59434.357142857145</v>
      </c>
      <c r="I71" s="191">
        <f t="shared" si="2"/>
        <v>6137304.428571431</v>
      </c>
      <c r="J71" s="450"/>
      <c r="K71" s="434"/>
      <c r="L71" s="439"/>
      <c r="M71" s="440"/>
      <c r="N71" s="434"/>
    </row>
    <row r="72" spans="2:14" x14ac:dyDescent="0.2">
      <c r="B72" s="509">
        <v>49</v>
      </c>
      <c r="C72" s="510"/>
      <c r="D72" s="466"/>
      <c r="E72" s="453" t="s">
        <v>157</v>
      </c>
      <c r="F72" s="192">
        <f t="shared" si="4"/>
        <v>57044</v>
      </c>
      <c r="G72" s="190">
        <f t="shared" si="3"/>
        <v>2390.3571428571431</v>
      </c>
      <c r="H72" s="190">
        <f t="shared" si="1"/>
        <v>59434.357142857145</v>
      </c>
      <c r="I72" s="191">
        <f t="shared" si="2"/>
        <v>6077870.0714285737</v>
      </c>
      <c r="J72" s="450"/>
      <c r="K72" s="434"/>
      <c r="L72" s="439"/>
      <c r="M72" s="440"/>
      <c r="N72" s="434"/>
    </row>
    <row r="73" spans="2:14" x14ac:dyDescent="0.2">
      <c r="B73" s="509">
        <v>50</v>
      </c>
      <c r="C73" s="510"/>
      <c r="D73" s="466"/>
      <c r="E73" s="453" t="s">
        <v>158</v>
      </c>
      <c r="F73" s="192">
        <f t="shared" si="4"/>
        <v>57044</v>
      </c>
      <c r="G73" s="190">
        <f t="shared" si="3"/>
        <v>2390.3571428571431</v>
      </c>
      <c r="H73" s="190">
        <f t="shared" si="1"/>
        <v>59434.357142857145</v>
      </c>
      <c r="I73" s="191">
        <f t="shared" si="2"/>
        <v>6018435.7142857164</v>
      </c>
      <c r="J73" s="450"/>
      <c r="K73" s="434"/>
      <c r="L73" s="439"/>
      <c r="M73" s="440"/>
      <c r="N73" s="434"/>
    </row>
    <row r="74" spans="2:14" x14ac:dyDescent="0.2">
      <c r="B74" s="509">
        <v>51</v>
      </c>
      <c r="C74" s="510"/>
      <c r="D74" s="466"/>
      <c r="E74" s="453" t="s">
        <v>159</v>
      </c>
      <c r="F74" s="192">
        <f t="shared" si="4"/>
        <v>57044</v>
      </c>
      <c r="G74" s="190">
        <f t="shared" si="3"/>
        <v>2390.3571428571431</v>
      </c>
      <c r="H74" s="190">
        <f t="shared" si="1"/>
        <v>59434.357142857145</v>
      </c>
      <c r="I74" s="191">
        <f t="shared" si="2"/>
        <v>5959001.3571428591</v>
      </c>
      <c r="J74" s="450"/>
      <c r="K74" s="434"/>
      <c r="L74" s="439"/>
      <c r="M74" s="440"/>
      <c r="N74" s="434"/>
    </row>
    <row r="75" spans="2:14" x14ac:dyDescent="0.2">
      <c r="B75" s="509">
        <v>52</v>
      </c>
      <c r="C75" s="510"/>
      <c r="D75" s="466"/>
      <c r="E75" s="453" t="s">
        <v>160</v>
      </c>
      <c r="F75" s="192">
        <f t="shared" si="4"/>
        <v>57044</v>
      </c>
      <c r="G75" s="190">
        <f t="shared" si="3"/>
        <v>2390.3571428571431</v>
      </c>
      <c r="H75" s="190">
        <f t="shared" si="1"/>
        <v>59434.357142857145</v>
      </c>
      <c r="I75" s="191">
        <f t="shared" si="2"/>
        <v>5899567.0000000019</v>
      </c>
      <c r="J75" s="450"/>
      <c r="K75" s="434"/>
      <c r="L75" s="439"/>
      <c r="M75" s="440"/>
      <c r="N75" s="434"/>
    </row>
    <row r="76" spans="2:14" x14ac:dyDescent="0.2">
      <c r="B76" s="509">
        <v>53</v>
      </c>
      <c r="C76" s="510"/>
      <c r="D76" s="466"/>
      <c r="E76" s="453" t="s">
        <v>161</v>
      </c>
      <c r="F76" s="192">
        <f t="shared" si="4"/>
        <v>57044</v>
      </c>
      <c r="G76" s="190">
        <f t="shared" si="3"/>
        <v>2390.3571428571431</v>
      </c>
      <c r="H76" s="190">
        <f t="shared" si="1"/>
        <v>59434.357142857145</v>
      </c>
      <c r="I76" s="191">
        <f t="shared" si="2"/>
        <v>5840132.6428571446</v>
      </c>
      <c r="J76" s="450"/>
      <c r="K76" s="434"/>
      <c r="L76" s="439"/>
      <c r="M76" s="440"/>
      <c r="N76" s="434"/>
    </row>
    <row r="77" spans="2:14" x14ac:dyDescent="0.2">
      <c r="B77" s="509">
        <v>54</v>
      </c>
      <c r="C77" s="510"/>
      <c r="D77" s="466"/>
      <c r="E77" s="453" t="s">
        <v>162</v>
      </c>
      <c r="F77" s="192">
        <f t="shared" si="4"/>
        <v>57044</v>
      </c>
      <c r="G77" s="190">
        <f t="shared" si="3"/>
        <v>2390.3571428571431</v>
      </c>
      <c r="H77" s="190">
        <f t="shared" si="1"/>
        <v>59434.357142857145</v>
      </c>
      <c r="I77" s="191">
        <f t="shared" si="2"/>
        <v>5780698.2857142873</v>
      </c>
      <c r="J77" s="450"/>
      <c r="K77" s="434"/>
      <c r="L77" s="439"/>
      <c r="M77" s="440"/>
      <c r="N77" s="434"/>
    </row>
    <row r="78" spans="2:14" x14ac:dyDescent="0.2">
      <c r="B78" s="509">
        <v>55</v>
      </c>
      <c r="C78" s="510"/>
      <c r="D78" s="466"/>
      <c r="E78" s="453" t="s">
        <v>163</v>
      </c>
      <c r="F78" s="192">
        <f t="shared" si="4"/>
        <v>57044</v>
      </c>
      <c r="G78" s="190">
        <f t="shared" si="3"/>
        <v>2390.3571428571431</v>
      </c>
      <c r="H78" s="190">
        <f t="shared" si="1"/>
        <v>59434.357142857145</v>
      </c>
      <c r="I78" s="191">
        <f t="shared" si="2"/>
        <v>5721263.92857143</v>
      </c>
      <c r="J78" s="450"/>
      <c r="K78" s="434"/>
      <c r="L78" s="439"/>
      <c r="M78" s="440"/>
      <c r="N78" s="434"/>
    </row>
    <row r="79" spans="2:14" x14ac:dyDescent="0.2">
      <c r="B79" s="509">
        <v>56</v>
      </c>
      <c r="C79" s="510"/>
      <c r="D79" s="466"/>
      <c r="E79" s="453" t="s">
        <v>164</v>
      </c>
      <c r="F79" s="192">
        <f t="shared" si="4"/>
        <v>57044</v>
      </c>
      <c r="G79" s="190">
        <f t="shared" si="3"/>
        <v>2390.3571428571431</v>
      </c>
      <c r="H79" s="190">
        <f t="shared" si="1"/>
        <v>59434.357142857145</v>
      </c>
      <c r="I79" s="191">
        <f t="shared" si="2"/>
        <v>5661829.5714285728</v>
      </c>
      <c r="J79" s="450"/>
      <c r="K79" s="434"/>
      <c r="L79" s="439"/>
      <c r="M79" s="440"/>
      <c r="N79" s="434"/>
    </row>
    <row r="80" spans="2:14" x14ac:dyDescent="0.2">
      <c r="B80" s="509">
        <v>57</v>
      </c>
      <c r="C80" s="510"/>
      <c r="D80" s="466"/>
      <c r="E80" s="453" t="s">
        <v>165</v>
      </c>
      <c r="F80" s="192">
        <f t="shared" si="4"/>
        <v>57044</v>
      </c>
      <c r="G80" s="190">
        <f t="shared" si="3"/>
        <v>2390.3571428571431</v>
      </c>
      <c r="H80" s="190">
        <f t="shared" si="1"/>
        <v>59434.357142857145</v>
      </c>
      <c r="I80" s="191">
        <f t="shared" si="2"/>
        <v>5602395.2142857155</v>
      </c>
      <c r="J80" s="450"/>
      <c r="K80" s="434"/>
      <c r="L80" s="439"/>
      <c r="M80" s="440"/>
      <c r="N80" s="434"/>
    </row>
    <row r="81" spans="2:14" x14ac:dyDescent="0.2">
      <c r="B81" s="509">
        <v>58</v>
      </c>
      <c r="C81" s="510"/>
      <c r="D81" s="466"/>
      <c r="E81" s="453" t="s">
        <v>166</v>
      </c>
      <c r="F81" s="192">
        <f t="shared" si="4"/>
        <v>57044</v>
      </c>
      <c r="G81" s="190">
        <f t="shared" si="3"/>
        <v>2390.3571428571431</v>
      </c>
      <c r="H81" s="190">
        <f t="shared" si="1"/>
        <v>59434.357142857145</v>
      </c>
      <c r="I81" s="191">
        <f t="shared" si="2"/>
        <v>5542960.8571428582</v>
      </c>
      <c r="J81" s="450"/>
      <c r="K81" s="434"/>
      <c r="L81" s="439"/>
      <c r="M81" s="440"/>
      <c r="N81" s="434"/>
    </row>
    <row r="82" spans="2:14" x14ac:dyDescent="0.2">
      <c r="B82" s="509">
        <v>59</v>
      </c>
      <c r="C82" s="510"/>
      <c r="D82" s="466"/>
      <c r="E82" s="453" t="s">
        <v>167</v>
      </c>
      <c r="F82" s="192">
        <f t="shared" si="4"/>
        <v>57044</v>
      </c>
      <c r="G82" s="190">
        <f t="shared" si="3"/>
        <v>2390.3571428571431</v>
      </c>
      <c r="H82" s="190">
        <f t="shared" si="1"/>
        <v>59434.357142857145</v>
      </c>
      <c r="I82" s="191">
        <f t="shared" si="2"/>
        <v>5483526.5000000009</v>
      </c>
      <c r="J82" s="450"/>
      <c r="K82" s="434"/>
      <c r="L82" s="439"/>
      <c r="M82" s="440"/>
      <c r="N82" s="434"/>
    </row>
    <row r="83" spans="2:14" x14ac:dyDescent="0.2">
      <c r="B83" s="509">
        <v>60</v>
      </c>
      <c r="C83" s="510"/>
      <c r="D83" s="466"/>
      <c r="E83" s="453" t="s">
        <v>168</v>
      </c>
      <c r="F83" s="192">
        <f>F82</f>
        <v>57044</v>
      </c>
      <c r="G83" s="190">
        <f>G82</f>
        <v>2390.3571428571431</v>
      </c>
      <c r="H83" s="190">
        <f t="shared" si="1"/>
        <v>59434.357142857145</v>
      </c>
      <c r="I83" s="191">
        <f t="shared" si="2"/>
        <v>5424092.1428571437</v>
      </c>
      <c r="J83" s="450"/>
      <c r="K83" s="434"/>
      <c r="L83" s="439"/>
      <c r="M83" s="440"/>
      <c r="N83" s="434"/>
    </row>
    <row r="84" spans="2:14" ht="16" thickBot="1" x14ac:dyDescent="0.25">
      <c r="B84" s="509">
        <v>61</v>
      </c>
      <c r="C84" s="510"/>
      <c r="D84" s="466"/>
      <c r="E84" s="452" t="s">
        <v>175</v>
      </c>
      <c r="F84" s="192">
        <f>((D17+D19)*60%)/1</f>
        <v>5208960</v>
      </c>
      <c r="G84" s="193">
        <f>(D18*60%)/1</f>
        <v>215132.14285714284</v>
      </c>
      <c r="H84" s="193">
        <f>SUM(F84:G84)</f>
        <v>5424092.1428571427</v>
      </c>
      <c r="I84" s="191">
        <f t="shared" si="2"/>
        <v>0</v>
      </c>
      <c r="J84" s="450"/>
      <c r="K84" s="434"/>
      <c r="L84" s="439"/>
      <c r="M84" s="440"/>
      <c r="N84" s="434"/>
    </row>
    <row r="85" spans="2:14" ht="18" customHeight="1" thickBot="1" x14ac:dyDescent="0.25">
      <c r="B85" s="454"/>
      <c r="C85" s="455"/>
      <c r="D85" s="456"/>
      <c r="E85" s="457" t="s">
        <v>96</v>
      </c>
      <c r="F85" s="196">
        <f>SUM(F23:F84)</f>
        <v>8681600</v>
      </c>
      <c r="G85" s="196">
        <f>SUM(G23:G84)</f>
        <v>358553.57142857148</v>
      </c>
      <c r="H85" s="196">
        <f>SUM(H23:H84)</f>
        <v>9040153.5714285728</v>
      </c>
      <c r="I85" s="197"/>
      <c r="J85" s="434"/>
      <c r="K85" s="434"/>
      <c r="L85" s="439">
        <f>SUM(L23:L83)</f>
        <v>56000</v>
      </c>
      <c r="M85" s="440">
        <f>L85-F85</f>
        <v>-8625600</v>
      </c>
      <c r="N85" s="434"/>
    </row>
    <row r="86" spans="2:14" x14ac:dyDescent="0.2">
      <c r="D86" s="458"/>
      <c r="L86" s="459"/>
    </row>
    <row r="87" spans="2:14" ht="14.5" customHeight="1" x14ac:dyDescent="0.2">
      <c r="B87" s="529" t="s">
        <v>196</v>
      </c>
      <c r="C87" s="529"/>
      <c r="D87" s="529"/>
      <c r="E87" s="529"/>
      <c r="F87" s="529"/>
      <c r="G87" s="529"/>
      <c r="H87" s="529"/>
      <c r="I87" s="529"/>
      <c r="L87" s="459"/>
    </row>
    <row r="88" spans="2:14" x14ac:dyDescent="0.2">
      <c r="B88" s="529"/>
      <c r="C88" s="529"/>
      <c r="D88" s="529"/>
      <c r="E88" s="529"/>
      <c r="F88" s="529"/>
      <c r="G88" s="529"/>
      <c r="H88" s="529"/>
      <c r="I88" s="529"/>
      <c r="L88" s="459"/>
    </row>
    <row r="89" spans="2:14" x14ac:dyDescent="0.2">
      <c r="B89" s="529"/>
      <c r="C89" s="529"/>
      <c r="D89" s="529"/>
      <c r="E89" s="529"/>
      <c r="F89" s="529"/>
      <c r="G89" s="529"/>
      <c r="H89" s="529"/>
      <c r="I89" s="529"/>
      <c r="L89" s="459"/>
    </row>
    <row r="90" spans="2:14" x14ac:dyDescent="0.2">
      <c r="B90" s="529"/>
      <c r="C90" s="529"/>
      <c r="D90" s="529"/>
      <c r="E90" s="529"/>
      <c r="F90" s="529"/>
      <c r="G90" s="529"/>
      <c r="H90" s="529"/>
      <c r="I90" s="529"/>
      <c r="L90" s="459"/>
    </row>
    <row r="91" spans="2:14" x14ac:dyDescent="0.2">
      <c r="B91" s="529"/>
      <c r="C91" s="529"/>
      <c r="D91" s="529"/>
      <c r="E91" s="529"/>
      <c r="F91" s="529"/>
      <c r="G91" s="529"/>
      <c r="H91" s="529"/>
      <c r="I91" s="529"/>
      <c r="L91" s="459"/>
    </row>
    <row r="92" spans="2:14" x14ac:dyDescent="0.2">
      <c r="B92" s="529"/>
      <c r="C92" s="529"/>
      <c r="D92" s="529"/>
      <c r="E92" s="529"/>
      <c r="F92" s="529"/>
      <c r="G92" s="529"/>
      <c r="H92" s="529"/>
      <c r="I92" s="529"/>
      <c r="L92" s="459"/>
    </row>
    <row r="93" spans="2:14" x14ac:dyDescent="0.2">
      <c r="B93" s="529"/>
      <c r="C93" s="529"/>
      <c r="D93" s="529"/>
      <c r="E93" s="529"/>
      <c r="F93" s="529"/>
      <c r="G93" s="529"/>
      <c r="H93" s="529"/>
      <c r="I93" s="529"/>
      <c r="L93" s="459"/>
    </row>
    <row r="94" spans="2:14" x14ac:dyDescent="0.2">
      <c r="B94" s="529"/>
      <c r="C94" s="529"/>
      <c r="D94" s="529"/>
      <c r="E94" s="529"/>
      <c r="F94" s="529"/>
      <c r="G94" s="529"/>
      <c r="H94" s="529"/>
      <c r="I94" s="529"/>
      <c r="L94" s="459"/>
    </row>
    <row r="95" spans="2:14" x14ac:dyDescent="0.2">
      <c r="B95" s="529"/>
      <c r="C95" s="529"/>
      <c r="D95" s="529"/>
      <c r="E95" s="529"/>
      <c r="F95" s="529"/>
      <c r="G95" s="529"/>
      <c r="H95" s="529"/>
      <c r="I95" s="529"/>
      <c r="L95" s="459"/>
    </row>
    <row r="96" spans="2:14" x14ac:dyDescent="0.2">
      <c r="B96" s="529"/>
      <c r="C96" s="529"/>
      <c r="D96" s="529"/>
      <c r="E96" s="529"/>
      <c r="F96" s="529"/>
      <c r="G96" s="529"/>
      <c r="H96" s="529"/>
      <c r="I96" s="529"/>
      <c r="L96" s="459"/>
    </row>
    <row r="97" spans="2:12" x14ac:dyDescent="0.2">
      <c r="B97" s="529"/>
      <c r="C97" s="529"/>
      <c r="D97" s="529"/>
      <c r="E97" s="529"/>
      <c r="F97" s="529"/>
      <c r="G97" s="529"/>
      <c r="H97" s="529"/>
      <c r="I97" s="529"/>
      <c r="L97" s="459"/>
    </row>
    <row r="98" spans="2:12" x14ac:dyDescent="0.2">
      <c r="B98" s="529"/>
      <c r="C98" s="529"/>
      <c r="D98" s="529"/>
      <c r="E98" s="529"/>
      <c r="F98" s="529"/>
      <c r="G98" s="529"/>
      <c r="H98" s="529"/>
      <c r="I98" s="529"/>
      <c r="L98" s="459"/>
    </row>
    <row r="99" spans="2:12" x14ac:dyDescent="0.2">
      <c r="B99" s="529"/>
      <c r="C99" s="529"/>
      <c r="D99" s="529"/>
      <c r="E99" s="529"/>
      <c r="F99" s="529"/>
      <c r="G99" s="529"/>
      <c r="H99" s="529"/>
      <c r="I99" s="529"/>
      <c r="L99" s="459"/>
    </row>
    <row r="100" spans="2:12" ht="23.25" customHeight="1" x14ac:dyDescent="0.2">
      <c r="B100" s="529"/>
      <c r="C100" s="529"/>
      <c r="D100" s="529"/>
      <c r="E100" s="529"/>
      <c r="F100" s="529"/>
      <c r="G100" s="529"/>
      <c r="H100" s="529"/>
      <c r="I100" s="529"/>
      <c r="L100" s="459"/>
    </row>
    <row r="101" spans="2:12" ht="66.5" customHeight="1" x14ac:dyDescent="0.2">
      <c r="B101" s="529"/>
      <c r="C101" s="529"/>
      <c r="D101" s="529"/>
      <c r="E101" s="529"/>
      <c r="F101" s="529"/>
      <c r="G101" s="529"/>
      <c r="H101" s="529"/>
      <c r="I101" s="529"/>
      <c r="L101" s="459"/>
    </row>
    <row r="102" spans="2:12" ht="14.5" hidden="1" customHeight="1" x14ac:dyDescent="0.2">
      <c r="B102" s="529"/>
      <c r="C102" s="529"/>
      <c r="D102" s="529"/>
      <c r="E102" s="529"/>
      <c r="F102" s="529"/>
      <c r="G102" s="529"/>
      <c r="H102" s="529"/>
      <c r="I102" s="529"/>
      <c r="L102" s="459"/>
    </row>
    <row r="103" spans="2:12" ht="14.5" hidden="1" customHeight="1" x14ac:dyDescent="0.2">
      <c r="B103" s="529"/>
      <c r="C103" s="529"/>
      <c r="D103" s="529"/>
      <c r="E103" s="529"/>
      <c r="F103" s="529"/>
      <c r="G103" s="529"/>
      <c r="H103" s="529"/>
      <c r="I103" s="529"/>
      <c r="L103" s="459"/>
    </row>
    <row r="104" spans="2:12" ht="14.5" hidden="1" customHeight="1" x14ac:dyDescent="0.2">
      <c r="B104" s="529"/>
      <c r="C104" s="529"/>
      <c r="D104" s="529"/>
      <c r="E104" s="529"/>
      <c r="F104" s="529"/>
      <c r="G104" s="529"/>
      <c r="H104" s="529"/>
      <c r="I104" s="529"/>
      <c r="L104" s="459"/>
    </row>
    <row r="105" spans="2:12" hidden="1" x14ac:dyDescent="0.2">
      <c r="B105" s="460" t="s">
        <v>97</v>
      </c>
      <c r="C105" s="460"/>
    </row>
    <row r="106" spans="2:12" hidden="1" x14ac:dyDescent="0.2">
      <c r="B106" s="461" t="s">
        <v>98</v>
      </c>
      <c r="C106" s="461"/>
    </row>
    <row r="107" spans="2:12" hidden="1" x14ac:dyDescent="0.2">
      <c r="B107" s="461" t="s">
        <v>99</v>
      </c>
      <c r="C107" s="461"/>
    </row>
    <row r="108" spans="2:12" ht="81" hidden="1" customHeight="1" x14ac:dyDescent="0.2">
      <c r="B108" s="461" t="s">
        <v>100</v>
      </c>
      <c r="C108" s="461"/>
    </row>
    <row r="109" spans="2:12" ht="24" hidden="1" customHeight="1" x14ac:dyDescent="0.2">
      <c r="B109" s="461" t="s">
        <v>101</v>
      </c>
      <c r="C109" s="461"/>
    </row>
    <row r="110" spans="2:12" s="462" customFormat="1" ht="62.5" hidden="1" customHeight="1" x14ac:dyDescent="0.2">
      <c r="B110" s="461" t="s">
        <v>102</v>
      </c>
      <c r="C110" s="461"/>
    </row>
    <row r="112" spans="2:12" x14ac:dyDescent="0.2">
      <c r="B112" s="463" t="s">
        <v>103</v>
      </c>
      <c r="C112" s="463"/>
    </row>
    <row r="115" spans="2:9" x14ac:dyDescent="0.2">
      <c r="B115" s="530" t="s">
        <v>104</v>
      </c>
      <c r="C115" s="530"/>
      <c r="D115" s="530"/>
      <c r="F115" s="530" t="s">
        <v>105</v>
      </c>
      <c r="G115" s="530"/>
      <c r="H115" s="530"/>
      <c r="I115" s="530"/>
    </row>
  </sheetData>
  <sheetProtection algorithmName="SHA-512" hashValue="H3jfqCdobJt5aQDewEujp6a8zcFOWABLmHKHXm6RoGiwZ8ryW6/g1W+rN5f0+86k1/4CwVrCE9hmru6KvDBPWQ==" saltValue="D4z3awHpW5SkiNPxQsR0Cw==" spinCount="100000" sheet="1" objects="1" scenarios="1"/>
  <mergeCells count="74">
    <mergeCell ref="B115:D115"/>
    <mergeCell ref="F115:I115"/>
    <mergeCell ref="B87:I104"/>
    <mergeCell ref="B80:C80"/>
    <mergeCell ref="B81:C81"/>
    <mergeCell ref="B82:C82"/>
    <mergeCell ref="B83:C83"/>
    <mergeCell ref="B84:C84"/>
    <mergeCell ref="B79:C79"/>
    <mergeCell ref="B68:C68"/>
    <mergeCell ref="B69:C69"/>
    <mergeCell ref="B70:C70"/>
    <mergeCell ref="B71:C71"/>
    <mergeCell ref="B72:C72"/>
    <mergeCell ref="B73:C73"/>
    <mergeCell ref="B74:C74"/>
    <mergeCell ref="B75:C75"/>
    <mergeCell ref="B76:C76"/>
    <mergeCell ref="B77:C77"/>
    <mergeCell ref="B78:C78"/>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C10:D10"/>
    <mergeCell ref="C11:D11"/>
    <mergeCell ref="B22:C22"/>
    <mergeCell ref="B23:C23"/>
    <mergeCell ref="B24:C24"/>
    <mergeCell ref="B25:C25"/>
    <mergeCell ref="B26:C26"/>
    <mergeCell ref="B27:C27"/>
    <mergeCell ref="B28:C28"/>
    <mergeCell ref="B29:C29"/>
    <mergeCell ref="B30:C30"/>
    <mergeCell ref="C9:D9"/>
    <mergeCell ref="L1:L3"/>
    <mergeCell ref="I2:I3"/>
    <mergeCell ref="C6:D6"/>
    <mergeCell ref="C7:D7"/>
    <mergeCell ref="C8:D8"/>
  </mergeCells>
  <phoneticPr fontId="45" type="noConversion"/>
  <hyperlinks>
    <hyperlink ref="P4" location="Input!A1" display="Return to Input" xr:uid="{00000000-0004-0000-0900-000000000000}"/>
  </hyperlinks>
  <pageMargins left="0.7" right="0.7" top="0.75" bottom="0.75" header="0.3" footer="0.3"/>
  <pageSetup paperSize="5" scale="54" orientation="portrait"/>
  <ignoredErrors>
    <ignoredError sqref="C15" unlockedFormula="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92D050"/>
    <pageSetUpPr fitToPage="1"/>
  </sheetPr>
  <dimension ref="B1:N146"/>
  <sheetViews>
    <sheetView workbookViewId="0">
      <selection activeCell="K4" sqref="K4"/>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20.33203125" style="212" customWidth="1"/>
    <col min="5" max="5" width="18.5" style="212" customWidth="1"/>
    <col min="6" max="6" width="17.5" style="212" hidden="1" customWidth="1"/>
    <col min="7" max="7" width="16.33203125" style="212" hidden="1" customWidth="1"/>
    <col min="8" max="8" width="18.6640625" style="212" customWidth="1"/>
    <col min="9" max="9" width="23.6640625" style="212" customWidth="1"/>
    <col min="10" max="10" width="9.33203125" style="212" bestFit="1" customWidth="1"/>
    <col min="11" max="11" width="8.83203125" style="212"/>
    <col min="12" max="12" width="26.1640625" style="212" hidden="1" customWidth="1"/>
    <col min="13" max="13" width="15.83203125" style="212" hidden="1" customWidth="1"/>
    <col min="14" max="14" width="0" style="212" hidden="1" customWidth="1"/>
    <col min="15"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4" x14ac:dyDescent="0.2">
      <c r="L1" s="511"/>
    </row>
    <row r="2" spans="2:14" x14ac:dyDescent="0.2">
      <c r="B2" s="425" t="s">
        <v>81</v>
      </c>
      <c r="F2" s="426"/>
      <c r="G2" s="426"/>
      <c r="H2" s="426"/>
      <c r="I2" s="512" t="s">
        <v>82</v>
      </c>
      <c r="L2" s="511"/>
    </row>
    <row r="3" spans="2:14" x14ac:dyDescent="0.2">
      <c r="B3" s="425" t="s">
        <v>171</v>
      </c>
      <c r="F3" s="427"/>
      <c r="G3" s="427"/>
      <c r="H3" s="427"/>
      <c r="I3" s="512"/>
      <c r="L3" s="511"/>
    </row>
    <row r="4" spans="2:14" x14ac:dyDescent="0.2">
      <c r="B4" s="425" t="s">
        <v>83</v>
      </c>
      <c r="K4" s="464" t="s">
        <v>84</v>
      </c>
    </row>
    <row r="5" spans="2:14" ht="16" thickBot="1" x14ac:dyDescent="0.25"/>
    <row r="6" spans="2:14" ht="33" customHeight="1" thickBot="1" x14ac:dyDescent="0.25">
      <c r="B6" s="429" t="s">
        <v>71</v>
      </c>
      <c r="C6" s="513">
        <f>INPUT!C12</f>
        <v>0</v>
      </c>
      <c r="D6" s="514"/>
    </row>
    <row r="7" spans="2:14" x14ac:dyDescent="0.2">
      <c r="B7" s="430" t="s">
        <v>85</v>
      </c>
      <c r="C7" s="515" t="str">
        <f>INPUT!C11</f>
        <v>Block 5 Lot 11</v>
      </c>
      <c r="D7" s="516"/>
      <c r="E7" s="425"/>
      <c r="L7" s="431"/>
      <c r="M7" s="431"/>
      <c r="N7" s="431"/>
    </row>
    <row r="8" spans="2:14" x14ac:dyDescent="0.2">
      <c r="B8" s="432" t="s">
        <v>6</v>
      </c>
      <c r="C8" s="517">
        <f>INPUT!C17</f>
        <v>520</v>
      </c>
      <c r="D8" s="518"/>
      <c r="L8" s="431"/>
      <c r="M8" s="431"/>
      <c r="N8" s="431"/>
    </row>
    <row r="9" spans="2:14" x14ac:dyDescent="0.2">
      <c r="B9" s="432" t="s">
        <v>77</v>
      </c>
      <c r="C9" s="519">
        <f>INPUT!C18</f>
        <v>9574000</v>
      </c>
      <c r="D9" s="520"/>
      <c r="L9" s="431"/>
      <c r="M9" s="431"/>
      <c r="N9" s="431"/>
    </row>
    <row r="10" spans="2:14" x14ac:dyDescent="0.2">
      <c r="B10" s="432" t="s">
        <v>86</v>
      </c>
      <c r="C10" s="521" t="s">
        <v>272</v>
      </c>
      <c r="D10" s="522"/>
      <c r="L10" s="431"/>
      <c r="M10" s="431"/>
      <c r="N10" s="431"/>
    </row>
    <row r="11" spans="2:14" x14ac:dyDescent="0.2">
      <c r="B11" s="432"/>
      <c r="C11" s="483" t="s">
        <v>278</v>
      </c>
      <c r="D11" s="484"/>
      <c r="L11" s="431"/>
      <c r="M11" s="431"/>
      <c r="N11" s="431"/>
    </row>
    <row r="12" spans="2:14" x14ac:dyDescent="0.2">
      <c r="B12" s="432"/>
      <c r="C12" s="483" t="s">
        <v>279</v>
      </c>
      <c r="D12" s="484"/>
      <c r="L12" s="431"/>
      <c r="M12" s="431"/>
      <c r="N12" s="431"/>
    </row>
    <row r="13" spans="2:14" ht="16" thickBot="1" x14ac:dyDescent="0.25">
      <c r="B13" s="433"/>
      <c r="C13" s="533" t="s">
        <v>174</v>
      </c>
      <c r="D13" s="534"/>
      <c r="L13" s="434"/>
      <c r="M13" s="434"/>
      <c r="N13" s="434"/>
    </row>
    <row r="14" spans="2:14" x14ac:dyDescent="0.2">
      <c r="E14" s="434"/>
      <c r="F14" s="434"/>
      <c r="G14" s="434"/>
      <c r="H14" s="434"/>
      <c r="I14" s="434"/>
      <c r="J14" s="434"/>
      <c r="K14" s="434"/>
      <c r="L14" s="435" t="s">
        <v>87</v>
      </c>
      <c r="M14" s="436">
        <v>0.02</v>
      </c>
      <c r="N14" s="434"/>
    </row>
    <row r="15" spans="2:14" x14ac:dyDescent="0.2">
      <c r="B15" s="437" t="s">
        <v>88</v>
      </c>
      <c r="C15" s="437"/>
      <c r="E15" s="434"/>
      <c r="F15" s="434"/>
      <c r="G15" s="434"/>
      <c r="H15" s="434"/>
      <c r="I15" s="434"/>
      <c r="J15" s="434"/>
      <c r="K15" s="434"/>
      <c r="L15" s="434"/>
      <c r="M15" s="436">
        <v>0</v>
      </c>
      <c r="N15" s="434"/>
    </row>
    <row r="16" spans="2:14" x14ac:dyDescent="0.2">
      <c r="B16" s="438" t="s">
        <v>187</v>
      </c>
      <c r="C16" s="198"/>
      <c r="D16" s="199">
        <f>(C9-650000)</f>
        <v>8924000</v>
      </c>
      <c r="E16" s="439">
        <f>C9</f>
        <v>9574000</v>
      </c>
      <c r="F16" s="440">
        <f t="shared" ref="F16" si="0">D16-E16</f>
        <v>-650000</v>
      </c>
      <c r="G16" s="440"/>
      <c r="H16" s="440"/>
      <c r="I16" s="434"/>
      <c r="J16" s="434"/>
      <c r="K16" s="434"/>
      <c r="L16" s="434"/>
      <c r="M16" s="434"/>
      <c r="N16" s="434"/>
    </row>
    <row r="17" spans="2:14" x14ac:dyDescent="0.2">
      <c r="B17" s="441" t="s">
        <v>109</v>
      </c>
      <c r="C17" s="201">
        <f>INPUT!C22</f>
        <v>0.1</v>
      </c>
      <c r="D17" s="200">
        <f>IF(C17&gt;10%,"maximum of 10%",(D16*C17))</f>
        <v>892400</v>
      </c>
      <c r="E17" s="439"/>
      <c r="F17" s="440"/>
      <c r="G17" s="440"/>
      <c r="H17" s="440"/>
      <c r="I17" s="434"/>
      <c r="J17" s="434"/>
      <c r="K17" s="434"/>
      <c r="L17" s="434"/>
      <c r="M17" s="434"/>
      <c r="N17" s="434"/>
    </row>
    <row r="18" spans="2:14" x14ac:dyDescent="0.2">
      <c r="B18" s="441" t="s">
        <v>274</v>
      </c>
      <c r="C18" s="206">
        <v>0.01</v>
      </c>
      <c r="D18" s="200">
        <f>IF(C18&gt;1%,"maximum of 1%",(D16-D17)*C18)</f>
        <v>80316</v>
      </c>
      <c r="E18" s="439"/>
      <c r="F18" s="440"/>
      <c r="G18" s="440"/>
      <c r="H18" s="440"/>
      <c r="I18" s="434"/>
      <c r="J18" s="434"/>
      <c r="K18" s="434"/>
      <c r="L18" s="434"/>
      <c r="M18" s="434"/>
      <c r="N18" s="434"/>
    </row>
    <row r="19" spans="2:14" x14ac:dyDescent="0.2">
      <c r="B19" s="441" t="s">
        <v>87</v>
      </c>
      <c r="C19" s="201" t="str">
        <f>IF(INPUT!C13="Repeat Buyer","2%",IF(INPUT!C13="New Buyer","0%"))</f>
        <v>0%</v>
      </c>
      <c r="D19" s="210">
        <f>IF(C19&gt;2%,((D16-D17-D18))*C19, "maximum of 2%")</f>
        <v>0</v>
      </c>
      <c r="E19" s="439"/>
      <c r="F19" s="440"/>
      <c r="G19" s="440"/>
      <c r="H19" s="440"/>
      <c r="I19" s="434"/>
      <c r="J19" s="434"/>
      <c r="K19" s="434"/>
      <c r="L19" s="434"/>
      <c r="M19" s="434"/>
      <c r="N19" s="434"/>
    </row>
    <row r="20" spans="2:14" x14ac:dyDescent="0.2">
      <c r="B20" s="441"/>
      <c r="C20" s="201"/>
      <c r="D20" s="200">
        <f>D16-SUM(D17:D19)</f>
        <v>7951284</v>
      </c>
      <c r="E20" s="439"/>
      <c r="F20" s="440"/>
      <c r="G20" s="440"/>
      <c r="H20" s="440"/>
      <c r="I20" s="434"/>
      <c r="J20" s="434"/>
      <c r="K20" s="434"/>
      <c r="L20" s="434"/>
      <c r="M20" s="434"/>
      <c r="N20" s="434"/>
    </row>
    <row r="21" spans="2:14" x14ac:dyDescent="0.2">
      <c r="B21" s="441" t="s">
        <v>266</v>
      </c>
      <c r="C21" s="201">
        <v>0.05</v>
      </c>
      <c r="D21" s="200">
        <f>((D16-SUM(D17:D19))/1.12*C21)</f>
        <v>354968.03571428568</v>
      </c>
      <c r="E21" s="439"/>
      <c r="F21" s="440"/>
      <c r="G21" s="440"/>
      <c r="H21" s="440"/>
      <c r="I21" s="434"/>
      <c r="J21" s="434"/>
      <c r="K21" s="434"/>
      <c r="L21" s="434"/>
      <c r="M21" s="434"/>
      <c r="N21" s="434"/>
    </row>
    <row r="22" spans="2:14" x14ac:dyDescent="0.2">
      <c r="B22" s="438" t="s">
        <v>193</v>
      </c>
      <c r="C22" s="201"/>
      <c r="D22" s="200">
        <v>650000</v>
      </c>
      <c r="E22" s="439"/>
      <c r="F22" s="440"/>
      <c r="G22" s="440"/>
      <c r="H22" s="440"/>
      <c r="I22" s="434"/>
      <c r="J22" s="434"/>
      <c r="K22" s="434"/>
      <c r="L22" s="434"/>
      <c r="M22" s="434"/>
      <c r="N22" s="434"/>
    </row>
    <row r="23" spans="2:14" ht="16" thickBot="1" x14ac:dyDescent="0.25">
      <c r="B23" s="442" t="s">
        <v>90</v>
      </c>
      <c r="C23" s="201"/>
      <c r="D23" s="205">
        <f>SUM(D20:D22)</f>
        <v>8956252.0357142854</v>
      </c>
      <c r="E23" s="439"/>
      <c r="F23" s="440"/>
      <c r="G23" s="440"/>
      <c r="H23" s="440"/>
      <c r="I23" s="434"/>
      <c r="J23" s="434"/>
      <c r="K23" s="434"/>
      <c r="L23" s="434"/>
      <c r="M23" s="434"/>
      <c r="N23" s="434"/>
    </row>
    <row r="24" spans="2:14" ht="17" thickTop="1" thickBot="1" x14ac:dyDescent="0.25">
      <c r="D24" s="443"/>
    </row>
    <row r="25" spans="2:14" ht="31" thickBot="1" x14ac:dyDescent="0.25">
      <c r="B25" s="525" t="s">
        <v>91</v>
      </c>
      <c r="C25" s="526"/>
      <c r="D25" s="444" t="s">
        <v>92</v>
      </c>
      <c r="E25" s="444" t="s">
        <v>93</v>
      </c>
      <c r="F25" s="445" t="s">
        <v>189</v>
      </c>
      <c r="G25" s="446" t="s">
        <v>184</v>
      </c>
      <c r="H25" s="447" t="s">
        <v>202</v>
      </c>
      <c r="I25" s="448" t="s">
        <v>94</v>
      </c>
      <c r="J25" s="434"/>
      <c r="K25" s="434"/>
      <c r="L25" s="434"/>
      <c r="M25" s="434"/>
      <c r="N25" s="434"/>
    </row>
    <row r="26" spans="2:14" x14ac:dyDescent="0.2">
      <c r="B26" s="527">
        <v>0</v>
      </c>
      <c r="C26" s="528"/>
      <c r="D26" s="501"/>
      <c r="E26" s="449" t="s">
        <v>46</v>
      </c>
      <c r="F26" s="418">
        <v>50000</v>
      </c>
      <c r="G26" s="419">
        <v>0</v>
      </c>
      <c r="H26" s="208">
        <f>SUM(F26:G26)</f>
        <v>50000</v>
      </c>
      <c r="I26" s="188">
        <f>D23-F26</f>
        <v>8906252.0357142854</v>
      </c>
      <c r="J26" s="450" t="s">
        <v>95</v>
      </c>
      <c r="K26" s="434"/>
      <c r="L26" s="439">
        <v>56000</v>
      </c>
      <c r="M26" s="440">
        <f>L26-F26</f>
        <v>6000</v>
      </c>
      <c r="N26" s="434"/>
    </row>
    <row r="27" spans="2:14" x14ac:dyDescent="0.2">
      <c r="B27" s="536">
        <v>1</v>
      </c>
      <c r="C27" s="537"/>
      <c r="D27" s="500"/>
      <c r="E27" s="451" t="s">
        <v>39</v>
      </c>
      <c r="F27" s="420">
        <f>(((D20+D22)*5%)-F26)</f>
        <v>380064.2</v>
      </c>
      <c r="G27" s="420">
        <f>D21*5%</f>
        <v>17748.401785714286</v>
      </c>
      <c r="H27" s="420">
        <f>SUM(F27:G27)</f>
        <v>397812.60178571427</v>
      </c>
      <c r="I27" s="417">
        <f>I26-H27</f>
        <v>8508439.4339285716</v>
      </c>
      <c r="J27" s="450"/>
      <c r="K27" s="434"/>
      <c r="L27" s="439"/>
      <c r="M27" s="440"/>
      <c r="N27" s="434"/>
    </row>
    <row r="28" spans="2:14" x14ac:dyDescent="0.2">
      <c r="B28" s="536">
        <v>2</v>
      </c>
      <c r="C28" s="537"/>
      <c r="D28" s="500"/>
      <c r="E28" s="451" t="s">
        <v>170</v>
      </c>
      <c r="F28" s="420">
        <f>((((D16-SUM(D17:D19))+D22)*10%)/12)</f>
        <v>71677.366666666669</v>
      </c>
      <c r="G28" s="420">
        <f>(D21*10%)/12</f>
        <v>2958.0669642857142</v>
      </c>
      <c r="H28" s="420">
        <f>SUM(F28:G28)</f>
        <v>74635.433630952379</v>
      </c>
      <c r="I28" s="417">
        <f t="shared" ref="I28:I88" si="1">I27-H28</f>
        <v>8433804.000297619</v>
      </c>
      <c r="J28" s="450"/>
      <c r="K28" s="434"/>
      <c r="L28" s="439"/>
      <c r="M28" s="440"/>
      <c r="N28" s="434"/>
    </row>
    <row r="29" spans="2:14" x14ac:dyDescent="0.2">
      <c r="B29" s="536">
        <v>3</v>
      </c>
      <c r="C29" s="537"/>
      <c r="D29" s="500"/>
      <c r="E29" s="451" t="s">
        <v>110</v>
      </c>
      <c r="F29" s="420">
        <f>+F28</f>
        <v>71677.366666666669</v>
      </c>
      <c r="G29" s="420">
        <f>+G28</f>
        <v>2958.0669642857142</v>
      </c>
      <c r="H29" s="420">
        <f>SUM(F29:G29)</f>
        <v>74635.433630952379</v>
      </c>
      <c r="I29" s="417">
        <f t="shared" si="1"/>
        <v>8359168.5666666664</v>
      </c>
      <c r="J29" s="450"/>
      <c r="K29" s="434"/>
      <c r="L29" s="439"/>
      <c r="M29" s="440"/>
      <c r="N29" s="434"/>
    </row>
    <row r="30" spans="2:14" x14ac:dyDescent="0.2">
      <c r="B30" s="536">
        <v>4</v>
      </c>
      <c r="C30" s="537"/>
      <c r="D30" s="490"/>
      <c r="E30" s="452" t="s">
        <v>111</v>
      </c>
      <c r="F30" s="192">
        <f>F29</f>
        <v>71677.366666666669</v>
      </c>
      <c r="G30" s="193">
        <f>G29</f>
        <v>2958.0669642857142</v>
      </c>
      <c r="H30" s="193">
        <f t="shared" ref="H30:H88" si="2">SUM(F30:G30)</f>
        <v>74635.433630952379</v>
      </c>
      <c r="I30" s="417">
        <f t="shared" si="1"/>
        <v>8284533.1330357138</v>
      </c>
      <c r="J30" s="450"/>
      <c r="K30" s="434"/>
      <c r="L30" s="439"/>
      <c r="M30" s="440"/>
      <c r="N30" s="434"/>
    </row>
    <row r="31" spans="2:14" x14ac:dyDescent="0.2">
      <c r="B31" s="536">
        <v>5</v>
      </c>
      <c r="C31" s="537"/>
      <c r="D31" s="490"/>
      <c r="E31" s="453" t="s">
        <v>112</v>
      </c>
      <c r="F31" s="192">
        <f>F30</f>
        <v>71677.366666666669</v>
      </c>
      <c r="G31" s="193">
        <f t="shared" ref="G31:G87" si="3">G30</f>
        <v>2958.0669642857142</v>
      </c>
      <c r="H31" s="190">
        <f t="shared" si="2"/>
        <v>74635.433630952379</v>
      </c>
      <c r="I31" s="417">
        <f t="shared" si="1"/>
        <v>8209897.6994047612</v>
      </c>
      <c r="J31" s="450"/>
      <c r="K31" s="434"/>
      <c r="L31" s="439"/>
      <c r="M31" s="440"/>
      <c r="N31" s="434"/>
    </row>
    <row r="32" spans="2:14" x14ac:dyDescent="0.2">
      <c r="B32" s="536">
        <v>6</v>
      </c>
      <c r="C32" s="537"/>
      <c r="D32" s="490"/>
      <c r="E32" s="453" t="s">
        <v>113</v>
      </c>
      <c r="F32" s="192">
        <f t="shared" ref="F32:F87" si="4">F31</f>
        <v>71677.366666666669</v>
      </c>
      <c r="G32" s="193">
        <f t="shared" si="3"/>
        <v>2958.0669642857142</v>
      </c>
      <c r="H32" s="190">
        <f t="shared" si="2"/>
        <v>74635.433630952379</v>
      </c>
      <c r="I32" s="417">
        <f t="shared" si="1"/>
        <v>8135262.2657738086</v>
      </c>
      <c r="J32" s="450"/>
      <c r="K32" s="434"/>
      <c r="L32" s="439"/>
      <c r="M32" s="440"/>
      <c r="N32" s="434"/>
    </row>
    <row r="33" spans="2:14" x14ac:dyDescent="0.2">
      <c r="B33" s="536">
        <v>7</v>
      </c>
      <c r="C33" s="537"/>
      <c r="D33" s="490"/>
      <c r="E33" s="453" t="s">
        <v>114</v>
      </c>
      <c r="F33" s="192">
        <f t="shared" si="4"/>
        <v>71677.366666666669</v>
      </c>
      <c r="G33" s="193">
        <f t="shared" si="3"/>
        <v>2958.0669642857142</v>
      </c>
      <c r="H33" s="190">
        <f t="shared" si="2"/>
        <v>74635.433630952379</v>
      </c>
      <c r="I33" s="417">
        <f t="shared" si="1"/>
        <v>8060626.832142856</v>
      </c>
      <c r="J33" s="450"/>
      <c r="K33" s="434"/>
      <c r="L33" s="439"/>
      <c r="M33" s="440"/>
      <c r="N33" s="434"/>
    </row>
    <row r="34" spans="2:14" x14ac:dyDescent="0.2">
      <c r="B34" s="536">
        <v>8</v>
      </c>
      <c r="C34" s="537"/>
      <c r="D34" s="490"/>
      <c r="E34" s="453" t="s">
        <v>115</v>
      </c>
      <c r="F34" s="192">
        <f t="shared" si="4"/>
        <v>71677.366666666669</v>
      </c>
      <c r="G34" s="193">
        <f t="shared" si="3"/>
        <v>2958.0669642857142</v>
      </c>
      <c r="H34" s="190">
        <f t="shared" si="2"/>
        <v>74635.433630952379</v>
      </c>
      <c r="I34" s="417">
        <f t="shared" si="1"/>
        <v>7985991.3985119034</v>
      </c>
      <c r="J34" s="450"/>
      <c r="K34" s="434"/>
      <c r="L34" s="439"/>
      <c r="M34" s="440"/>
      <c r="N34" s="434"/>
    </row>
    <row r="35" spans="2:14" x14ac:dyDescent="0.2">
      <c r="B35" s="536">
        <v>9</v>
      </c>
      <c r="C35" s="537"/>
      <c r="D35" s="490"/>
      <c r="E35" s="453" t="s">
        <v>116</v>
      </c>
      <c r="F35" s="192">
        <f t="shared" si="4"/>
        <v>71677.366666666669</v>
      </c>
      <c r="G35" s="193">
        <f t="shared" si="3"/>
        <v>2958.0669642857142</v>
      </c>
      <c r="H35" s="190">
        <f t="shared" si="2"/>
        <v>74635.433630952379</v>
      </c>
      <c r="I35" s="417">
        <f t="shared" si="1"/>
        <v>7911355.9648809507</v>
      </c>
      <c r="J35" s="450"/>
      <c r="K35" s="434"/>
      <c r="L35" s="439"/>
      <c r="M35" s="440"/>
      <c r="N35" s="434"/>
    </row>
    <row r="36" spans="2:14" x14ac:dyDescent="0.2">
      <c r="B36" s="536">
        <v>10</v>
      </c>
      <c r="C36" s="537"/>
      <c r="D36" s="490"/>
      <c r="E36" s="453" t="s">
        <v>117</v>
      </c>
      <c r="F36" s="192">
        <f t="shared" si="4"/>
        <v>71677.366666666669</v>
      </c>
      <c r="G36" s="193">
        <f t="shared" si="3"/>
        <v>2958.0669642857142</v>
      </c>
      <c r="H36" s="190">
        <f t="shared" si="2"/>
        <v>74635.433630952379</v>
      </c>
      <c r="I36" s="417">
        <f t="shared" si="1"/>
        <v>7836720.5312499981</v>
      </c>
      <c r="J36" s="450"/>
      <c r="K36" s="434"/>
      <c r="L36" s="439"/>
      <c r="M36" s="440"/>
      <c r="N36" s="434"/>
    </row>
    <row r="37" spans="2:14" x14ac:dyDescent="0.2">
      <c r="B37" s="536">
        <v>11</v>
      </c>
      <c r="C37" s="537"/>
      <c r="D37" s="490"/>
      <c r="E37" s="453" t="s">
        <v>118</v>
      </c>
      <c r="F37" s="192">
        <f t="shared" si="4"/>
        <v>71677.366666666669</v>
      </c>
      <c r="G37" s="193">
        <f t="shared" si="3"/>
        <v>2958.0669642857142</v>
      </c>
      <c r="H37" s="190">
        <f t="shared" si="2"/>
        <v>74635.433630952379</v>
      </c>
      <c r="I37" s="417">
        <f t="shared" si="1"/>
        <v>7762085.0976190455</v>
      </c>
      <c r="J37" s="450"/>
      <c r="K37" s="434"/>
      <c r="L37" s="439"/>
      <c r="M37" s="440"/>
      <c r="N37" s="434"/>
    </row>
    <row r="38" spans="2:14" x14ac:dyDescent="0.2">
      <c r="B38" s="536">
        <v>12</v>
      </c>
      <c r="C38" s="537"/>
      <c r="D38" s="490"/>
      <c r="E38" s="453" t="s">
        <v>119</v>
      </c>
      <c r="F38" s="192">
        <f t="shared" si="4"/>
        <v>71677.366666666669</v>
      </c>
      <c r="G38" s="193">
        <f t="shared" si="3"/>
        <v>2958.0669642857142</v>
      </c>
      <c r="H38" s="190">
        <f t="shared" si="2"/>
        <v>74635.433630952379</v>
      </c>
      <c r="I38" s="417">
        <f t="shared" si="1"/>
        <v>7687449.6639880929</v>
      </c>
      <c r="J38" s="450"/>
      <c r="K38" s="434"/>
      <c r="L38" s="439"/>
      <c r="M38" s="440"/>
      <c r="N38" s="434"/>
    </row>
    <row r="39" spans="2:14" x14ac:dyDescent="0.2">
      <c r="B39" s="536">
        <v>13</v>
      </c>
      <c r="C39" s="537"/>
      <c r="D39" s="490"/>
      <c r="E39" s="453" t="s">
        <v>120</v>
      </c>
      <c r="F39" s="192">
        <f t="shared" si="4"/>
        <v>71677.366666666669</v>
      </c>
      <c r="G39" s="193">
        <f t="shared" si="3"/>
        <v>2958.0669642857142</v>
      </c>
      <c r="H39" s="190">
        <f t="shared" si="2"/>
        <v>74635.433630952379</v>
      </c>
      <c r="I39" s="417">
        <f t="shared" si="1"/>
        <v>7612814.2303571403</v>
      </c>
      <c r="J39" s="450"/>
      <c r="K39" s="434"/>
      <c r="L39" s="439"/>
      <c r="M39" s="440"/>
      <c r="N39" s="434"/>
    </row>
    <row r="40" spans="2:14" x14ac:dyDescent="0.2">
      <c r="B40" s="536">
        <v>14</v>
      </c>
      <c r="C40" s="537"/>
      <c r="D40" s="490"/>
      <c r="E40" s="453" t="s">
        <v>280</v>
      </c>
      <c r="F40" s="420">
        <f>((((D16-SUM(D17:D19))+D22)*35%)/48)</f>
        <v>62717.695833333331</v>
      </c>
      <c r="G40" s="420">
        <f>(D21*35%)/48</f>
        <v>2588.3085937499995</v>
      </c>
      <c r="H40" s="190">
        <f t="shared" si="2"/>
        <v>65306.004427083331</v>
      </c>
      <c r="I40" s="417">
        <f t="shared" si="1"/>
        <v>7547508.2259300565</v>
      </c>
      <c r="J40" s="450"/>
      <c r="K40" s="434"/>
      <c r="L40" s="439"/>
      <c r="M40" s="440"/>
      <c r="N40" s="434"/>
    </row>
    <row r="41" spans="2:14" x14ac:dyDescent="0.2">
      <c r="B41" s="536">
        <v>15</v>
      </c>
      <c r="C41" s="537"/>
      <c r="D41" s="490"/>
      <c r="E41" s="453" t="s">
        <v>281</v>
      </c>
      <c r="F41" s="192">
        <f t="shared" si="4"/>
        <v>62717.695833333331</v>
      </c>
      <c r="G41" s="193">
        <f t="shared" si="3"/>
        <v>2588.3085937499995</v>
      </c>
      <c r="H41" s="190">
        <f t="shared" si="2"/>
        <v>65306.004427083331</v>
      </c>
      <c r="I41" s="417">
        <f t="shared" si="1"/>
        <v>7482202.2215029728</v>
      </c>
      <c r="J41" s="450"/>
      <c r="K41" s="434"/>
      <c r="L41" s="439"/>
      <c r="M41" s="440"/>
      <c r="N41" s="434"/>
    </row>
    <row r="42" spans="2:14" x14ac:dyDescent="0.2">
      <c r="B42" s="536">
        <v>16</v>
      </c>
      <c r="C42" s="537"/>
      <c r="D42" s="490"/>
      <c r="E42" s="453" t="s">
        <v>282</v>
      </c>
      <c r="F42" s="192">
        <f t="shared" si="4"/>
        <v>62717.695833333331</v>
      </c>
      <c r="G42" s="193">
        <f t="shared" si="3"/>
        <v>2588.3085937499995</v>
      </c>
      <c r="H42" s="190">
        <f t="shared" si="2"/>
        <v>65306.004427083331</v>
      </c>
      <c r="I42" s="417">
        <f t="shared" si="1"/>
        <v>7416896.217075889</v>
      </c>
      <c r="J42" s="450"/>
      <c r="K42" s="434"/>
      <c r="L42" s="439"/>
      <c r="M42" s="440"/>
      <c r="N42" s="434"/>
    </row>
    <row r="43" spans="2:14" x14ac:dyDescent="0.2">
      <c r="B43" s="536">
        <v>17</v>
      </c>
      <c r="C43" s="537"/>
      <c r="D43" s="490"/>
      <c r="E43" s="453" t="s">
        <v>283</v>
      </c>
      <c r="F43" s="192">
        <f t="shared" si="4"/>
        <v>62717.695833333331</v>
      </c>
      <c r="G43" s="193">
        <f t="shared" si="3"/>
        <v>2588.3085937499995</v>
      </c>
      <c r="H43" s="190">
        <f t="shared" si="2"/>
        <v>65306.004427083331</v>
      </c>
      <c r="I43" s="417">
        <f t="shared" si="1"/>
        <v>7351590.2126488052</v>
      </c>
      <c r="J43" s="450"/>
      <c r="K43" s="434"/>
      <c r="L43" s="439"/>
      <c r="M43" s="440"/>
      <c r="N43" s="434"/>
    </row>
    <row r="44" spans="2:14" x14ac:dyDescent="0.2">
      <c r="B44" s="536">
        <v>18</v>
      </c>
      <c r="C44" s="537"/>
      <c r="D44" s="490"/>
      <c r="E44" s="453" t="s">
        <v>284</v>
      </c>
      <c r="F44" s="192">
        <f t="shared" si="4"/>
        <v>62717.695833333331</v>
      </c>
      <c r="G44" s="193">
        <f t="shared" si="3"/>
        <v>2588.3085937499995</v>
      </c>
      <c r="H44" s="190">
        <f t="shared" si="2"/>
        <v>65306.004427083331</v>
      </c>
      <c r="I44" s="417">
        <f t="shared" si="1"/>
        <v>7286284.2082217215</v>
      </c>
      <c r="J44" s="450"/>
      <c r="K44" s="434"/>
      <c r="L44" s="439"/>
      <c r="M44" s="440"/>
      <c r="N44" s="434"/>
    </row>
    <row r="45" spans="2:14" x14ac:dyDescent="0.2">
      <c r="B45" s="536">
        <v>19</v>
      </c>
      <c r="C45" s="537"/>
      <c r="D45" s="490"/>
      <c r="E45" s="453" t="s">
        <v>285</v>
      </c>
      <c r="F45" s="192">
        <f t="shared" si="4"/>
        <v>62717.695833333331</v>
      </c>
      <c r="G45" s="193">
        <f t="shared" si="3"/>
        <v>2588.3085937499995</v>
      </c>
      <c r="H45" s="190">
        <f t="shared" si="2"/>
        <v>65306.004427083331</v>
      </c>
      <c r="I45" s="417">
        <f t="shared" si="1"/>
        <v>7220978.2037946377</v>
      </c>
      <c r="J45" s="450"/>
      <c r="K45" s="434"/>
      <c r="L45" s="439"/>
      <c r="M45" s="440"/>
      <c r="N45" s="434"/>
    </row>
    <row r="46" spans="2:14" x14ac:dyDescent="0.2">
      <c r="B46" s="536">
        <v>20</v>
      </c>
      <c r="C46" s="537"/>
      <c r="D46" s="490"/>
      <c r="E46" s="453" t="s">
        <v>286</v>
      </c>
      <c r="F46" s="192">
        <f t="shared" si="4"/>
        <v>62717.695833333331</v>
      </c>
      <c r="G46" s="193">
        <f t="shared" si="3"/>
        <v>2588.3085937499995</v>
      </c>
      <c r="H46" s="190">
        <f t="shared" si="2"/>
        <v>65306.004427083331</v>
      </c>
      <c r="I46" s="417">
        <f t="shared" si="1"/>
        <v>7155672.1993675539</v>
      </c>
      <c r="J46" s="450"/>
      <c r="K46" s="434"/>
      <c r="L46" s="439"/>
      <c r="M46" s="440"/>
      <c r="N46" s="434"/>
    </row>
    <row r="47" spans="2:14" x14ac:dyDescent="0.2">
      <c r="B47" s="536">
        <v>21</v>
      </c>
      <c r="C47" s="537"/>
      <c r="D47" s="490"/>
      <c r="E47" s="453" t="s">
        <v>287</v>
      </c>
      <c r="F47" s="192">
        <f t="shared" si="4"/>
        <v>62717.695833333331</v>
      </c>
      <c r="G47" s="193">
        <f t="shared" si="3"/>
        <v>2588.3085937499995</v>
      </c>
      <c r="H47" s="190">
        <f t="shared" si="2"/>
        <v>65306.004427083331</v>
      </c>
      <c r="I47" s="417">
        <f t="shared" si="1"/>
        <v>7090366.1949404702</v>
      </c>
      <c r="J47" s="450"/>
      <c r="K47" s="434"/>
      <c r="L47" s="439"/>
      <c r="M47" s="440"/>
      <c r="N47" s="434"/>
    </row>
    <row r="48" spans="2:14" x14ac:dyDescent="0.2">
      <c r="B48" s="536">
        <v>22</v>
      </c>
      <c r="C48" s="537"/>
      <c r="D48" s="490"/>
      <c r="E48" s="453" t="s">
        <v>288</v>
      </c>
      <c r="F48" s="192">
        <f t="shared" si="4"/>
        <v>62717.695833333331</v>
      </c>
      <c r="G48" s="193">
        <f t="shared" si="3"/>
        <v>2588.3085937499995</v>
      </c>
      <c r="H48" s="190">
        <f t="shared" si="2"/>
        <v>65306.004427083331</v>
      </c>
      <c r="I48" s="417">
        <f t="shared" si="1"/>
        <v>7025060.1905133864</v>
      </c>
      <c r="J48" s="450"/>
      <c r="K48" s="434"/>
      <c r="L48" s="439"/>
      <c r="M48" s="440"/>
      <c r="N48" s="434"/>
    </row>
    <row r="49" spans="2:14" x14ac:dyDescent="0.2">
      <c r="B49" s="536">
        <v>23</v>
      </c>
      <c r="C49" s="537"/>
      <c r="D49" s="490"/>
      <c r="E49" s="453" t="s">
        <v>289</v>
      </c>
      <c r="F49" s="192">
        <f t="shared" si="4"/>
        <v>62717.695833333331</v>
      </c>
      <c r="G49" s="193">
        <f t="shared" si="3"/>
        <v>2588.3085937499995</v>
      </c>
      <c r="H49" s="190">
        <f t="shared" si="2"/>
        <v>65306.004427083331</v>
      </c>
      <c r="I49" s="417">
        <f t="shared" si="1"/>
        <v>6959754.1860863026</v>
      </c>
      <c r="J49" s="450"/>
      <c r="K49" s="434"/>
      <c r="L49" s="439"/>
      <c r="M49" s="440"/>
      <c r="N49" s="434"/>
    </row>
    <row r="50" spans="2:14" x14ac:dyDescent="0.2">
      <c r="B50" s="536">
        <v>24</v>
      </c>
      <c r="C50" s="537"/>
      <c r="D50" s="490"/>
      <c r="E50" s="453" t="s">
        <v>290</v>
      </c>
      <c r="F50" s="192">
        <f t="shared" si="4"/>
        <v>62717.695833333331</v>
      </c>
      <c r="G50" s="193">
        <f t="shared" si="3"/>
        <v>2588.3085937499995</v>
      </c>
      <c r="H50" s="190">
        <f t="shared" si="2"/>
        <v>65306.004427083331</v>
      </c>
      <c r="I50" s="417">
        <f t="shared" si="1"/>
        <v>6894448.1816592189</v>
      </c>
      <c r="J50" s="450"/>
      <c r="K50" s="434"/>
      <c r="L50" s="439"/>
      <c r="M50" s="440"/>
      <c r="N50" s="434"/>
    </row>
    <row r="51" spans="2:14" x14ac:dyDescent="0.2">
      <c r="B51" s="536">
        <v>25</v>
      </c>
      <c r="C51" s="537"/>
      <c r="D51" s="490"/>
      <c r="E51" s="453" t="s">
        <v>291</v>
      </c>
      <c r="F51" s="192">
        <f t="shared" si="4"/>
        <v>62717.695833333331</v>
      </c>
      <c r="G51" s="193">
        <f t="shared" si="3"/>
        <v>2588.3085937499995</v>
      </c>
      <c r="H51" s="190">
        <f t="shared" si="2"/>
        <v>65306.004427083331</v>
      </c>
      <c r="I51" s="417">
        <f t="shared" si="1"/>
        <v>6829142.1772321351</v>
      </c>
      <c r="J51" s="450"/>
      <c r="K51" s="434"/>
      <c r="L51" s="439"/>
      <c r="M51" s="440"/>
      <c r="N51" s="434"/>
    </row>
    <row r="52" spans="2:14" x14ac:dyDescent="0.2">
      <c r="B52" s="536">
        <v>26</v>
      </c>
      <c r="C52" s="537"/>
      <c r="D52" s="490"/>
      <c r="E52" s="453" t="s">
        <v>292</v>
      </c>
      <c r="F52" s="192">
        <f t="shared" si="4"/>
        <v>62717.695833333331</v>
      </c>
      <c r="G52" s="193">
        <f t="shared" si="3"/>
        <v>2588.3085937499995</v>
      </c>
      <c r="H52" s="190">
        <f t="shared" si="2"/>
        <v>65306.004427083331</v>
      </c>
      <c r="I52" s="417">
        <f t="shared" si="1"/>
        <v>6763836.1728050513</v>
      </c>
      <c r="J52" s="450"/>
      <c r="K52" s="434"/>
      <c r="L52" s="439"/>
      <c r="M52" s="440"/>
      <c r="N52" s="434"/>
    </row>
    <row r="53" spans="2:14" x14ac:dyDescent="0.2">
      <c r="B53" s="536">
        <v>27</v>
      </c>
      <c r="C53" s="537"/>
      <c r="D53" s="490"/>
      <c r="E53" s="453" t="s">
        <v>293</v>
      </c>
      <c r="F53" s="192">
        <f t="shared" si="4"/>
        <v>62717.695833333331</v>
      </c>
      <c r="G53" s="193">
        <f t="shared" si="3"/>
        <v>2588.3085937499995</v>
      </c>
      <c r="H53" s="190">
        <f t="shared" si="2"/>
        <v>65306.004427083331</v>
      </c>
      <c r="I53" s="417">
        <f t="shared" si="1"/>
        <v>6698530.1683779676</v>
      </c>
      <c r="J53" s="450"/>
      <c r="K53" s="434"/>
      <c r="L53" s="439"/>
      <c r="M53" s="440"/>
      <c r="N53" s="434"/>
    </row>
    <row r="54" spans="2:14" x14ac:dyDescent="0.2">
      <c r="B54" s="536">
        <v>28</v>
      </c>
      <c r="C54" s="537"/>
      <c r="D54" s="490"/>
      <c r="E54" s="453" t="s">
        <v>294</v>
      </c>
      <c r="F54" s="192">
        <f t="shared" si="4"/>
        <v>62717.695833333331</v>
      </c>
      <c r="G54" s="193">
        <f t="shared" si="3"/>
        <v>2588.3085937499995</v>
      </c>
      <c r="H54" s="190">
        <f t="shared" si="2"/>
        <v>65306.004427083331</v>
      </c>
      <c r="I54" s="417">
        <f t="shared" si="1"/>
        <v>6633224.1639508838</v>
      </c>
      <c r="J54" s="450"/>
      <c r="K54" s="434"/>
      <c r="L54" s="439"/>
      <c r="M54" s="440"/>
      <c r="N54" s="434"/>
    </row>
    <row r="55" spans="2:14" x14ac:dyDescent="0.2">
      <c r="B55" s="536">
        <v>29</v>
      </c>
      <c r="C55" s="537"/>
      <c r="D55" s="490"/>
      <c r="E55" s="453" t="s">
        <v>295</v>
      </c>
      <c r="F55" s="192">
        <f t="shared" si="4"/>
        <v>62717.695833333331</v>
      </c>
      <c r="G55" s="193">
        <f t="shared" si="3"/>
        <v>2588.3085937499995</v>
      </c>
      <c r="H55" s="190">
        <f t="shared" si="2"/>
        <v>65306.004427083331</v>
      </c>
      <c r="I55" s="417">
        <f t="shared" si="1"/>
        <v>6567918.1595238</v>
      </c>
      <c r="J55" s="450"/>
      <c r="K55" s="434"/>
      <c r="L55" s="439"/>
      <c r="M55" s="440"/>
      <c r="N55" s="434"/>
    </row>
    <row r="56" spans="2:14" x14ac:dyDescent="0.2">
      <c r="B56" s="536">
        <v>30</v>
      </c>
      <c r="C56" s="537"/>
      <c r="D56" s="490"/>
      <c r="E56" s="453" t="s">
        <v>296</v>
      </c>
      <c r="F56" s="192">
        <f t="shared" si="4"/>
        <v>62717.695833333331</v>
      </c>
      <c r="G56" s="193">
        <f t="shared" si="3"/>
        <v>2588.3085937499995</v>
      </c>
      <c r="H56" s="190">
        <f t="shared" si="2"/>
        <v>65306.004427083331</v>
      </c>
      <c r="I56" s="417">
        <f t="shared" si="1"/>
        <v>6502612.1550967162</v>
      </c>
      <c r="J56" s="450"/>
      <c r="K56" s="434"/>
      <c r="L56" s="439"/>
      <c r="M56" s="440"/>
      <c r="N56" s="434"/>
    </row>
    <row r="57" spans="2:14" x14ac:dyDescent="0.2">
      <c r="B57" s="536">
        <v>31</v>
      </c>
      <c r="C57" s="537"/>
      <c r="D57" s="490"/>
      <c r="E57" s="453" t="s">
        <v>297</v>
      </c>
      <c r="F57" s="192">
        <f t="shared" si="4"/>
        <v>62717.695833333331</v>
      </c>
      <c r="G57" s="193">
        <f t="shared" si="3"/>
        <v>2588.3085937499995</v>
      </c>
      <c r="H57" s="190">
        <f t="shared" si="2"/>
        <v>65306.004427083331</v>
      </c>
      <c r="I57" s="417">
        <f t="shared" si="1"/>
        <v>6437306.1506696325</v>
      </c>
      <c r="J57" s="450"/>
      <c r="K57" s="434"/>
      <c r="L57" s="439"/>
      <c r="M57" s="440"/>
      <c r="N57" s="434"/>
    </row>
    <row r="58" spans="2:14" x14ac:dyDescent="0.2">
      <c r="B58" s="536">
        <v>32</v>
      </c>
      <c r="C58" s="537"/>
      <c r="D58" s="490"/>
      <c r="E58" s="453" t="s">
        <v>298</v>
      </c>
      <c r="F58" s="192">
        <f t="shared" si="4"/>
        <v>62717.695833333331</v>
      </c>
      <c r="G58" s="193">
        <f t="shared" si="3"/>
        <v>2588.3085937499995</v>
      </c>
      <c r="H58" s="190">
        <f t="shared" si="2"/>
        <v>65306.004427083331</v>
      </c>
      <c r="I58" s="417">
        <f t="shared" si="1"/>
        <v>6372000.1462425487</v>
      </c>
      <c r="J58" s="450"/>
      <c r="K58" s="434"/>
      <c r="L58" s="439"/>
      <c r="M58" s="440"/>
      <c r="N58" s="434"/>
    </row>
    <row r="59" spans="2:14" x14ac:dyDescent="0.2">
      <c r="B59" s="536">
        <v>33</v>
      </c>
      <c r="C59" s="537"/>
      <c r="D59" s="490"/>
      <c r="E59" s="453" t="s">
        <v>299</v>
      </c>
      <c r="F59" s="192">
        <f t="shared" si="4"/>
        <v>62717.695833333331</v>
      </c>
      <c r="G59" s="193">
        <f t="shared" si="3"/>
        <v>2588.3085937499995</v>
      </c>
      <c r="H59" s="190">
        <f t="shared" si="2"/>
        <v>65306.004427083331</v>
      </c>
      <c r="I59" s="417">
        <f t="shared" si="1"/>
        <v>6306694.1418154649</v>
      </c>
      <c r="J59" s="450"/>
      <c r="K59" s="434"/>
      <c r="L59" s="439"/>
      <c r="M59" s="440"/>
      <c r="N59" s="434"/>
    </row>
    <row r="60" spans="2:14" x14ac:dyDescent="0.2">
      <c r="B60" s="536">
        <v>34</v>
      </c>
      <c r="C60" s="537"/>
      <c r="D60" s="490"/>
      <c r="E60" s="453" t="s">
        <v>300</v>
      </c>
      <c r="F60" s="192">
        <f t="shared" si="4"/>
        <v>62717.695833333331</v>
      </c>
      <c r="G60" s="193">
        <f t="shared" si="3"/>
        <v>2588.3085937499995</v>
      </c>
      <c r="H60" s="190">
        <f t="shared" si="2"/>
        <v>65306.004427083331</v>
      </c>
      <c r="I60" s="417">
        <f t="shared" si="1"/>
        <v>6241388.1373883812</v>
      </c>
      <c r="J60" s="450"/>
      <c r="K60" s="434"/>
      <c r="L60" s="439"/>
      <c r="M60" s="440"/>
      <c r="N60" s="434"/>
    </row>
    <row r="61" spans="2:14" x14ac:dyDescent="0.2">
      <c r="B61" s="536">
        <v>35</v>
      </c>
      <c r="C61" s="537"/>
      <c r="D61" s="490"/>
      <c r="E61" s="453" t="s">
        <v>301</v>
      </c>
      <c r="F61" s="192">
        <f t="shared" si="4"/>
        <v>62717.695833333331</v>
      </c>
      <c r="G61" s="193">
        <f t="shared" si="3"/>
        <v>2588.3085937499995</v>
      </c>
      <c r="H61" s="190">
        <f t="shared" si="2"/>
        <v>65306.004427083331</v>
      </c>
      <c r="I61" s="417">
        <f t="shared" si="1"/>
        <v>6176082.1329612974</v>
      </c>
      <c r="J61" s="450"/>
      <c r="K61" s="434"/>
      <c r="L61" s="439"/>
      <c r="M61" s="440"/>
      <c r="N61" s="434"/>
    </row>
    <row r="62" spans="2:14" x14ac:dyDescent="0.2">
      <c r="B62" s="536">
        <v>36</v>
      </c>
      <c r="C62" s="537"/>
      <c r="D62" s="490"/>
      <c r="E62" s="453" t="s">
        <v>302</v>
      </c>
      <c r="F62" s="192">
        <f t="shared" si="4"/>
        <v>62717.695833333331</v>
      </c>
      <c r="G62" s="193">
        <f t="shared" si="3"/>
        <v>2588.3085937499995</v>
      </c>
      <c r="H62" s="190">
        <f t="shared" si="2"/>
        <v>65306.004427083331</v>
      </c>
      <c r="I62" s="417">
        <f t="shared" si="1"/>
        <v>6110776.1285342136</v>
      </c>
      <c r="J62" s="450"/>
      <c r="K62" s="434"/>
      <c r="L62" s="439"/>
      <c r="M62" s="440"/>
      <c r="N62" s="434"/>
    </row>
    <row r="63" spans="2:14" x14ac:dyDescent="0.2">
      <c r="B63" s="536">
        <v>37</v>
      </c>
      <c r="C63" s="537"/>
      <c r="D63" s="490"/>
      <c r="E63" s="453" t="s">
        <v>303</v>
      </c>
      <c r="F63" s="192">
        <f t="shared" si="4"/>
        <v>62717.695833333331</v>
      </c>
      <c r="G63" s="193">
        <f t="shared" si="3"/>
        <v>2588.3085937499995</v>
      </c>
      <c r="H63" s="190">
        <f t="shared" si="2"/>
        <v>65306.004427083331</v>
      </c>
      <c r="I63" s="417">
        <f t="shared" si="1"/>
        <v>6045470.1241071299</v>
      </c>
      <c r="J63" s="450"/>
      <c r="K63" s="434"/>
      <c r="L63" s="439"/>
      <c r="M63" s="440"/>
      <c r="N63" s="434"/>
    </row>
    <row r="64" spans="2:14" x14ac:dyDescent="0.2">
      <c r="B64" s="536">
        <v>38</v>
      </c>
      <c r="C64" s="537"/>
      <c r="D64" s="490"/>
      <c r="E64" s="453" t="s">
        <v>304</v>
      </c>
      <c r="F64" s="192">
        <f t="shared" si="4"/>
        <v>62717.695833333331</v>
      </c>
      <c r="G64" s="193">
        <f t="shared" si="3"/>
        <v>2588.3085937499995</v>
      </c>
      <c r="H64" s="190">
        <f t="shared" si="2"/>
        <v>65306.004427083331</v>
      </c>
      <c r="I64" s="417">
        <f t="shared" si="1"/>
        <v>5980164.1196800461</v>
      </c>
      <c r="J64" s="450"/>
      <c r="K64" s="434"/>
      <c r="L64" s="439"/>
      <c r="M64" s="440"/>
      <c r="N64" s="434"/>
    </row>
    <row r="65" spans="2:14" x14ac:dyDescent="0.2">
      <c r="B65" s="536">
        <v>39</v>
      </c>
      <c r="C65" s="537"/>
      <c r="D65" s="490"/>
      <c r="E65" s="453" t="s">
        <v>305</v>
      </c>
      <c r="F65" s="192">
        <f t="shared" si="4"/>
        <v>62717.695833333331</v>
      </c>
      <c r="G65" s="193">
        <f t="shared" si="3"/>
        <v>2588.3085937499995</v>
      </c>
      <c r="H65" s="190">
        <f t="shared" si="2"/>
        <v>65306.004427083331</v>
      </c>
      <c r="I65" s="417">
        <f t="shared" si="1"/>
        <v>5914858.1152529623</v>
      </c>
      <c r="J65" s="450"/>
      <c r="K65" s="434"/>
      <c r="L65" s="439"/>
      <c r="M65" s="440"/>
      <c r="N65" s="434"/>
    </row>
    <row r="66" spans="2:14" x14ac:dyDescent="0.2">
      <c r="B66" s="536">
        <v>40</v>
      </c>
      <c r="C66" s="537"/>
      <c r="D66" s="490"/>
      <c r="E66" s="453" t="s">
        <v>306</v>
      </c>
      <c r="F66" s="192">
        <f t="shared" si="4"/>
        <v>62717.695833333331</v>
      </c>
      <c r="G66" s="193">
        <f t="shared" si="3"/>
        <v>2588.3085937499995</v>
      </c>
      <c r="H66" s="190">
        <f t="shared" si="2"/>
        <v>65306.004427083331</v>
      </c>
      <c r="I66" s="417">
        <f t="shared" si="1"/>
        <v>5849552.1108258786</v>
      </c>
      <c r="J66" s="450"/>
      <c r="K66" s="434"/>
      <c r="L66" s="439"/>
      <c r="M66" s="440"/>
      <c r="N66" s="434"/>
    </row>
    <row r="67" spans="2:14" x14ac:dyDescent="0.2">
      <c r="B67" s="536">
        <v>41</v>
      </c>
      <c r="C67" s="537"/>
      <c r="D67" s="490"/>
      <c r="E67" s="453" t="s">
        <v>307</v>
      </c>
      <c r="F67" s="192">
        <f t="shared" si="4"/>
        <v>62717.695833333331</v>
      </c>
      <c r="G67" s="193">
        <f t="shared" si="3"/>
        <v>2588.3085937499995</v>
      </c>
      <c r="H67" s="190">
        <f t="shared" si="2"/>
        <v>65306.004427083331</v>
      </c>
      <c r="I67" s="417">
        <f t="shared" si="1"/>
        <v>5784246.1063987948</v>
      </c>
      <c r="J67" s="450"/>
      <c r="K67" s="434"/>
      <c r="L67" s="439"/>
      <c r="M67" s="440"/>
      <c r="N67" s="434"/>
    </row>
    <row r="68" spans="2:14" x14ac:dyDescent="0.2">
      <c r="B68" s="536">
        <v>42</v>
      </c>
      <c r="C68" s="537"/>
      <c r="D68" s="490"/>
      <c r="E68" s="453" t="s">
        <v>308</v>
      </c>
      <c r="F68" s="192">
        <f t="shared" si="4"/>
        <v>62717.695833333331</v>
      </c>
      <c r="G68" s="193">
        <f t="shared" si="3"/>
        <v>2588.3085937499995</v>
      </c>
      <c r="H68" s="190">
        <f t="shared" si="2"/>
        <v>65306.004427083331</v>
      </c>
      <c r="I68" s="417">
        <f t="shared" si="1"/>
        <v>5718940.101971711</v>
      </c>
      <c r="J68" s="450"/>
      <c r="K68" s="434"/>
      <c r="L68" s="439"/>
      <c r="M68" s="440"/>
      <c r="N68" s="434"/>
    </row>
    <row r="69" spans="2:14" x14ac:dyDescent="0.2">
      <c r="B69" s="536">
        <v>43</v>
      </c>
      <c r="C69" s="537"/>
      <c r="D69" s="490"/>
      <c r="E69" s="453" t="s">
        <v>309</v>
      </c>
      <c r="F69" s="192">
        <f t="shared" si="4"/>
        <v>62717.695833333331</v>
      </c>
      <c r="G69" s="193">
        <f t="shared" si="3"/>
        <v>2588.3085937499995</v>
      </c>
      <c r="H69" s="190">
        <f t="shared" si="2"/>
        <v>65306.004427083331</v>
      </c>
      <c r="I69" s="417">
        <f t="shared" si="1"/>
        <v>5653634.0975446273</v>
      </c>
      <c r="J69" s="450"/>
      <c r="K69" s="434"/>
      <c r="L69" s="439"/>
      <c r="M69" s="440"/>
      <c r="N69" s="434"/>
    </row>
    <row r="70" spans="2:14" x14ac:dyDescent="0.2">
      <c r="B70" s="536">
        <v>44</v>
      </c>
      <c r="C70" s="537"/>
      <c r="D70" s="490"/>
      <c r="E70" s="453" t="s">
        <v>310</v>
      </c>
      <c r="F70" s="192">
        <f t="shared" si="4"/>
        <v>62717.695833333331</v>
      </c>
      <c r="G70" s="193">
        <f t="shared" si="3"/>
        <v>2588.3085937499995</v>
      </c>
      <c r="H70" s="190">
        <f t="shared" si="2"/>
        <v>65306.004427083331</v>
      </c>
      <c r="I70" s="417">
        <f t="shared" si="1"/>
        <v>5588328.0931175435</v>
      </c>
      <c r="J70" s="450"/>
      <c r="K70" s="434"/>
      <c r="L70" s="439"/>
      <c r="M70" s="440"/>
      <c r="N70" s="434"/>
    </row>
    <row r="71" spans="2:14" x14ac:dyDescent="0.2">
      <c r="B71" s="536">
        <v>45</v>
      </c>
      <c r="C71" s="537"/>
      <c r="D71" s="490"/>
      <c r="E71" s="453" t="s">
        <v>311</v>
      </c>
      <c r="F71" s="192">
        <f t="shared" si="4"/>
        <v>62717.695833333331</v>
      </c>
      <c r="G71" s="193">
        <f t="shared" si="3"/>
        <v>2588.3085937499995</v>
      </c>
      <c r="H71" s="190">
        <f t="shared" si="2"/>
        <v>65306.004427083331</v>
      </c>
      <c r="I71" s="417">
        <f t="shared" si="1"/>
        <v>5523022.0886904597</v>
      </c>
      <c r="J71" s="450"/>
      <c r="K71" s="434"/>
      <c r="L71" s="439"/>
      <c r="M71" s="440"/>
      <c r="N71" s="434"/>
    </row>
    <row r="72" spans="2:14" x14ac:dyDescent="0.2">
      <c r="B72" s="536">
        <v>46</v>
      </c>
      <c r="C72" s="537"/>
      <c r="D72" s="490"/>
      <c r="E72" s="453" t="s">
        <v>312</v>
      </c>
      <c r="F72" s="192">
        <f t="shared" si="4"/>
        <v>62717.695833333331</v>
      </c>
      <c r="G72" s="193">
        <f t="shared" si="3"/>
        <v>2588.3085937499995</v>
      </c>
      <c r="H72" s="190">
        <f t="shared" si="2"/>
        <v>65306.004427083331</v>
      </c>
      <c r="I72" s="417">
        <f t="shared" si="1"/>
        <v>5457716.084263376</v>
      </c>
      <c r="J72" s="450"/>
      <c r="K72" s="434"/>
      <c r="L72" s="439"/>
      <c r="M72" s="440"/>
      <c r="N72" s="434"/>
    </row>
    <row r="73" spans="2:14" x14ac:dyDescent="0.2">
      <c r="B73" s="536">
        <v>47</v>
      </c>
      <c r="C73" s="537"/>
      <c r="D73" s="490"/>
      <c r="E73" s="453" t="s">
        <v>313</v>
      </c>
      <c r="F73" s="192">
        <f t="shared" si="4"/>
        <v>62717.695833333331</v>
      </c>
      <c r="G73" s="193">
        <f t="shared" si="3"/>
        <v>2588.3085937499995</v>
      </c>
      <c r="H73" s="190">
        <f t="shared" si="2"/>
        <v>65306.004427083331</v>
      </c>
      <c r="I73" s="417">
        <f t="shared" si="1"/>
        <v>5392410.0798362922</v>
      </c>
      <c r="J73" s="450"/>
      <c r="K73" s="434"/>
      <c r="L73" s="439"/>
      <c r="M73" s="440"/>
      <c r="N73" s="434"/>
    </row>
    <row r="74" spans="2:14" x14ac:dyDescent="0.2">
      <c r="B74" s="536">
        <v>48</v>
      </c>
      <c r="C74" s="537"/>
      <c r="D74" s="490"/>
      <c r="E74" s="453" t="s">
        <v>314</v>
      </c>
      <c r="F74" s="192">
        <f t="shared" si="4"/>
        <v>62717.695833333331</v>
      </c>
      <c r="G74" s="193">
        <f t="shared" si="3"/>
        <v>2588.3085937499995</v>
      </c>
      <c r="H74" s="190">
        <f t="shared" si="2"/>
        <v>65306.004427083331</v>
      </c>
      <c r="I74" s="417">
        <f t="shared" si="1"/>
        <v>5327104.0754092084</v>
      </c>
      <c r="J74" s="450"/>
      <c r="K74" s="434"/>
      <c r="L74" s="439"/>
      <c r="M74" s="440"/>
      <c r="N74" s="434"/>
    </row>
    <row r="75" spans="2:14" x14ac:dyDescent="0.2">
      <c r="B75" s="536">
        <v>49</v>
      </c>
      <c r="C75" s="537"/>
      <c r="D75" s="490"/>
      <c r="E75" s="453" t="s">
        <v>315</v>
      </c>
      <c r="F75" s="192">
        <f t="shared" si="4"/>
        <v>62717.695833333331</v>
      </c>
      <c r="G75" s="193">
        <f t="shared" si="3"/>
        <v>2588.3085937499995</v>
      </c>
      <c r="H75" s="190">
        <f t="shared" si="2"/>
        <v>65306.004427083331</v>
      </c>
      <c r="I75" s="417">
        <f t="shared" si="1"/>
        <v>5261798.0709821247</v>
      </c>
      <c r="J75" s="450"/>
      <c r="K75" s="434"/>
      <c r="L75" s="439"/>
      <c r="M75" s="440"/>
      <c r="N75" s="434"/>
    </row>
    <row r="76" spans="2:14" x14ac:dyDescent="0.2">
      <c r="B76" s="536">
        <v>50</v>
      </c>
      <c r="C76" s="537"/>
      <c r="D76" s="490"/>
      <c r="E76" s="453" t="s">
        <v>316</v>
      </c>
      <c r="F76" s="192">
        <f t="shared" si="4"/>
        <v>62717.695833333331</v>
      </c>
      <c r="G76" s="193">
        <f t="shared" si="3"/>
        <v>2588.3085937499995</v>
      </c>
      <c r="H76" s="190">
        <f t="shared" si="2"/>
        <v>65306.004427083331</v>
      </c>
      <c r="I76" s="417">
        <f t="shared" si="1"/>
        <v>5196492.0665550409</v>
      </c>
      <c r="J76" s="450"/>
      <c r="K76" s="434"/>
      <c r="L76" s="439"/>
      <c r="M76" s="440"/>
      <c r="N76" s="434"/>
    </row>
    <row r="77" spans="2:14" x14ac:dyDescent="0.2">
      <c r="B77" s="536">
        <v>51</v>
      </c>
      <c r="C77" s="537"/>
      <c r="D77" s="490"/>
      <c r="E77" s="453" t="s">
        <v>317</v>
      </c>
      <c r="F77" s="192">
        <f t="shared" si="4"/>
        <v>62717.695833333331</v>
      </c>
      <c r="G77" s="193">
        <f t="shared" si="3"/>
        <v>2588.3085937499995</v>
      </c>
      <c r="H77" s="190">
        <f t="shared" si="2"/>
        <v>65306.004427083331</v>
      </c>
      <c r="I77" s="417">
        <f t="shared" si="1"/>
        <v>5131186.0621279571</v>
      </c>
      <c r="J77" s="450"/>
      <c r="K77" s="434"/>
      <c r="L77" s="439"/>
      <c r="M77" s="440"/>
      <c r="N77" s="434"/>
    </row>
    <row r="78" spans="2:14" x14ac:dyDescent="0.2">
      <c r="B78" s="536">
        <v>52</v>
      </c>
      <c r="C78" s="537"/>
      <c r="D78" s="490"/>
      <c r="E78" s="453" t="s">
        <v>318</v>
      </c>
      <c r="F78" s="192">
        <f t="shared" si="4"/>
        <v>62717.695833333331</v>
      </c>
      <c r="G78" s="193">
        <f t="shared" si="3"/>
        <v>2588.3085937499995</v>
      </c>
      <c r="H78" s="190">
        <f t="shared" si="2"/>
        <v>65306.004427083331</v>
      </c>
      <c r="I78" s="417">
        <f t="shared" si="1"/>
        <v>5065880.0577008734</v>
      </c>
      <c r="J78" s="450"/>
      <c r="K78" s="434"/>
      <c r="L78" s="439"/>
      <c r="M78" s="440"/>
      <c r="N78" s="434"/>
    </row>
    <row r="79" spans="2:14" x14ac:dyDescent="0.2">
      <c r="B79" s="536">
        <v>53</v>
      </c>
      <c r="C79" s="537"/>
      <c r="D79" s="490"/>
      <c r="E79" s="453" t="s">
        <v>319</v>
      </c>
      <c r="F79" s="192">
        <f t="shared" si="4"/>
        <v>62717.695833333331</v>
      </c>
      <c r="G79" s="193">
        <f t="shared" si="3"/>
        <v>2588.3085937499995</v>
      </c>
      <c r="H79" s="190">
        <f t="shared" si="2"/>
        <v>65306.004427083331</v>
      </c>
      <c r="I79" s="417">
        <f t="shared" si="1"/>
        <v>5000574.0532737896</v>
      </c>
      <c r="J79" s="450"/>
      <c r="K79" s="434"/>
      <c r="L79" s="439"/>
      <c r="M79" s="440"/>
      <c r="N79" s="434"/>
    </row>
    <row r="80" spans="2:14" x14ac:dyDescent="0.2">
      <c r="B80" s="536">
        <v>54</v>
      </c>
      <c r="C80" s="537"/>
      <c r="D80" s="490"/>
      <c r="E80" s="453" t="s">
        <v>320</v>
      </c>
      <c r="F80" s="192">
        <f t="shared" si="4"/>
        <v>62717.695833333331</v>
      </c>
      <c r="G80" s="193">
        <f t="shared" si="3"/>
        <v>2588.3085937499995</v>
      </c>
      <c r="H80" s="190">
        <f t="shared" si="2"/>
        <v>65306.004427083331</v>
      </c>
      <c r="I80" s="417">
        <f t="shared" si="1"/>
        <v>4935268.0488467058</v>
      </c>
      <c r="J80" s="450"/>
      <c r="K80" s="434"/>
      <c r="L80" s="439"/>
      <c r="M80" s="440"/>
      <c r="N80" s="434"/>
    </row>
    <row r="81" spans="2:14" x14ac:dyDescent="0.2">
      <c r="B81" s="536">
        <v>55</v>
      </c>
      <c r="C81" s="537"/>
      <c r="D81" s="490"/>
      <c r="E81" s="453" t="s">
        <v>321</v>
      </c>
      <c r="F81" s="192">
        <f t="shared" si="4"/>
        <v>62717.695833333331</v>
      </c>
      <c r="G81" s="193">
        <f t="shared" si="3"/>
        <v>2588.3085937499995</v>
      </c>
      <c r="H81" s="190">
        <f t="shared" si="2"/>
        <v>65306.004427083331</v>
      </c>
      <c r="I81" s="417">
        <f t="shared" si="1"/>
        <v>4869962.044419622</v>
      </c>
      <c r="J81" s="450"/>
      <c r="K81" s="434"/>
      <c r="L81" s="439"/>
      <c r="M81" s="440"/>
      <c r="N81" s="434"/>
    </row>
    <row r="82" spans="2:14" x14ac:dyDescent="0.2">
      <c r="B82" s="536">
        <v>56</v>
      </c>
      <c r="C82" s="537"/>
      <c r="D82" s="490"/>
      <c r="E82" s="453" t="s">
        <v>322</v>
      </c>
      <c r="F82" s="192">
        <f t="shared" si="4"/>
        <v>62717.695833333331</v>
      </c>
      <c r="G82" s="193">
        <f t="shared" si="3"/>
        <v>2588.3085937499995</v>
      </c>
      <c r="H82" s="190">
        <f t="shared" si="2"/>
        <v>65306.004427083331</v>
      </c>
      <c r="I82" s="417">
        <f t="shared" si="1"/>
        <v>4804656.0399925383</v>
      </c>
      <c r="J82" s="450"/>
      <c r="K82" s="434"/>
      <c r="L82" s="439"/>
      <c r="M82" s="440"/>
      <c r="N82" s="434"/>
    </row>
    <row r="83" spans="2:14" x14ac:dyDescent="0.2">
      <c r="B83" s="536">
        <v>57</v>
      </c>
      <c r="C83" s="537"/>
      <c r="D83" s="490"/>
      <c r="E83" s="453" t="s">
        <v>323</v>
      </c>
      <c r="F83" s="192">
        <f t="shared" si="4"/>
        <v>62717.695833333331</v>
      </c>
      <c r="G83" s="193">
        <f t="shared" si="3"/>
        <v>2588.3085937499995</v>
      </c>
      <c r="H83" s="190">
        <f t="shared" si="2"/>
        <v>65306.004427083331</v>
      </c>
      <c r="I83" s="417">
        <f t="shared" si="1"/>
        <v>4739350.0355654545</v>
      </c>
      <c r="J83" s="450"/>
      <c r="K83" s="434"/>
      <c r="L83" s="439"/>
      <c r="M83" s="440"/>
      <c r="N83" s="434"/>
    </row>
    <row r="84" spans="2:14" x14ac:dyDescent="0.2">
      <c r="B84" s="536">
        <v>58</v>
      </c>
      <c r="C84" s="537"/>
      <c r="D84" s="490"/>
      <c r="E84" s="453" t="s">
        <v>324</v>
      </c>
      <c r="F84" s="192">
        <f t="shared" si="4"/>
        <v>62717.695833333331</v>
      </c>
      <c r="G84" s="193">
        <f t="shared" si="3"/>
        <v>2588.3085937499995</v>
      </c>
      <c r="H84" s="190">
        <f t="shared" si="2"/>
        <v>65306.004427083331</v>
      </c>
      <c r="I84" s="417">
        <f t="shared" si="1"/>
        <v>4674044.0311383707</v>
      </c>
      <c r="J84" s="450"/>
      <c r="K84" s="434"/>
      <c r="L84" s="439"/>
      <c r="M84" s="440"/>
      <c r="N84" s="434"/>
    </row>
    <row r="85" spans="2:14" x14ac:dyDescent="0.2">
      <c r="B85" s="536">
        <v>59</v>
      </c>
      <c r="C85" s="537"/>
      <c r="D85" s="490"/>
      <c r="E85" s="453" t="s">
        <v>325</v>
      </c>
      <c r="F85" s="192">
        <f t="shared" si="4"/>
        <v>62717.695833333331</v>
      </c>
      <c r="G85" s="193">
        <f t="shared" si="3"/>
        <v>2588.3085937499995</v>
      </c>
      <c r="H85" s="190">
        <f t="shared" si="2"/>
        <v>65306.004427083331</v>
      </c>
      <c r="I85" s="417">
        <f t="shared" si="1"/>
        <v>4608738.026711287</v>
      </c>
      <c r="J85" s="450"/>
      <c r="K85" s="434"/>
      <c r="L85" s="439"/>
      <c r="M85" s="440"/>
      <c r="N85" s="434"/>
    </row>
    <row r="86" spans="2:14" x14ac:dyDescent="0.2">
      <c r="B86" s="536">
        <v>60</v>
      </c>
      <c r="C86" s="537"/>
      <c r="D86" s="490"/>
      <c r="E86" s="453" t="s">
        <v>326</v>
      </c>
      <c r="F86" s="192">
        <f t="shared" si="4"/>
        <v>62717.695833333331</v>
      </c>
      <c r="G86" s="193">
        <f t="shared" si="3"/>
        <v>2588.3085937499995</v>
      </c>
      <c r="H86" s="190">
        <f t="shared" si="2"/>
        <v>65306.004427083331</v>
      </c>
      <c r="I86" s="417">
        <f t="shared" si="1"/>
        <v>4543432.0222842032</v>
      </c>
      <c r="J86" s="450"/>
      <c r="K86" s="434"/>
      <c r="L86" s="439"/>
      <c r="M86" s="440"/>
      <c r="N86" s="434"/>
    </row>
    <row r="87" spans="2:14" x14ac:dyDescent="0.2">
      <c r="B87" s="536">
        <v>61</v>
      </c>
      <c r="C87" s="537"/>
      <c r="D87" s="490"/>
      <c r="E87" s="453" t="s">
        <v>327</v>
      </c>
      <c r="F87" s="192">
        <f t="shared" si="4"/>
        <v>62717.695833333331</v>
      </c>
      <c r="G87" s="193">
        <f t="shared" si="3"/>
        <v>2588.3085937499995</v>
      </c>
      <c r="H87" s="190">
        <f t="shared" si="2"/>
        <v>65306.004427083331</v>
      </c>
      <c r="I87" s="417">
        <f t="shared" si="1"/>
        <v>4478126.0178571194</v>
      </c>
      <c r="J87" s="450"/>
      <c r="K87" s="434"/>
      <c r="L87" s="439"/>
      <c r="M87" s="440"/>
      <c r="N87" s="434"/>
    </row>
    <row r="88" spans="2:14" ht="16" thickBot="1" x14ac:dyDescent="0.25">
      <c r="B88" s="536">
        <v>62</v>
      </c>
      <c r="C88" s="537"/>
      <c r="D88" s="490"/>
      <c r="E88" s="453" t="s">
        <v>52</v>
      </c>
      <c r="F88" s="420">
        <f>(((D16-SUM(D17:D19))+D22)*50%)</f>
        <v>4300642</v>
      </c>
      <c r="G88" s="420">
        <f>(D21*50%)</f>
        <v>177484.01785714284</v>
      </c>
      <c r="H88" s="190">
        <f t="shared" si="2"/>
        <v>4478126.0178571427</v>
      </c>
      <c r="I88" s="417">
        <f t="shared" si="1"/>
        <v>-2.3283064365386963E-8</v>
      </c>
      <c r="J88" s="450"/>
      <c r="K88" s="434"/>
      <c r="L88" s="439"/>
      <c r="M88" s="440"/>
      <c r="N88" s="434"/>
    </row>
    <row r="89" spans="2:14" ht="16" thickBot="1" x14ac:dyDescent="0.25">
      <c r="B89" s="454"/>
      <c r="C89" s="455"/>
      <c r="D89" s="456"/>
      <c r="E89" s="457" t="s">
        <v>96</v>
      </c>
      <c r="F89" s="196">
        <f>SUM(F26:F88)</f>
        <v>8601284</v>
      </c>
      <c r="G89" s="196">
        <f>SUM(G26:G88)</f>
        <v>354968.03571428568</v>
      </c>
      <c r="H89" s="196">
        <f>SUM(H26:H88)</f>
        <v>8956252.0357142873</v>
      </c>
      <c r="I89" s="197"/>
      <c r="J89" s="434"/>
      <c r="K89" s="434"/>
      <c r="L89" s="439">
        <f>SUM(L26:L88)</f>
        <v>56000</v>
      </c>
      <c r="M89" s="440">
        <f>L89-F89</f>
        <v>-8545284</v>
      </c>
      <c r="N89" s="434"/>
    </row>
    <row r="90" spans="2:14" x14ac:dyDescent="0.2">
      <c r="D90" s="458"/>
      <c r="L90" s="459"/>
    </row>
    <row r="91" spans="2:14" x14ac:dyDescent="0.2">
      <c r="B91" s="529" t="s">
        <v>195</v>
      </c>
      <c r="C91" s="535"/>
      <c r="D91" s="535"/>
      <c r="E91" s="535"/>
      <c r="F91" s="535"/>
      <c r="G91" s="535"/>
      <c r="H91" s="535"/>
      <c r="I91" s="535"/>
      <c r="L91" s="459"/>
    </row>
    <row r="92" spans="2:14" x14ac:dyDescent="0.2">
      <c r="B92" s="535"/>
      <c r="C92" s="535"/>
      <c r="D92" s="535"/>
      <c r="E92" s="535"/>
      <c r="F92" s="535"/>
      <c r="G92" s="535"/>
      <c r="H92" s="535"/>
      <c r="I92" s="535"/>
      <c r="L92" s="459"/>
    </row>
    <row r="93" spans="2:14" x14ac:dyDescent="0.2">
      <c r="B93" s="535"/>
      <c r="C93" s="535"/>
      <c r="D93" s="535"/>
      <c r="E93" s="535"/>
      <c r="F93" s="535"/>
      <c r="G93" s="535"/>
      <c r="H93" s="535"/>
      <c r="I93" s="535"/>
      <c r="L93" s="459"/>
    </row>
    <row r="94" spans="2:14" x14ac:dyDescent="0.2">
      <c r="B94" s="535"/>
      <c r="C94" s="535"/>
      <c r="D94" s="535"/>
      <c r="E94" s="535"/>
      <c r="F94" s="535"/>
      <c r="G94" s="535"/>
      <c r="H94" s="535"/>
      <c r="I94" s="535"/>
      <c r="L94" s="459"/>
    </row>
    <row r="95" spans="2:14" x14ac:dyDescent="0.2">
      <c r="B95" s="535"/>
      <c r="C95" s="535"/>
      <c r="D95" s="535"/>
      <c r="E95" s="535"/>
      <c r="F95" s="535"/>
      <c r="G95" s="535"/>
      <c r="H95" s="535"/>
      <c r="I95" s="535"/>
      <c r="L95" s="459"/>
    </row>
    <row r="96" spans="2:14" x14ac:dyDescent="0.2">
      <c r="B96" s="535"/>
      <c r="C96" s="535"/>
      <c r="D96" s="535"/>
      <c r="E96" s="535"/>
      <c r="F96" s="535"/>
      <c r="G96" s="535"/>
      <c r="H96" s="535"/>
      <c r="I96" s="535"/>
      <c r="L96" s="459"/>
    </row>
    <row r="97" spans="2:12" x14ac:dyDescent="0.2">
      <c r="B97" s="535"/>
      <c r="C97" s="535"/>
      <c r="D97" s="535"/>
      <c r="E97" s="535"/>
      <c r="F97" s="535"/>
      <c r="G97" s="535"/>
      <c r="H97" s="535"/>
      <c r="I97" s="535"/>
      <c r="L97" s="459"/>
    </row>
    <row r="98" spans="2:12" x14ac:dyDescent="0.2">
      <c r="B98" s="535"/>
      <c r="C98" s="535"/>
      <c r="D98" s="535"/>
      <c r="E98" s="535"/>
      <c r="F98" s="535"/>
      <c r="G98" s="535"/>
      <c r="H98" s="535"/>
      <c r="I98" s="535"/>
      <c r="L98" s="459"/>
    </row>
    <row r="99" spans="2:12" x14ac:dyDescent="0.2">
      <c r="B99" s="535"/>
      <c r="C99" s="535"/>
      <c r="D99" s="535"/>
      <c r="E99" s="535"/>
      <c r="F99" s="535"/>
      <c r="G99" s="535"/>
      <c r="H99" s="535"/>
      <c r="I99" s="535"/>
      <c r="L99" s="459"/>
    </row>
    <row r="100" spans="2:12" x14ac:dyDescent="0.2">
      <c r="B100" s="535"/>
      <c r="C100" s="535"/>
      <c r="D100" s="535"/>
      <c r="E100" s="535"/>
      <c r="F100" s="535"/>
      <c r="G100" s="535"/>
      <c r="H100" s="535"/>
      <c r="I100" s="535"/>
      <c r="L100" s="459"/>
    </row>
    <row r="101" spans="2:12" x14ac:dyDescent="0.2">
      <c r="B101" s="535"/>
      <c r="C101" s="535"/>
      <c r="D101" s="535"/>
      <c r="E101" s="535"/>
      <c r="F101" s="535"/>
      <c r="G101" s="535"/>
      <c r="H101" s="535"/>
      <c r="I101" s="535"/>
      <c r="L101" s="459"/>
    </row>
    <row r="102" spans="2:12" x14ac:dyDescent="0.2">
      <c r="B102" s="535"/>
      <c r="C102" s="535"/>
      <c r="D102" s="535"/>
      <c r="E102" s="535"/>
      <c r="F102" s="535"/>
      <c r="G102" s="535"/>
      <c r="H102" s="535"/>
      <c r="I102" s="535"/>
      <c r="L102" s="459"/>
    </row>
    <row r="103" spans="2:12" x14ac:dyDescent="0.2">
      <c r="B103" s="535"/>
      <c r="C103" s="535"/>
      <c r="D103" s="535"/>
      <c r="E103" s="535"/>
      <c r="F103" s="535"/>
      <c r="G103" s="535"/>
      <c r="H103" s="535"/>
      <c r="I103" s="535"/>
      <c r="L103" s="459"/>
    </row>
    <row r="104" spans="2:12" x14ac:dyDescent="0.2">
      <c r="B104" s="535"/>
      <c r="C104" s="535"/>
      <c r="D104" s="535"/>
      <c r="E104" s="535"/>
      <c r="F104" s="535"/>
      <c r="G104" s="535"/>
      <c r="H104" s="535"/>
      <c r="I104" s="535"/>
      <c r="L104" s="459"/>
    </row>
    <row r="105" spans="2:12" x14ac:dyDescent="0.2">
      <c r="B105" s="535"/>
      <c r="C105" s="535"/>
      <c r="D105" s="535"/>
      <c r="E105" s="535"/>
      <c r="F105" s="535"/>
      <c r="G105" s="535"/>
      <c r="H105" s="535"/>
      <c r="I105" s="535"/>
      <c r="L105" s="459"/>
    </row>
    <row r="106" spans="2:12" x14ac:dyDescent="0.2">
      <c r="B106" s="535"/>
      <c r="C106" s="535"/>
      <c r="D106" s="535"/>
      <c r="E106" s="535"/>
      <c r="F106" s="535"/>
      <c r="G106" s="535"/>
      <c r="H106" s="535"/>
      <c r="I106" s="535"/>
      <c r="L106" s="459"/>
    </row>
    <row r="107" spans="2:12" ht="63" customHeight="1" x14ac:dyDescent="0.2">
      <c r="B107" s="535"/>
      <c r="C107" s="535"/>
      <c r="D107" s="535"/>
      <c r="E107" s="535"/>
      <c r="F107" s="535"/>
      <c r="G107" s="535"/>
      <c r="H107" s="535"/>
      <c r="I107" s="535"/>
      <c r="L107" s="459"/>
    </row>
    <row r="108" spans="2:12" hidden="1" x14ac:dyDescent="0.2">
      <c r="B108" s="460" t="s">
        <v>97</v>
      </c>
      <c r="C108" s="460"/>
    </row>
    <row r="109" spans="2:12" hidden="1" x14ac:dyDescent="0.2">
      <c r="B109" s="461" t="s">
        <v>98</v>
      </c>
      <c r="C109" s="461"/>
    </row>
    <row r="110" spans="2:12" hidden="1" x14ac:dyDescent="0.2">
      <c r="B110" s="461" t="s">
        <v>99</v>
      </c>
      <c r="C110" s="461"/>
    </row>
    <row r="111" spans="2:12" hidden="1" x14ac:dyDescent="0.2">
      <c r="B111" s="461" t="s">
        <v>100</v>
      </c>
      <c r="C111" s="461"/>
    </row>
    <row r="112" spans="2:12" hidden="1" x14ac:dyDescent="0.2">
      <c r="B112" s="461" t="s">
        <v>101</v>
      </c>
      <c r="C112" s="461"/>
    </row>
    <row r="113" spans="2:14" s="462" customFormat="1" hidden="1" x14ac:dyDescent="0.2">
      <c r="B113" s="461" t="s">
        <v>102</v>
      </c>
      <c r="C113" s="461"/>
    </row>
    <row r="114" spans="2:14" ht="17.5" customHeight="1" x14ac:dyDescent="0.2"/>
    <row r="115" spans="2:14" x14ac:dyDescent="0.2">
      <c r="B115" s="463" t="s">
        <v>103</v>
      </c>
      <c r="C115" s="463"/>
    </row>
    <row r="118" spans="2:14" x14ac:dyDescent="0.2">
      <c r="B118" s="530" t="s">
        <v>104</v>
      </c>
      <c r="C118" s="530"/>
      <c r="D118" s="530"/>
      <c r="F118" s="530" t="s">
        <v>105</v>
      </c>
      <c r="G118" s="530"/>
      <c r="H118" s="530"/>
      <c r="I118" s="530"/>
    </row>
    <row r="119" spans="2:14" x14ac:dyDescent="0.2">
      <c r="B119" s="426"/>
      <c r="C119" s="426"/>
      <c r="D119" s="426"/>
      <c r="E119" s="426"/>
      <c r="F119" s="426"/>
      <c r="G119" s="426"/>
      <c r="H119" s="426"/>
      <c r="I119" s="426"/>
      <c r="J119" s="426"/>
      <c r="K119" s="426"/>
      <c r="L119" s="426"/>
      <c r="M119" s="426"/>
      <c r="N119" s="426"/>
    </row>
    <row r="120" spans="2:14" x14ac:dyDescent="0.2">
      <c r="B120" s="426"/>
      <c r="C120" s="426"/>
      <c r="D120" s="426"/>
      <c r="E120" s="426"/>
      <c r="F120" s="426"/>
      <c r="G120" s="426"/>
      <c r="H120" s="426"/>
      <c r="I120" s="426"/>
      <c r="J120" s="426"/>
      <c r="K120" s="426"/>
      <c r="L120" s="426"/>
      <c r="M120" s="426"/>
      <c r="N120" s="426"/>
    </row>
    <row r="121" spans="2:14" x14ac:dyDescent="0.2">
      <c r="B121" s="426"/>
      <c r="C121" s="426"/>
      <c r="D121" s="426"/>
      <c r="E121" s="426"/>
      <c r="F121" s="426"/>
      <c r="G121" s="426"/>
      <c r="H121" s="426"/>
      <c r="I121" s="426"/>
      <c r="J121" s="426"/>
      <c r="K121" s="426"/>
      <c r="L121" s="426"/>
      <c r="M121" s="426"/>
      <c r="N121" s="426"/>
    </row>
    <row r="122" spans="2:14" x14ac:dyDescent="0.2">
      <c r="B122" s="426"/>
      <c r="C122" s="426"/>
      <c r="D122" s="426"/>
      <c r="E122" s="426"/>
      <c r="F122" s="426"/>
      <c r="G122" s="426"/>
      <c r="H122" s="426"/>
      <c r="I122" s="426"/>
      <c r="J122" s="426"/>
      <c r="K122" s="426"/>
      <c r="L122" s="426"/>
      <c r="M122" s="426"/>
      <c r="N122" s="426"/>
    </row>
    <row r="123" spans="2:14" x14ac:dyDescent="0.2">
      <c r="B123" s="426"/>
      <c r="C123" s="426"/>
      <c r="D123" s="426"/>
      <c r="E123" s="426"/>
      <c r="F123" s="426"/>
      <c r="G123" s="426"/>
      <c r="H123" s="426"/>
      <c r="I123" s="426"/>
      <c r="J123" s="426"/>
      <c r="K123" s="426"/>
      <c r="L123" s="426"/>
      <c r="M123" s="426"/>
      <c r="N123" s="426"/>
    </row>
    <row r="124" spans="2:14" x14ac:dyDescent="0.2">
      <c r="B124" s="426"/>
      <c r="C124" s="426"/>
      <c r="D124" s="426"/>
      <c r="E124" s="426"/>
      <c r="F124" s="426"/>
      <c r="G124" s="426"/>
      <c r="H124" s="426"/>
      <c r="I124" s="426"/>
      <c r="J124" s="426"/>
      <c r="K124" s="426"/>
      <c r="L124" s="426"/>
      <c r="M124" s="426"/>
      <c r="N124" s="426"/>
    </row>
    <row r="125" spans="2:14" x14ac:dyDescent="0.2">
      <c r="B125" s="426"/>
      <c r="C125" s="426"/>
      <c r="D125" s="426"/>
      <c r="E125" s="426"/>
      <c r="F125" s="426"/>
      <c r="G125" s="426"/>
      <c r="H125" s="426"/>
      <c r="I125" s="426"/>
      <c r="J125" s="426"/>
      <c r="K125" s="426"/>
      <c r="L125" s="426"/>
      <c r="M125" s="426"/>
      <c r="N125" s="426"/>
    </row>
    <row r="126" spans="2:14" x14ac:dyDescent="0.2">
      <c r="B126" s="426"/>
      <c r="C126" s="426"/>
      <c r="D126" s="426"/>
      <c r="E126" s="426"/>
      <c r="F126" s="426"/>
      <c r="G126" s="426"/>
      <c r="H126" s="426"/>
      <c r="I126" s="426"/>
      <c r="J126" s="426"/>
      <c r="K126" s="426"/>
      <c r="L126" s="426"/>
      <c r="M126" s="426"/>
      <c r="N126" s="426"/>
    </row>
    <row r="127" spans="2:14" x14ac:dyDescent="0.2">
      <c r="B127" s="426"/>
      <c r="C127" s="426"/>
      <c r="D127" s="426"/>
      <c r="E127" s="426"/>
      <c r="F127" s="426"/>
      <c r="G127" s="426"/>
      <c r="H127" s="426"/>
      <c r="I127" s="426"/>
      <c r="J127" s="426"/>
      <c r="K127" s="426"/>
      <c r="L127" s="426"/>
      <c r="M127" s="426"/>
      <c r="N127" s="426"/>
    </row>
    <row r="128" spans="2:14" x14ac:dyDescent="0.2">
      <c r="B128" s="426"/>
      <c r="C128" s="426"/>
      <c r="D128" s="426"/>
      <c r="E128" s="426"/>
      <c r="F128" s="426"/>
      <c r="G128" s="426"/>
      <c r="H128" s="426"/>
      <c r="I128" s="426"/>
      <c r="J128" s="426"/>
      <c r="K128" s="426"/>
      <c r="L128" s="426"/>
      <c r="M128" s="426"/>
      <c r="N128" s="426"/>
    </row>
    <row r="129" spans="2:14" x14ac:dyDescent="0.2">
      <c r="B129" s="426"/>
      <c r="C129" s="426"/>
      <c r="D129" s="426"/>
      <c r="E129" s="426"/>
      <c r="F129" s="426"/>
      <c r="G129" s="426"/>
      <c r="H129" s="426"/>
      <c r="I129" s="426"/>
      <c r="J129" s="426"/>
      <c r="K129" s="426"/>
      <c r="L129" s="426"/>
      <c r="M129" s="426"/>
      <c r="N129" s="426"/>
    </row>
    <row r="130" spans="2:14" x14ac:dyDescent="0.2">
      <c r="B130" s="426"/>
      <c r="C130" s="426"/>
      <c r="D130" s="426"/>
      <c r="E130" s="426"/>
      <c r="F130" s="426"/>
      <c r="G130" s="426"/>
      <c r="H130" s="426"/>
      <c r="I130" s="426"/>
      <c r="J130" s="426"/>
      <c r="K130" s="426"/>
      <c r="L130" s="426"/>
      <c r="M130" s="426"/>
      <c r="N130" s="426"/>
    </row>
    <row r="131" spans="2:14" x14ac:dyDescent="0.2">
      <c r="B131" s="426"/>
      <c r="C131" s="426"/>
      <c r="D131" s="426"/>
      <c r="E131" s="426"/>
      <c r="F131" s="426"/>
      <c r="G131" s="426"/>
      <c r="H131" s="426"/>
      <c r="I131" s="426"/>
      <c r="J131" s="426"/>
      <c r="K131" s="426"/>
      <c r="L131" s="426"/>
      <c r="M131" s="426"/>
      <c r="N131" s="426"/>
    </row>
    <row r="132" spans="2:14" x14ac:dyDescent="0.2">
      <c r="B132" s="426"/>
      <c r="C132" s="426"/>
      <c r="D132" s="426"/>
      <c r="E132" s="426"/>
      <c r="F132" s="426"/>
      <c r="G132" s="426"/>
      <c r="H132" s="426"/>
      <c r="I132" s="426"/>
      <c r="J132" s="426"/>
      <c r="K132" s="426"/>
      <c r="L132" s="426"/>
      <c r="M132" s="426"/>
      <c r="N132" s="426"/>
    </row>
    <row r="133" spans="2:14" x14ac:dyDescent="0.2">
      <c r="B133" s="426"/>
      <c r="C133" s="426"/>
      <c r="D133" s="426"/>
      <c r="E133" s="426"/>
      <c r="F133" s="426"/>
      <c r="G133" s="426"/>
      <c r="H133" s="426"/>
      <c r="I133" s="426"/>
      <c r="J133" s="426"/>
      <c r="K133" s="426"/>
      <c r="L133" s="426"/>
      <c r="M133" s="426"/>
      <c r="N133" s="426"/>
    </row>
    <row r="134" spans="2:14" x14ac:dyDescent="0.2">
      <c r="B134" s="426"/>
      <c r="C134" s="426"/>
      <c r="D134" s="426"/>
      <c r="E134" s="426"/>
      <c r="F134" s="426"/>
      <c r="G134" s="426"/>
      <c r="H134" s="426"/>
      <c r="I134" s="426"/>
      <c r="J134" s="426"/>
      <c r="K134" s="426"/>
      <c r="L134" s="426"/>
      <c r="M134" s="426"/>
      <c r="N134" s="426"/>
    </row>
    <row r="135" spans="2:14" x14ac:dyDescent="0.2">
      <c r="B135" s="426"/>
      <c r="C135" s="426"/>
      <c r="D135" s="426"/>
      <c r="E135" s="426"/>
      <c r="F135" s="426"/>
      <c r="G135" s="426"/>
      <c r="H135" s="426"/>
      <c r="I135" s="426"/>
      <c r="J135" s="426"/>
      <c r="K135" s="426"/>
      <c r="L135" s="426"/>
      <c r="M135" s="426"/>
      <c r="N135" s="426"/>
    </row>
    <row r="136" spans="2:14" x14ac:dyDescent="0.2">
      <c r="B136" s="426"/>
      <c r="C136" s="426"/>
      <c r="D136" s="426"/>
      <c r="E136" s="426"/>
      <c r="F136" s="426"/>
      <c r="G136" s="426"/>
      <c r="H136" s="426"/>
      <c r="I136" s="426"/>
      <c r="J136" s="426"/>
      <c r="K136" s="426"/>
      <c r="L136" s="426"/>
      <c r="M136" s="426"/>
      <c r="N136" s="426"/>
    </row>
    <row r="137" spans="2:14" x14ac:dyDescent="0.2">
      <c r="B137" s="426"/>
      <c r="C137" s="426"/>
      <c r="D137" s="426"/>
      <c r="E137" s="426"/>
      <c r="F137" s="426"/>
      <c r="G137" s="426"/>
      <c r="H137" s="426"/>
      <c r="I137" s="426"/>
      <c r="J137" s="426"/>
      <c r="K137" s="426"/>
      <c r="L137" s="426"/>
      <c r="M137" s="426"/>
      <c r="N137" s="426"/>
    </row>
    <row r="138" spans="2:14" x14ac:dyDescent="0.2">
      <c r="B138" s="426"/>
      <c r="C138" s="426"/>
      <c r="D138" s="426"/>
      <c r="E138" s="426"/>
      <c r="F138" s="426"/>
      <c r="G138" s="426"/>
      <c r="H138" s="426"/>
      <c r="I138" s="426"/>
      <c r="J138" s="426"/>
      <c r="K138" s="426"/>
      <c r="L138" s="426"/>
      <c r="M138" s="426"/>
      <c r="N138" s="426"/>
    </row>
    <row r="139" spans="2:14" x14ac:dyDescent="0.2">
      <c r="B139" s="426"/>
      <c r="C139" s="426"/>
      <c r="D139" s="426"/>
      <c r="E139" s="426"/>
      <c r="F139" s="426"/>
      <c r="G139" s="426"/>
      <c r="H139" s="426"/>
      <c r="I139" s="426"/>
      <c r="J139" s="426"/>
      <c r="K139" s="426"/>
      <c r="L139" s="426"/>
      <c r="M139" s="426"/>
      <c r="N139" s="426"/>
    </row>
    <row r="140" spans="2:14" x14ac:dyDescent="0.2">
      <c r="B140" s="426"/>
      <c r="C140" s="426"/>
      <c r="D140" s="426"/>
      <c r="E140" s="426"/>
      <c r="F140" s="426"/>
      <c r="G140" s="426"/>
      <c r="H140" s="426"/>
      <c r="I140" s="426"/>
      <c r="J140" s="426"/>
      <c r="K140" s="426"/>
      <c r="L140" s="426"/>
      <c r="M140" s="426"/>
      <c r="N140" s="426"/>
    </row>
    <row r="141" spans="2:14" x14ac:dyDescent="0.2">
      <c r="B141" s="426"/>
      <c r="C141" s="426"/>
      <c r="D141" s="426"/>
      <c r="E141" s="426"/>
      <c r="F141" s="426"/>
      <c r="G141" s="426"/>
      <c r="H141" s="426"/>
      <c r="I141" s="426"/>
      <c r="J141" s="426"/>
      <c r="K141" s="426"/>
      <c r="L141" s="426"/>
      <c r="M141" s="426"/>
      <c r="N141" s="426"/>
    </row>
    <row r="142" spans="2:14" x14ac:dyDescent="0.2">
      <c r="B142" s="426"/>
      <c r="C142" s="426"/>
      <c r="D142" s="426"/>
      <c r="E142" s="426"/>
      <c r="F142" s="426"/>
      <c r="G142" s="426"/>
      <c r="H142" s="426"/>
      <c r="I142" s="426"/>
      <c r="J142" s="426"/>
      <c r="K142" s="426"/>
      <c r="L142" s="426"/>
      <c r="M142" s="426"/>
      <c r="N142" s="426"/>
    </row>
    <row r="143" spans="2:14" x14ac:dyDescent="0.2">
      <c r="B143" s="426"/>
      <c r="C143" s="426"/>
      <c r="D143" s="426"/>
      <c r="E143" s="426"/>
      <c r="F143" s="426"/>
      <c r="G143" s="426"/>
      <c r="H143" s="426"/>
      <c r="I143" s="426"/>
      <c r="J143" s="426"/>
      <c r="K143" s="426"/>
      <c r="L143" s="426"/>
      <c r="M143" s="426"/>
      <c r="N143" s="426"/>
    </row>
    <row r="144" spans="2:14" x14ac:dyDescent="0.2">
      <c r="B144" s="426"/>
      <c r="C144" s="426"/>
      <c r="D144" s="426"/>
      <c r="E144" s="426"/>
      <c r="F144" s="426"/>
      <c r="G144" s="426"/>
      <c r="H144" s="426"/>
      <c r="I144" s="426"/>
      <c r="J144" s="426"/>
      <c r="K144" s="426"/>
      <c r="L144" s="426"/>
      <c r="M144" s="426"/>
      <c r="N144" s="426"/>
    </row>
    <row r="145" spans="2:14" x14ac:dyDescent="0.2">
      <c r="B145" s="426"/>
      <c r="C145" s="426"/>
      <c r="D145" s="426"/>
      <c r="E145" s="426"/>
      <c r="F145" s="426"/>
      <c r="G145" s="426"/>
      <c r="H145" s="426"/>
      <c r="I145" s="426"/>
      <c r="J145" s="426"/>
      <c r="K145" s="426"/>
      <c r="L145" s="426"/>
      <c r="M145" s="426"/>
      <c r="N145" s="426"/>
    </row>
    <row r="146" spans="2:14" x14ac:dyDescent="0.2">
      <c r="B146" s="426"/>
      <c r="C146" s="426"/>
      <c r="D146" s="426"/>
      <c r="E146" s="426"/>
      <c r="F146" s="426"/>
      <c r="G146" s="426"/>
      <c r="H146" s="426"/>
      <c r="I146" s="426"/>
      <c r="J146" s="426"/>
      <c r="K146" s="426"/>
      <c r="L146" s="426"/>
      <c r="M146" s="426"/>
      <c r="N146" s="426"/>
    </row>
  </sheetData>
  <sheetProtection algorithmName="SHA-512" hashValue="jku+2LG1AeQfvA0iYHdQNVfRh9AduO7oIbWHdi6hE7lr7K7B4reltf6q5qD/vzaCpmhDi+WxW4StTW8kkjjXQQ==" saltValue="e21gO+L8Aw1gmYbpcySJqQ==" spinCount="100000" sheet="1" objects="1" scenarios="1"/>
  <mergeCells count="75">
    <mergeCell ref="B91:I107"/>
    <mergeCell ref="F118:I118"/>
    <mergeCell ref="B85:C85"/>
    <mergeCell ref="B86:C86"/>
    <mergeCell ref="B87:C87"/>
    <mergeCell ref="B88:C88"/>
    <mergeCell ref="B118:D118"/>
    <mergeCell ref="B84:C84"/>
    <mergeCell ref="B73:C73"/>
    <mergeCell ref="B74:C74"/>
    <mergeCell ref="B75:C75"/>
    <mergeCell ref="B76:C76"/>
    <mergeCell ref="B77:C77"/>
    <mergeCell ref="B78:C78"/>
    <mergeCell ref="B79:C79"/>
    <mergeCell ref="B80:C80"/>
    <mergeCell ref="B81:C81"/>
    <mergeCell ref="B82:C82"/>
    <mergeCell ref="B83:C83"/>
    <mergeCell ref="B72:C72"/>
    <mergeCell ref="B61:C61"/>
    <mergeCell ref="B62:C62"/>
    <mergeCell ref="B63:C63"/>
    <mergeCell ref="B64:C64"/>
    <mergeCell ref="B65:C65"/>
    <mergeCell ref="B66:C66"/>
    <mergeCell ref="B67:C67"/>
    <mergeCell ref="B68:C68"/>
    <mergeCell ref="B69:C69"/>
    <mergeCell ref="B70:C70"/>
    <mergeCell ref="B71:C71"/>
    <mergeCell ref="B60:C60"/>
    <mergeCell ref="B49:C49"/>
    <mergeCell ref="B50:C50"/>
    <mergeCell ref="B51:C51"/>
    <mergeCell ref="B52:C52"/>
    <mergeCell ref="B53:C53"/>
    <mergeCell ref="B54:C54"/>
    <mergeCell ref="B55:C55"/>
    <mergeCell ref="B56:C56"/>
    <mergeCell ref="B57:C57"/>
    <mergeCell ref="B58:C58"/>
    <mergeCell ref="B59:C59"/>
    <mergeCell ref="B48:C48"/>
    <mergeCell ref="B37:C37"/>
    <mergeCell ref="B38:C38"/>
    <mergeCell ref="B39:C39"/>
    <mergeCell ref="B40:C40"/>
    <mergeCell ref="B41:C41"/>
    <mergeCell ref="B42:C42"/>
    <mergeCell ref="B43:C43"/>
    <mergeCell ref="B44:C44"/>
    <mergeCell ref="B45:C45"/>
    <mergeCell ref="B46:C46"/>
    <mergeCell ref="B47:C47"/>
    <mergeCell ref="B34:C34"/>
    <mergeCell ref="B35:C35"/>
    <mergeCell ref="B36:C36"/>
    <mergeCell ref="C10:D10"/>
    <mergeCell ref="C13:D13"/>
    <mergeCell ref="B25:C25"/>
    <mergeCell ref="B26:C26"/>
    <mergeCell ref="B29:C29"/>
    <mergeCell ref="B30:C30"/>
    <mergeCell ref="B27:C27"/>
    <mergeCell ref="L1:L3"/>
    <mergeCell ref="I2:I3"/>
    <mergeCell ref="C6:D6"/>
    <mergeCell ref="C7:D7"/>
    <mergeCell ref="C8:D8"/>
    <mergeCell ref="C9:D9"/>
    <mergeCell ref="B31:C31"/>
    <mergeCell ref="B32:C32"/>
    <mergeCell ref="B33:C33"/>
    <mergeCell ref="B28:C28"/>
  </mergeCells>
  <phoneticPr fontId="45" type="noConversion"/>
  <hyperlinks>
    <hyperlink ref="K4" location="Input!A1" display="Return to Input" xr:uid="{00000000-0004-0000-0A00-000000000000}"/>
  </hyperlinks>
  <pageMargins left="0.70866141732283472" right="0.70866141732283472" top="0.74803149606299213" bottom="0.74803149606299213" header="0.31496062992125984" footer="0.31496062992125984"/>
  <pageSetup paperSize="5" scale="55" fitToHeight="2"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B050"/>
    <pageSetUpPr fitToPage="1"/>
  </sheetPr>
  <dimension ref="A1:I35"/>
  <sheetViews>
    <sheetView workbookViewId="0">
      <selection activeCell="G2" sqref="G2"/>
    </sheetView>
  </sheetViews>
  <sheetFormatPr baseColWidth="10" defaultColWidth="8.83203125" defaultRowHeight="15" x14ac:dyDescent="0.2"/>
  <cols>
    <col min="1" max="1" width="30.1640625" customWidth="1"/>
    <col min="2" max="2" width="25.6640625" customWidth="1"/>
    <col min="3" max="5" width="25.6640625" style="60" customWidth="1"/>
    <col min="9" max="9" width="16" customWidth="1"/>
  </cols>
  <sheetData>
    <row r="1" spans="1:9" ht="21" x14ac:dyDescent="0.25">
      <c r="A1" s="59" t="s">
        <v>33</v>
      </c>
      <c r="B1" s="59"/>
    </row>
    <row r="2" spans="1:9" ht="21" x14ac:dyDescent="0.25">
      <c r="A2" s="64" t="s">
        <v>76</v>
      </c>
      <c r="B2" s="59"/>
      <c r="E2" s="65" t="s">
        <v>182</v>
      </c>
      <c r="G2" s="145" t="s">
        <v>180</v>
      </c>
      <c r="H2" s="144"/>
    </row>
    <row r="4" spans="1:9" x14ac:dyDescent="0.2">
      <c r="A4" s="46" t="s">
        <v>61</v>
      </c>
      <c r="B4" s="100" t="str">
        <f>INPUT!C11</f>
        <v>Block 5 Lot 11</v>
      </c>
      <c r="C4" s="99"/>
    </row>
    <row r="5" spans="1:9" x14ac:dyDescent="0.2">
      <c r="A5" s="46" t="s">
        <v>5</v>
      </c>
      <c r="B5" s="100" t="str">
        <f>+INPUT!C19</f>
        <v>Garden</v>
      </c>
      <c r="C5" s="99"/>
    </row>
    <row r="6" spans="1:9" x14ac:dyDescent="0.2">
      <c r="A6" s="46" t="s">
        <v>62</v>
      </c>
      <c r="B6" s="106">
        <f>INPUT!C17</f>
        <v>520</v>
      </c>
    </row>
    <row r="7" spans="1:9" x14ac:dyDescent="0.2">
      <c r="A7" s="46" t="s">
        <v>77</v>
      </c>
      <c r="B7" s="161">
        <f>INPUT!C18</f>
        <v>9574000</v>
      </c>
    </row>
    <row r="8" spans="1:9" ht="16" thickBot="1" x14ac:dyDescent="0.25"/>
    <row r="9" spans="1:9" ht="28.5" customHeight="1" thickBot="1" x14ac:dyDescent="0.25">
      <c r="B9" s="91" t="s">
        <v>38</v>
      </c>
      <c r="C9" s="92" t="s">
        <v>39</v>
      </c>
      <c r="D9" s="92" t="s">
        <v>40</v>
      </c>
      <c r="E9" s="93" t="s">
        <v>41</v>
      </c>
    </row>
    <row r="10" spans="1:9" ht="59.25" customHeight="1" thickBot="1" x14ac:dyDescent="0.25">
      <c r="A10" s="66"/>
      <c r="B10" s="67" t="s">
        <v>42</v>
      </c>
      <c r="C10" s="68" t="s">
        <v>60</v>
      </c>
      <c r="D10" s="68" t="s">
        <v>58</v>
      </c>
      <c r="E10" s="69" t="s">
        <v>59</v>
      </c>
    </row>
    <row r="11" spans="1:9" ht="6" customHeight="1" thickBot="1" x14ac:dyDescent="0.25">
      <c r="A11" s="70"/>
      <c r="B11" s="71"/>
      <c r="C11" s="72"/>
      <c r="D11" s="72"/>
      <c r="E11" s="73"/>
    </row>
    <row r="12" spans="1:9" ht="16" x14ac:dyDescent="0.2">
      <c r="A12" s="74" t="s">
        <v>78</v>
      </c>
      <c r="B12" s="146">
        <f>B7</f>
        <v>9574000</v>
      </c>
      <c r="C12" s="147">
        <f>+B12</f>
        <v>9574000</v>
      </c>
      <c r="D12" s="148">
        <f>+B12</f>
        <v>9574000</v>
      </c>
      <c r="E12" s="146">
        <f>+B12</f>
        <v>9574000</v>
      </c>
      <c r="I12" s="61"/>
    </row>
    <row r="13" spans="1:9" ht="16" x14ac:dyDescent="0.2">
      <c r="A13" s="94" t="s">
        <v>79</v>
      </c>
      <c r="B13" s="149">
        <v>650000</v>
      </c>
      <c r="C13" s="150">
        <v>650000</v>
      </c>
      <c r="D13" s="151">
        <v>650000</v>
      </c>
      <c r="E13" s="149">
        <v>650000</v>
      </c>
      <c r="I13" s="61"/>
    </row>
    <row r="14" spans="1:9" s="97" customFormat="1" ht="16" x14ac:dyDescent="0.2">
      <c r="A14" s="94" t="s">
        <v>43</v>
      </c>
      <c r="B14" s="95" t="e">
        <f>INPUT!#REF!</f>
        <v>#REF!</v>
      </c>
      <c r="C14" s="96" t="e">
        <f>+B14</f>
        <v>#REF!</v>
      </c>
      <c r="D14" s="109" t="e">
        <f>+B14</f>
        <v>#REF!</v>
      </c>
      <c r="E14" s="95" t="e">
        <f>+B14</f>
        <v>#REF!</v>
      </c>
    </row>
    <row r="15" spans="1:9" ht="16" x14ac:dyDescent="0.2">
      <c r="A15" s="75" t="s">
        <v>44</v>
      </c>
      <c r="B15" s="152" t="e">
        <f>IF(B14&gt;10%,"maximum of 10% discount",((B12-B13)*B14))</f>
        <v>#REF!</v>
      </c>
      <c r="C15" s="152" t="e">
        <f>IF(C14&gt;10%,"maximum of 10% discount",((C12-C13)*C14))</f>
        <v>#REF!</v>
      </c>
      <c r="D15" s="152" t="e">
        <f>IF(D14&gt;10%,"maximum of 10% discount",((D12-D13)*D14))</f>
        <v>#REF!</v>
      </c>
      <c r="E15" s="152" t="e">
        <f>IF(E14&gt;10%,"maximum of 10% discount",((E12-E13)*E14))</f>
        <v>#REF!</v>
      </c>
    </row>
    <row r="16" spans="1:9" s="97" customFormat="1" ht="16" x14ac:dyDescent="0.2">
      <c r="A16" s="94" t="s">
        <v>57</v>
      </c>
      <c r="B16" s="95">
        <f>INPUT!C22</f>
        <v>0.1</v>
      </c>
      <c r="C16" s="96">
        <f>+B16</f>
        <v>0.1</v>
      </c>
      <c r="D16" s="109">
        <f>+B16</f>
        <v>0.1</v>
      </c>
      <c r="E16" s="95">
        <f>+B16</f>
        <v>0.1</v>
      </c>
      <c r="H16" s="103"/>
      <c r="I16" s="98"/>
    </row>
    <row r="17" spans="1:9" ht="16" x14ac:dyDescent="0.2">
      <c r="A17" s="75" t="s">
        <v>44</v>
      </c>
      <c r="B17" s="152" t="e">
        <f>IF(INPUT!$C$22&gt;VLOOKUP(INPUT!$C$11,'PRICE LIST 9-1-20'!$D:$I,6,0),"Reduce Discount",('PAYMENT TERM SUMMARY _Mem'!B12-'PAYMENT TERM SUMMARY _Mem'!B13-'PAYMENT TERM SUMMARY _Mem'!B15)*'PAYMENT TERM SUMMARY _Mem'!B16)</f>
        <v>#REF!</v>
      </c>
      <c r="C17" s="152" t="e">
        <f>IF(INPUT!$C$22&gt;VLOOKUP(INPUT!$C$11,'PRICE LIST 9-1-20'!$D:$I,6,0),"Reduce Discount",('PAYMENT TERM SUMMARY _Mem'!C12-'PAYMENT TERM SUMMARY _Mem'!C13-'PAYMENT TERM SUMMARY _Mem'!C15)*'PAYMENT TERM SUMMARY _Mem'!C16)</f>
        <v>#REF!</v>
      </c>
      <c r="D17" s="152" t="e">
        <f>IF(INPUT!$C$22&gt;VLOOKUP(INPUT!$C$11,'PRICE LIST 9-1-20'!$D:$I,6,0),"Reduce Discount",('PAYMENT TERM SUMMARY _Mem'!D12-'PAYMENT TERM SUMMARY _Mem'!D13-'PAYMENT TERM SUMMARY _Mem'!D15)*'PAYMENT TERM SUMMARY _Mem'!D16)</f>
        <v>#REF!</v>
      </c>
      <c r="E17" s="152" t="e">
        <f>IF(INPUT!$C$22&gt;VLOOKUP(INPUT!$C$11,'PRICE LIST 9-1-20'!$D:$I,6,0),"Reduce Discount",('PAYMENT TERM SUMMARY _Mem'!E12-'PAYMENT TERM SUMMARY _Mem'!E13-'PAYMENT TERM SUMMARY _Mem'!E15)*'PAYMENT TERM SUMMARY _Mem'!E16)</f>
        <v>#REF!</v>
      </c>
      <c r="I17" s="61"/>
    </row>
    <row r="18" spans="1:9" ht="16" x14ac:dyDescent="0.2">
      <c r="A18" s="94" t="s">
        <v>56</v>
      </c>
      <c r="B18" s="95" t="e">
        <f>INPUT!#REF!</f>
        <v>#REF!</v>
      </c>
      <c r="C18" s="96" t="e">
        <f>+B18</f>
        <v>#REF!</v>
      </c>
      <c r="D18" s="109" t="e">
        <f>+B18</f>
        <v>#REF!</v>
      </c>
      <c r="E18" s="95" t="e">
        <f>+B18</f>
        <v>#REF!</v>
      </c>
      <c r="I18" s="61"/>
    </row>
    <row r="19" spans="1:9" ht="16" x14ac:dyDescent="0.2">
      <c r="A19" s="75" t="s">
        <v>44</v>
      </c>
      <c r="B19" s="76" t="e">
        <f>IF(B18&gt;2%,"maximum of 2% discount",((B12-B13-B15-B17)*B18))</f>
        <v>#REF!</v>
      </c>
      <c r="C19" s="76" t="e">
        <f>IF(C18&gt;2%,"maximum of 2% discount",((C12-C13-C15-C17)*C18))</f>
        <v>#REF!</v>
      </c>
      <c r="D19" s="76" t="e">
        <f>IF(D18&gt;2%,"maximum of 2% discount",((D12-D13-D15-D17)*D18))</f>
        <v>#REF!</v>
      </c>
      <c r="E19" s="76" t="e">
        <f>IF(E18&gt;2%,"maximum of 2% discount",((E12-E13-E15-E17)*E18))</f>
        <v>#REF!</v>
      </c>
      <c r="I19" s="61"/>
    </row>
    <row r="20" spans="1:9" s="97" customFormat="1" ht="16" x14ac:dyDescent="0.2">
      <c r="A20" s="94" t="s">
        <v>45</v>
      </c>
      <c r="B20" s="95">
        <v>0.2</v>
      </c>
      <c r="C20" s="96">
        <v>0.02</v>
      </c>
      <c r="D20" s="109">
        <v>0</v>
      </c>
      <c r="E20" s="95">
        <v>0</v>
      </c>
      <c r="I20" s="98"/>
    </row>
    <row r="21" spans="1:9" ht="16" x14ac:dyDescent="0.2">
      <c r="A21" s="75" t="s">
        <v>44</v>
      </c>
      <c r="B21" s="152" t="e">
        <f>IF(B20&gt;20%,"maximum of 20%",((B12-B13-B15-B17-B19)*B20))</f>
        <v>#REF!</v>
      </c>
      <c r="C21" s="152" t="e">
        <f>IF(C20&gt;2%,"maximum of 2%",((C12-C13-C15-C17-C19)*C20))</f>
        <v>#REF!</v>
      </c>
      <c r="D21" s="166" t="e">
        <f>((D12-D13-D15-D17-D19)*D20)</f>
        <v>#REF!</v>
      </c>
      <c r="E21" s="166" t="e">
        <f>((E12-E13-E15-E17-E19)*E20)</f>
        <v>#REF!</v>
      </c>
      <c r="I21" s="61"/>
    </row>
    <row r="22" spans="1:9" ht="16" x14ac:dyDescent="0.2">
      <c r="A22" s="107" t="s">
        <v>80</v>
      </c>
      <c r="B22" s="153" t="e">
        <f>(B12-B13-B15-B17-B19-B21)</f>
        <v>#REF!</v>
      </c>
      <c r="C22" s="153" t="e">
        <f>(C12-C13-C15-C17-C19-C21)</f>
        <v>#REF!</v>
      </c>
      <c r="D22" s="153" t="e">
        <f>(D12-D13-D15-D17-D19-D21)</f>
        <v>#REF!</v>
      </c>
      <c r="E22" s="153" t="e">
        <f>(E12-E13-E15-E17-E19-E21)</f>
        <v>#REF!</v>
      </c>
      <c r="I22" s="61"/>
    </row>
    <row r="23" spans="1:9" ht="3.75" customHeight="1" thickBot="1" x14ac:dyDescent="0.25">
      <c r="A23" s="77"/>
      <c r="B23" s="108"/>
      <c r="C23" s="79"/>
      <c r="D23" s="110"/>
      <c r="E23" s="111"/>
    </row>
    <row r="24" spans="1:9" ht="17" thickBot="1" x14ac:dyDescent="0.25">
      <c r="A24" s="80" t="s">
        <v>46</v>
      </c>
      <c r="B24" s="154">
        <v>50000</v>
      </c>
      <c r="C24" s="154">
        <v>50000</v>
      </c>
      <c r="D24" s="154">
        <v>50000</v>
      </c>
      <c r="E24" s="155">
        <f>D24</f>
        <v>50000</v>
      </c>
    </row>
    <row r="25" spans="1:9" ht="2.25" customHeight="1" thickBot="1" x14ac:dyDescent="0.25">
      <c r="A25" s="77"/>
      <c r="B25" s="156"/>
      <c r="C25" s="157"/>
      <c r="D25" s="157"/>
      <c r="E25" s="158"/>
    </row>
    <row r="26" spans="1:9" ht="16" x14ac:dyDescent="0.2">
      <c r="A26" s="74" t="s">
        <v>47</v>
      </c>
      <c r="B26" s="81">
        <v>0.8</v>
      </c>
      <c r="C26" s="81">
        <v>0.1</v>
      </c>
      <c r="D26" s="81">
        <v>0.1</v>
      </c>
      <c r="E26" s="82">
        <v>0.4</v>
      </c>
      <c r="I26" s="62"/>
    </row>
    <row r="27" spans="1:9" ht="16" x14ac:dyDescent="0.2">
      <c r="A27" s="83" t="s">
        <v>48</v>
      </c>
      <c r="B27" s="159" t="e">
        <f>+(B22*B26)-B24</f>
        <v>#REF!</v>
      </c>
      <c r="C27" s="159" t="e">
        <f>+(C22*C26)-C24</f>
        <v>#REF!</v>
      </c>
      <c r="D27" s="159" t="e">
        <f>+((D22*D26)-D24)/D28</f>
        <v>#REF!</v>
      </c>
      <c r="E27" s="160" t="e">
        <f>+((E22*E26)-E24)/E28</f>
        <v>#REF!</v>
      </c>
    </row>
    <row r="28" spans="1:9" ht="17" thickBot="1" x14ac:dyDescent="0.25">
      <c r="A28" s="85" t="s">
        <v>49</v>
      </c>
      <c r="B28" s="86">
        <v>1</v>
      </c>
      <c r="C28" s="86">
        <v>1</v>
      </c>
      <c r="D28" s="86">
        <v>12</v>
      </c>
      <c r="E28" s="87">
        <v>60</v>
      </c>
    </row>
    <row r="29" spans="1:9" ht="16" x14ac:dyDescent="0.2">
      <c r="A29" s="74" t="s">
        <v>50</v>
      </c>
      <c r="B29" s="88"/>
      <c r="C29" s="81">
        <v>0.4</v>
      </c>
      <c r="D29" s="81">
        <v>0.3</v>
      </c>
      <c r="E29" s="82"/>
    </row>
    <row r="30" spans="1:9" ht="16" x14ac:dyDescent="0.2">
      <c r="A30" s="83" t="s">
        <v>51</v>
      </c>
      <c r="B30" s="89"/>
      <c r="C30" s="159" t="e">
        <f>+(C22*C29)/C31</f>
        <v>#REF!</v>
      </c>
      <c r="D30" s="159" t="e">
        <f>+(D22*D29)/D31</f>
        <v>#REF!</v>
      </c>
      <c r="E30" s="84"/>
    </row>
    <row r="31" spans="1:9" ht="17" thickBot="1" x14ac:dyDescent="0.25">
      <c r="A31" s="85" t="s">
        <v>49</v>
      </c>
      <c r="B31" s="90"/>
      <c r="C31" s="86">
        <v>60</v>
      </c>
      <c r="D31" s="86">
        <v>48</v>
      </c>
      <c r="E31" s="87"/>
    </row>
    <row r="32" spans="1:9" ht="16" x14ac:dyDescent="0.2">
      <c r="A32" s="74" t="s">
        <v>52</v>
      </c>
      <c r="B32" s="81">
        <v>0.2</v>
      </c>
      <c r="C32" s="81">
        <v>0.5</v>
      </c>
      <c r="D32" s="81">
        <v>0.6</v>
      </c>
      <c r="E32" s="82">
        <v>0.6</v>
      </c>
    </row>
    <row r="33" spans="1:5" ht="16" x14ac:dyDescent="0.2">
      <c r="A33" s="83" t="s">
        <v>53</v>
      </c>
      <c r="B33" s="159" t="e">
        <f>+(B32*B22)/B34</f>
        <v>#REF!</v>
      </c>
      <c r="C33" s="159" t="e">
        <f>+(C32*C22)/C34</f>
        <v>#REF!</v>
      </c>
      <c r="D33" s="159" t="e">
        <f>+(D32*D22)/D34</f>
        <v>#REF!</v>
      </c>
      <c r="E33" s="160" t="e">
        <f>+(E32*E22)/E34</f>
        <v>#REF!</v>
      </c>
    </row>
    <row r="34" spans="1:5" ht="17" thickBot="1" x14ac:dyDescent="0.25">
      <c r="A34" s="85" t="s">
        <v>54</v>
      </c>
      <c r="B34" s="86">
        <v>1</v>
      </c>
      <c r="C34" s="86">
        <v>1</v>
      </c>
      <c r="D34" s="86">
        <v>1</v>
      </c>
      <c r="E34" s="87">
        <v>1</v>
      </c>
    </row>
    <row r="35" spans="1:5" x14ac:dyDescent="0.2">
      <c r="A35" s="47" t="s">
        <v>64</v>
      </c>
      <c r="B35" s="63"/>
    </row>
  </sheetData>
  <sheetProtection sheet="1" objects="1" scenarios="1"/>
  <hyperlinks>
    <hyperlink ref="G2" location="INPUT!A1" display="back to input page" xr:uid="{00000000-0004-0000-0B00-000000000000}"/>
  </hyperlinks>
  <pageMargins left="0.7" right="0.7" top="0.75" bottom="0.75" header="0.3" footer="0.3"/>
  <pageSetup scale="87" orientation="landscape"/>
  <ignoredErrors>
    <ignoredError sqref="C17:E17 C15:E15 C21"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00B050"/>
    <pageSetUpPr fitToPage="1"/>
  </sheetPr>
  <dimension ref="B1:O120"/>
  <sheetViews>
    <sheetView topLeftCell="A79" zoomScale="110" zoomScaleNormal="110" zoomScalePageLayoutView="110" workbookViewId="0">
      <selection activeCell="H22" sqref="H22"/>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18.33203125" style="212" customWidth="1"/>
    <col min="5" max="5" width="18.5" style="212" customWidth="1"/>
    <col min="6" max="7" width="17.5" style="212" hidden="1" customWidth="1"/>
    <col min="8" max="8" width="17.5" style="212" customWidth="1"/>
    <col min="9" max="9" width="20.83203125" style="212" customWidth="1"/>
    <col min="10" max="10" width="9.33203125" style="212" bestFit="1" customWidth="1"/>
    <col min="11" max="11" width="8.83203125" style="212"/>
    <col min="12" max="12" width="26.1640625" style="212" hidden="1" customWidth="1"/>
    <col min="13" max="13" width="15.83203125" style="212" hidden="1" customWidth="1"/>
    <col min="14" max="14" width="0" style="212" hidden="1" customWidth="1"/>
    <col min="15"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5" x14ac:dyDescent="0.2">
      <c r="L1" s="511"/>
    </row>
    <row r="2" spans="2:15" x14ac:dyDescent="0.2">
      <c r="B2" s="425" t="s">
        <v>81</v>
      </c>
      <c r="F2" s="426"/>
      <c r="G2" s="426"/>
      <c r="H2" s="426"/>
      <c r="I2" s="512" t="s">
        <v>82</v>
      </c>
      <c r="L2" s="511"/>
    </row>
    <row r="3" spans="2:15" x14ac:dyDescent="0.2">
      <c r="B3" s="425" t="s">
        <v>171</v>
      </c>
      <c r="F3" s="427"/>
      <c r="G3" s="427"/>
      <c r="H3" s="427"/>
      <c r="I3" s="512"/>
      <c r="L3" s="511"/>
    </row>
    <row r="4" spans="2:15" x14ac:dyDescent="0.2">
      <c r="B4" s="425" t="s">
        <v>83</v>
      </c>
      <c r="O4" s="464" t="s">
        <v>84</v>
      </c>
    </row>
    <row r="5" spans="2:15" ht="16" thickBot="1" x14ac:dyDescent="0.25"/>
    <row r="6" spans="2:15" ht="33" customHeight="1" thickBot="1" x14ac:dyDescent="0.25">
      <c r="B6" s="429" t="s">
        <v>71</v>
      </c>
      <c r="C6" s="513">
        <f>INPUT!C12</f>
        <v>0</v>
      </c>
      <c r="D6" s="514"/>
    </row>
    <row r="7" spans="2:15" x14ac:dyDescent="0.2">
      <c r="B7" s="430" t="s">
        <v>85</v>
      </c>
      <c r="C7" s="515" t="str">
        <f>INPUT!C11</f>
        <v>Block 5 Lot 11</v>
      </c>
      <c r="D7" s="516"/>
      <c r="E7" s="425"/>
      <c r="L7" s="431"/>
      <c r="M7" s="431"/>
      <c r="N7" s="431"/>
    </row>
    <row r="8" spans="2:15" x14ac:dyDescent="0.2">
      <c r="B8" s="432" t="s">
        <v>6</v>
      </c>
      <c r="C8" s="517">
        <f>INPUT!C17</f>
        <v>520</v>
      </c>
      <c r="D8" s="518"/>
      <c r="L8" s="431"/>
      <c r="M8" s="431"/>
      <c r="N8" s="431"/>
    </row>
    <row r="9" spans="2:15" x14ac:dyDescent="0.2">
      <c r="B9" s="432" t="s">
        <v>77</v>
      </c>
      <c r="C9" s="519">
        <f>INPUT!C18</f>
        <v>9574000</v>
      </c>
      <c r="D9" s="520"/>
      <c r="L9" s="431"/>
      <c r="M9" s="431"/>
      <c r="N9" s="431"/>
    </row>
    <row r="10" spans="2:15" x14ac:dyDescent="0.2">
      <c r="B10" s="432" t="s">
        <v>86</v>
      </c>
      <c r="C10" s="521" t="s">
        <v>106</v>
      </c>
      <c r="D10" s="522"/>
      <c r="L10" s="431"/>
      <c r="M10" s="431"/>
      <c r="N10" s="431"/>
    </row>
    <row r="11" spans="2:15" x14ac:dyDescent="0.2">
      <c r="B11" s="432"/>
      <c r="C11" s="521" t="s">
        <v>107</v>
      </c>
      <c r="D11" s="522"/>
      <c r="L11" s="431"/>
      <c r="M11" s="431"/>
      <c r="N11" s="431"/>
    </row>
    <row r="12" spans="2:15" ht="16" thickBot="1" x14ac:dyDescent="0.25">
      <c r="B12" s="433"/>
      <c r="C12" s="523" t="s">
        <v>169</v>
      </c>
      <c r="D12" s="524"/>
      <c r="L12" s="434"/>
      <c r="M12" s="434"/>
      <c r="N12" s="434"/>
    </row>
    <row r="13" spans="2:15" x14ac:dyDescent="0.2">
      <c r="E13" s="434"/>
      <c r="F13" s="434"/>
      <c r="G13" s="434"/>
      <c r="H13" s="434"/>
      <c r="I13" s="434"/>
      <c r="J13" s="434"/>
      <c r="K13" s="434"/>
      <c r="L13" s="435" t="s">
        <v>87</v>
      </c>
      <c r="M13" s="436">
        <v>0.02</v>
      </c>
      <c r="N13" s="434"/>
    </row>
    <row r="14" spans="2:15" x14ac:dyDescent="0.2">
      <c r="B14" s="437" t="s">
        <v>88</v>
      </c>
      <c r="C14" s="437"/>
      <c r="E14" s="434"/>
      <c r="F14" s="434"/>
      <c r="G14" s="434"/>
      <c r="H14" s="434"/>
      <c r="I14" s="434"/>
      <c r="J14" s="434"/>
      <c r="K14" s="434"/>
      <c r="L14" s="434"/>
      <c r="M14" s="436">
        <v>0</v>
      </c>
      <c r="N14" s="434"/>
    </row>
    <row r="15" spans="2:15" x14ac:dyDescent="0.2">
      <c r="B15" s="438" t="s">
        <v>194</v>
      </c>
      <c r="C15" s="198"/>
      <c r="D15" s="199">
        <f>C9</f>
        <v>9574000</v>
      </c>
      <c r="E15" s="459"/>
      <c r="F15" s="440">
        <f t="shared" ref="F15" si="0">D15-E15</f>
        <v>9574000</v>
      </c>
      <c r="G15" s="440"/>
      <c r="H15" s="440"/>
      <c r="I15" s="434"/>
      <c r="J15" s="434"/>
      <c r="K15" s="434"/>
      <c r="L15" s="434"/>
      <c r="M15" s="434"/>
      <c r="N15" s="434"/>
    </row>
    <row r="16" spans="2:15" x14ac:dyDescent="0.2">
      <c r="B16" s="480" t="s">
        <v>204</v>
      </c>
      <c r="C16" s="198"/>
      <c r="D16" s="209">
        <v>650000</v>
      </c>
      <c r="E16" s="459"/>
      <c r="F16" s="440"/>
      <c r="G16" s="440"/>
      <c r="H16" s="440"/>
      <c r="I16" s="434"/>
      <c r="J16" s="434"/>
      <c r="K16" s="434"/>
      <c r="L16" s="434"/>
      <c r="M16" s="434"/>
      <c r="N16" s="434"/>
    </row>
    <row r="17" spans="2:14" x14ac:dyDescent="0.2">
      <c r="B17" s="441" t="s">
        <v>109</v>
      </c>
      <c r="C17" s="201">
        <f>INPUT!C22</f>
        <v>0.1</v>
      </c>
      <c r="D17" s="200">
        <f>IF(C17&gt;10%,"maximum of 10%",((D15-D16)*C17))</f>
        <v>892400</v>
      </c>
      <c r="E17" s="459"/>
      <c r="F17" s="440"/>
      <c r="G17" s="440"/>
      <c r="H17" s="440"/>
      <c r="I17" s="434"/>
      <c r="J17" s="434"/>
      <c r="K17" s="434"/>
      <c r="L17" s="434"/>
      <c r="M17" s="434"/>
      <c r="N17" s="434"/>
    </row>
    <row r="18" spans="2:14" x14ac:dyDescent="0.2">
      <c r="B18" s="441" t="s">
        <v>89</v>
      </c>
      <c r="C18" s="206">
        <v>0.2</v>
      </c>
      <c r="D18" s="200">
        <f>IF(C18&gt;20%,"maximum of 20%",(D15-D16-D17)*C18)</f>
        <v>1606320</v>
      </c>
      <c r="E18" s="459"/>
      <c r="F18" s="440"/>
      <c r="G18" s="440"/>
      <c r="H18" s="440"/>
      <c r="I18" s="434"/>
      <c r="J18" s="434"/>
      <c r="K18" s="434"/>
      <c r="L18" s="434"/>
      <c r="M18" s="434"/>
      <c r="N18" s="434"/>
    </row>
    <row r="19" spans="2:14" x14ac:dyDescent="0.2">
      <c r="B19" s="441" t="s">
        <v>277</v>
      </c>
      <c r="C19" s="206">
        <v>0.05</v>
      </c>
      <c r="D19" s="200">
        <f>IF(C19&gt;5%,"maximum of 5%",((D15-D16-D17-D18)*C19))</f>
        <v>321264</v>
      </c>
      <c r="E19" s="459"/>
      <c r="F19" s="440"/>
      <c r="G19" s="440"/>
      <c r="H19" s="440"/>
      <c r="I19" s="434"/>
      <c r="J19" s="434"/>
      <c r="K19" s="434"/>
      <c r="L19" s="434"/>
      <c r="M19" s="434"/>
      <c r="N19" s="434"/>
    </row>
    <row r="20" spans="2:14" x14ac:dyDescent="0.2">
      <c r="B20" s="441" t="s">
        <v>87</v>
      </c>
      <c r="C20" s="201" t="str">
        <f>IF(INPUT!C13="Repeat Buyer","2%",IF(INPUT!C13="New Buyer","0%"))</f>
        <v>0%</v>
      </c>
      <c r="D20" s="210">
        <f>IF(C20&gt;2%,((D15-SUM(D16:D19)))*C20, "maximum of 2%")</f>
        <v>0</v>
      </c>
      <c r="E20" s="459"/>
      <c r="F20" s="440"/>
      <c r="G20" s="440"/>
      <c r="H20" s="440"/>
      <c r="I20" s="434"/>
      <c r="J20" s="434"/>
      <c r="K20" s="434"/>
      <c r="L20" s="434"/>
      <c r="M20" s="434"/>
      <c r="N20" s="434"/>
    </row>
    <row r="21" spans="2:14" x14ac:dyDescent="0.2">
      <c r="B21" s="470"/>
      <c r="C21" s="201"/>
      <c r="D21" s="202">
        <f>D15-SUM(D16:D20)</f>
        <v>6104016</v>
      </c>
      <c r="E21" s="459"/>
      <c r="F21" s="440"/>
      <c r="G21" s="440"/>
      <c r="H21" s="440"/>
      <c r="I21" s="434"/>
      <c r="J21" s="434"/>
      <c r="K21" s="434"/>
      <c r="L21" s="434"/>
      <c r="M21" s="434"/>
      <c r="N21" s="434"/>
    </row>
    <row r="22" spans="2:14" x14ac:dyDescent="0.2">
      <c r="B22" s="441" t="s">
        <v>192</v>
      </c>
      <c r="C22" s="201">
        <v>0.05</v>
      </c>
      <c r="D22" s="210">
        <f>+(D21/1.12)*C22</f>
        <v>272500.71428571426</v>
      </c>
      <c r="E22" s="459"/>
      <c r="F22" s="440"/>
      <c r="G22" s="440"/>
      <c r="H22" s="440"/>
      <c r="I22" s="434"/>
      <c r="J22" s="434"/>
      <c r="K22" s="434"/>
      <c r="L22" s="434"/>
      <c r="M22" s="434"/>
      <c r="N22" s="434"/>
    </row>
    <row r="23" spans="2:14" ht="16" thickBot="1" x14ac:dyDescent="0.25">
      <c r="B23" s="442" t="s">
        <v>90</v>
      </c>
      <c r="C23" s="201"/>
      <c r="D23" s="211">
        <f>SUM(D21:D22)</f>
        <v>6376516.7142857146</v>
      </c>
      <c r="E23" s="459"/>
      <c r="F23" s="440"/>
      <c r="G23" s="440"/>
      <c r="H23" s="440"/>
      <c r="I23" s="434"/>
      <c r="J23" s="434"/>
      <c r="K23" s="434"/>
      <c r="L23" s="434"/>
      <c r="M23" s="434"/>
      <c r="N23" s="434"/>
    </row>
    <row r="24" spans="2:14" ht="17" thickTop="1" thickBot="1" x14ac:dyDescent="0.25">
      <c r="D24" s="481"/>
    </row>
    <row r="25" spans="2:14" ht="34.5" customHeight="1" thickBot="1" x14ac:dyDescent="0.25">
      <c r="B25" s="525" t="s">
        <v>91</v>
      </c>
      <c r="C25" s="526"/>
      <c r="D25" s="444" t="s">
        <v>92</v>
      </c>
      <c r="E25" s="444" t="s">
        <v>93</v>
      </c>
      <c r="F25" s="445" t="s">
        <v>200</v>
      </c>
      <c r="G25" s="446" t="s">
        <v>184</v>
      </c>
      <c r="H25" s="447" t="s">
        <v>202</v>
      </c>
      <c r="I25" s="448" t="s">
        <v>94</v>
      </c>
      <c r="J25" s="434"/>
      <c r="K25" s="434"/>
      <c r="L25" s="434"/>
      <c r="M25" s="434"/>
      <c r="N25" s="434"/>
    </row>
    <row r="26" spans="2:14" x14ac:dyDescent="0.2">
      <c r="B26" s="527">
        <v>0</v>
      </c>
      <c r="C26" s="528"/>
      <c r="D26" s="472">
        <f>INPUT!C16</f>
        <v>44200</v>
      </c>
      <c r="E26" s="473" t="s">
        <v>46</v>
      </c>
      <c r="F26" s="186">
        <v>50000</v>
      </c>
      <c r="G26" s="187">
        <v>0</v>
      </c>
      <c r="H26" s="187">
        <f>SUM(F26:G26)</f>
        <v>50000</v>
      </c>
      <c r="I26" s="188">
        <f>D23-H26</f>
        <v>6326516.7142857146</v>
      </c>
      <c r="J26" s="450" t="s">
        <v>95</v>
      </c>
      <c r="K26" s="434"/>
      <c r="L26" s="439">
        <v>56000</v>
      </c>
      <c r="M26" s="440">
        <f>L26-F26</f>
        <v>6000</v>
      </c>
      <c r="N26" s="434"/>
    </row>
    <row r="27" spans="2:14" x14ac:dyDescent="0.2">
      <c r="B27" s="509">
        <v>1</v>
      </c>
      <c r="C27" s="510"/>
      <c r="D27" s="424">
        <f>EDATE(D26,1)</f>
        <v>44231</v>
      </c>
      <c r="E27" s="453" t="s">
        <v>39</v>
      </c>
      <c r="F27" s="189">
        <f>(((D15-SUM(D16:D20))*80%)-F26)/1</f>
        <v>4833212.8</v>
      </c>
      <c r="G27" s="190">
        <f>(D22*80%)/1</f>
        <v>218000.57142857142</v>
      </c>
      <c r="H27" s="190">
        <f>SUM(F27:G27)</f>
        <v>5051213.3714285716</v>
      </c>
      <c r="I27" s="191">
        <f>I26-H27</f>
        <v>1275303.3428571429</v>
      </c>
      <c r="J27" s="450"/>
      <c r="K27" s="434"/>
      <c r="L27" s="439"/>
      <c r="M27" s="440"/>
      <c r="N27" s="434"/>
    </row>
    <row r="28" spans="2:14" x14ac:dyDescent="0.2">
      <c r="B28" s="509">
        <v>2</v>
      </c>
      <c r="C28" s="510"/>
      <c r="D28" s="474">
        <f>EDATE(D27,1)</f>
        <v>44259</v>
      </c>
      <c r="E28" s="452" t="s">
        <v>170</v>
      </c>
      <c r="F28" s="192">
        <v>0</v>
      </c>
      <c r="G28" s="193">
        <v>0</v>
      </c>
      <c r="H28" s="190">
        <f t="shared" ref="H28:H86" si="1">SUM(F28:G28)</f>
        <v>0</v>
      </c>
      <c r="I28" s="191">
        <f>I27-H28</f>
        <v>1275303.3428571429</v>
      </c>
      <c r="J28" s="450"/>
      <c r="K28" s="434"/>
      <c r="L28" s="439"/>
      <c r="M28" s="440"/>
      <c r="N28" s="434"/>
    </row>
    <row r="29" spans="2:14" x14ac:dyDescent="0.2">
      <c r="B29" s="509">
        <v>3</v>
      </c>
      <c r="C29" s="510"/>
      <c r="D29" s="474">
        <f t="shared" ref="D29:D87" si="2">EDATE(D28,1)</f>
        <v>44290</v>
      </c>
      <c r="E29" s="452" t="s">
        <v>110</v>
      </c>
      <c r="F29" s="192">
        <v>0</v>
      </c>
      <c r="G29" s="193">
        <v>0</v>
      </c>
      <c r="H29" s="190">
        <f t="shared" si="1"/>
        <v>0</v>
      </c>
      <c r="I29" s="191">
        <f t="shared" ref="I29:I87" si="3">I28-H29</f>
        <v>1275303.3428571429</v>
      </c>
      <c r="J29" s="450"/>
      <c r="K29" s="434"/>
      <c r="L29" s="439"/>
      <c r="M29" s="440"/>
      <c r="N29" s="434"/>
    </row>
    <row r="30" spans="2:14" x14ac:dyDescent="0.2">
      <c r="B30" s="509">
        <v>4</v>
      </c>
      <c r="C30" s="510"/>
      <c r="D30" s="474">
        <f t="shared" si="2"/>
        <v>44320</v>
      </c>
      <c r="E30" s="452" t="s">
        <v>111</v>
      </c>
      <c r="F30" s="192">
        <v>0</v>
      </c>
      <c r="G30" s="193">
        <v>0</v>
      </c>
      <c r="H30" s="190">
        <f t="shared" si="1"/>
        <v>0</v>
      </c>
      <c r="I30" s="191">
        <f t="shared" si="3"/>
        <v>1275303.3428571429</v>
      </c>
      <c r="J30" s="450"/>
      <c r="K30" s="434"/>
      <c r="L30" s="439"/>
      <c r="M30" s="440"/>
      <c r="N30" s="434"/>
    </row>
    <row r="31" spans="2:14" x14ac:dyDescent="0.2">
      <c r="B31" s="509">
        <v>5</v>
      </c>
      <c r="C31" s="510"/>
      <c r="D31" s="474">
        <f t="shared" si="2"/>
        <v>44351</v>
      </c>
      <c r="E31" s="452" t="s">
        <v>112</v>
      </c>
      <c r="F31" s="192">
        <v>0</v>
      </c>
      <c r="G31" s="193">
        <v>0</v>
      </c>
      <c r="H31" s="190">
        <f t="shared" si="1"/>
        <v>0</v>
      </c>
      <c r="I31" s="191">
        <f t="shared" si="3"/>
        <v>1275303.3428571429</v>
      </c>
      <c r="J31" s="450"/>
      <c r="K31" s="434"/>
      <c r="L31" s="439"/>
      <c r="M31" s="440"/>
      <c r="N31" s="434"/>
    </row>
    <row r="32" spans="2:14" x14ac:dyDescent="0.2">
      <c r="B32" s="509">
        <v>6</v>
      </c>
      <c r="C32" s="510"/>
      <c r="D32" s="474">
        <f t="shared" si="2"/>
        <v>44381</v>
      </c>
      <c r="E32" s="452" t="s">
        <v>113</v>
      </c>
      <c r="F32" s="192">
        <v>0</v>
      </c>
      <c r="G32" s="193">
        <v>0</v>
      </c>
      <c r="H32" s="190">
        <f t="shared" si="1"/>
        <v>0</v>
      </c>
      <c r="I32" s="191">
        <f t="shared" si="3"/>
        <v>1275303.3428571429</v>
      </c>
      <c r="J32" s="450"/>
      <c r="K32" s="434"/>
      <c r="L32" s="439"/>
      <c r="M32" s="440"/>
      <c r="N32" s="434"/>
    </row>
    <row r="33" spans="2:14" x14ac:dyDescent="0.2">
      <c r="B33" s="509">
        <v>7</v>
      </c>
      <c r="C33" s="510"/>
      <c r="D33" s="474">
        <f t="shared" si="2"/>
        <v>44412</v>
      </c>
      <c r="E33" s="452" t="s">
        <v>114</v>
      </c>
      <c r="F33" s="192">
        <v>0</v>
      </c>
      <c r="G33" s="193">
        <v>0</v>
      </c>
      <c r="H33" s="190">
        <f t="shared" si="1"/>
        <v>0</v>
      </c>
      <c r="I33" s="191">
        <f t="shared" si="3"/>
        <v>1275303.3428571429</v>
      </c>
      <c r="J33" s="450"/>
      <c r="K33" s="434"/>
      <c r="L33" s="439"/>
      <c r="M33" s="440"/>
      <c r="N33" s="434"/>
    </row>
    <row r="34" spans="2:14" x14ac:dyDescent="0.2">
      <c r="B34" s="509">
        <v>8</v>
      </c>
      <c r="C34" s="510"/>
      <c r="D34" s="474">
        <f t="shared" si="2"/>
        <v>44443</v>
      </c>
      <c r="E34" s="452" t="s">
        <v>115</v>
      </c>
      <c r="F34" s="192">
        <v>0</v>
      </c>
      <c r="G34" s="193">
        <v>0</v>
      </c>
      <c r="H34" s="190">
        <f t="shared" si="1"/>
        <v>0</v>
      </c>
      <c r="I34" s="191">
        <f t="shared" si="3"/>
        <v>1275303.3428571429</v>
      </c>
      <c r="J34" s="450"/>
      <c r="K34" s="434"/>
      <c r="L34" s="439"/>
      <c r="M34" s="440"/>
      <c r="N34" s="434"/>
    </row>
    <row r="35" spans="2:14" x14ac:dyDescent="0.2">
      <c r="B35" s="509">
        <v>9</v>
      </c>
      <c r="C35" s="510"/>
      <c r="D35" s="474">
        <f t="shared" si="2"/>
        <v>44473</v>
      </c>
      <c r="E35" s="452" t="s">
        <v>116</v>
      </c>
      <c r="F35" s="192">
        <v>0</v>
      </c>
      <c r="G35" s="193">
        <v>0</v>
      </c>
      <c r="H35" s="190">
        <f t="shared" si="1"/>
        <v>0</v>
      </c>
      <c r="I35" s="191">
        <f t="shared" si="3"/>
        <v>1275303.3428571429</v>
      </c>
      <c r="J35" s="450"/>
      <c r="K35" s="434"/>
      <c r="L35" s="439"/>
      <c r="M35" s="440"/>
      <c r="N35" s="434"/>
    </row>
    <row r="36" spans="2:14" x14ac:dyDescent="0.2">
      <c r="B36" s="509">
        <v>10</v>
      </c>
      <c r="C36" s="510"/>
      <c r="D36" s="474">
        <f t="shared" si="2"/>
        <v>44504</v>
      </c>
      <c r="E36" s="452" t="s">
        <v>117</v>
      </c>
      <c r="F36" s="192">
        <v>0</v>
      </c>
      <c r="G36" s="193">
        <v>0</v>
      </c>
      <c r="H36" s="190">
        <f t="shared" si="1"/>
        <v>0</v>
      </c>
      <c r="I36" s="191">
        <f t="shared" si="3"/>
        <v>1275303.3428571429</v>
      </c>
      <c r="J36" s="450"/>
      <c r="K36" s="434"/>
      <c r="L36" s="439"/>
      <c r="M36" s="440"/>
      <c r="N36" s="434"/>
    </row>
    <row r="37" spans="2:14" x14ac:dyDescent="0.2">
      <c r="B37" s="509">
        <v>11</v>
      </c>
      <c r="C37" s="510"/>
      <c r="D37" s="474">
        <f t="shared" si="2"/>
        <v>44534</v>
      </c>
      <c r="E37" s="452" t="s">
        <v>118</v>
      </c>
      <c r="F37" s="192">
        <v>0</v>
      </c>
      <c r="G37" s="193">
        <v>0</v>
      </c>
      <c r="H37" s="190">
        <f t="shared" si="1"/>
        <v>0</v>
      </c>
      <c r="I37" s="191">
        <f t="shared" si="3"/>
        <v>1275303.3428571429</v>
      </c>
      <c r="J37" s="450"/>
      <c r="K37" s="434"/>
      <c r="L37" s="439"/>
      <c r="M37" s="440"/>
      <c r="N37" s="434"/>
    </row>
    <row r="38" spans="2:14" x14ac:dyDescent="0.2">
      <c r="B38" s="509">
        <v>12</v>
      </c>
      <c r="C38" s="510"/>
      <c r="D38" s="474">
        <f t="shared" si="2"/>
        <v>44565</v>
      </c>
      <c r="E38" s="452" t="s">
        <v>119</v>
      </c>
      <c r="F38" s="192">
        <v>0</v>
      </c>
      <c r="G38" s="193">
        <v>0</v>
      </c>
      <c r="H38" s="190">
        <f t="shared" si="1"/>
        <v>0</v>
      </c>
      <c r="I38" s="191">
        <f t="shared" si="3"/>
        <v>1275303.3428571429</v>
      </c>
      <c r="J38" s="450"/>
      <c r="K38" s="434"/>
      <c r="L38" s="439"/>
      <c r="M38" s="440"/>
      <c r="N38" s="434"/>
    </row>
    <row r="39" spans="2:14" x14ac:dyDescent="0.2">
      <c r="B39" s="509">
        <v>13</v>
      </c>
      <c r="C39" s="510"/>
      <c r="D39" s="474">
        <f t="shared" si="2"/>
        <v>44596</v>
      </c>
      <c r="E39" s="452" t="s">
        <v>120</v>
      </c>
      <c r="F39" s="192">
        <v>0</v>
      </c>
      <c r="G39" s="193">
        <v>0</v>
      </c>
      <c r="H39" s="190">
        <f t="shared" si="1"/>
        <v>0</v>
      </c>
      <c r="I39" s="191">
        <f t="shared" si="3"/>
        <v>1275303.3428571429</v>
      </c>
      <c r="J39" s="450"/>
      <c r="K39" s="434"/>
      <c r="L39" s="439"/>
      <c r="M39" s="440"/>
      <c r="N39" s="434"/>
    </row>
    <row r="40" spans="2:14" x14ac:dyDescent="0.2">
      <c r="B40" s="509">
        <v>14</v>
      </c>
      <c r="C40" s="510"/>
      <c r="D40" s="474">
        <f t="shared" si="2"/>
        <v>44624</v>
      </c>
      <c r="E40" s="452" t="s">
        <v>121</v>
      </c>
      <c r="F40" s="192">
        <v>0</v>
      </c>
      <c r="G40" s="193">
        <v>0</v>
      </c>
      <c r="H40" s="190">
        <f t="shared" si="1"/>
        <v>0</v>
      </c>
      <c r="I40" s="191">
        <f t="shared" si="3"/>
        <v>1275303.3428571429</v>
      </c>
      <c r="J40" s="450"/>
      <c r="K40" s="434"/>
      <c r="L40" s="439"/>
      <c r="M40" s="440"/>
      <c r="N40" s="434"/>
    </row>
    <row r="41" spans="2:14" x14ac:dyDescent="0.2">
      <c r="B41" s="509">
        <v>15</v>
      </c>
      <c r="C41" s="510"/>
      <c r="D41" s="474">
        <f t="shared" si="2"/>
        <v>44655</v>
      </c>
      <c r="E41" s="452" t="s">
        <v>122</v>
      </c>
      <c r="F41" s="192">
        <v>0</v>
      </c>
      <c r="G41" s="193">
        <v>0</v>
      </c>
      <c r="H41" s="190">
        <f t="shared" si="1"/>
        <v>0</v>
      </c>
      <c r="I41" s="191">
        <f t="shared" si="3"/>
        <v>1275303.3428571429</v>
      </c>
      <c r="J41" s="450"/>
      <c r="K41" s="434"/>
      <c r="L41" s="439"/>
      <c r="M41" s="440"/>
      <c r="N41" s="434"/>
    </row>
    <row r="42" spans="2:14" x14ac:dyDescent="0.2">
      <c r="B42" s="509">
        <v>16</v>
      </c>
      <c r="C42" s="510"/>
      <c r="D42" s="474">
        <f t="shared" si="2"/>
        <v>44685</v>
      </c>
      <c r="E42" s="452" t="s">
        <v>123</v>
      </c>
      <c r="F42" s="192">
        <v>0</v>
      </c>
      <c r="G42" s="193">
        <v>0</v>
      </c>
      <c r="H42" s="190">
        <f t="shared" si="1"/>
        <v>0</v>
      </c>
      <c r="I42" s="191">
        <f t="shared" si="3"/>
        <v>1275303.3428571429</v>
      </c>
      <c r="J42" s="450"/>
      <c r="K42" s="434"/>
      <c r="L42" s="439"/>
      <c r="M42" s="440"/>
      <c r="N42" s="434"/>
    </row>
    <row r="43" spans="2:14" x14ac:dyDescent="0.2">
      <c r="B43" s="509">
        <v>17</v>
      </c>
      <c r="C43" s="510"/>
      <c r="D43" s="474">
        <f t="shared" si="2"/>
        <v>44716</v>
      </c>
      <c r="E43" s="452" t="s">
        <v>124</v>
      </c>
      <c r="F43" s="192">
        <v>0</v>
      </c>
      <c r="G43" s="193">
        <v>0</v>
      </c>
      <c r="H43" s="190">
        <f t="shared" si="1"/>
        <v>0</v>
      </c>
      <c r="I43" s="191">
        <f t="shared" si="3"/>
        <v>1275303.3428571429</v>
      </c>
      <c r="J43" s="450"/>
      <c r="K43" s="434"/>
      <c r="L43" s="439"/>
      <c r="M43" s="440"/>
      <c r="N43" s="434"/>
    </row>
    <row r="44" spans="2:14" x14ac:dyDescent="0.2">
      <c r="B44" s="509">
        <v>18</v>
      </c>
      <c r="C44" s="510"/>
      <c r="D44" s="474">
        <f t="shared" si="2"/>
        <v>44746</v>
      </c>
      <c r="E44" s="452" t="s">
        <v>125</v>
      </c>
      <c r="F44" s="192">
        <v>0</v>
      </c>
      <c r="G44" s="193">
        <v>0</v>
      </c>
      <c r="H44" s="190">
        <f t="shared" si="1"/>
        <v>0</v>
      </c>
      <c r="I44" s="191">
        <f t="shared" si="3"/>
        <v>1275303.3428571429</v>
      </c>
      <c r="J44" s="450"/>
      <c r="K44" s="434"/>
      <c r="L44" s="439"/>
      <c r="M44" s="440"/>
      <c r="N44" s="434"/>
    </row>
    <row r="45" spans="2:14" x14ac:dyDescent="0.2">
      <c r="B45" s="509">
        <v>19</v>
      </c>
      <c r="C45" s="510"/>
      <c r="D45" s="474">
        <f t="shared" si="2"/>
        <v>44777</v>
      </c>
      <c r="E45" s="452" t="s">
        <v>126</v>
      </c>
      <c r="F45" s="192">
        <v>0</v>
      </c>
      <c r="G45" s="193">
        <v>0</v>
      </c>
      <c r="H45" s="190">
        <f t="shared" si="1"/>
        <v>0</v>
      </c>
      <c r="I45" s="191">
        <f t="shared" si="3"/>
        <v>1275303.3428571429</v>
      </c>
      <c r="J45" s="450"/>
      <c r="K45" s="434"/>
      <c r="L45" s="439"/>
      <c r="M45" s="440"/>
      <c r="N45" s="434"/>
    </row>
    <row r="46" spans="2:14" x14ac:dyDescent="0.2">
      <c r="B46" s="509">
        <v>20</v>
      </c>
      <c r="C46" s="510"/>
      <c r="D46" s="474">
        <f t="shared" si="2"/>
        <v>44808</v>
      </c>
      <c r="E46" s="452" t="s">
        <v>127</v>
      </c>
      <c r="F46" s="192">
        <v>0</v>
      </c>
      <c r="G46" s="193">
        <v>0</v>
      </c>
      <c r="H46" s="190">
        <f t="shared" si="1"/>
        <v>0</v>
      </c>
      <c r="I46" s="191">
        <f t="shared" si="3"/>
        <v>1275303.3428571429</v>
      </c>
      <c r="J46" s="450"/>
      <c r="K46" s="434"/>
      <c r="L46" s="439"/>
      <c r="M46" s="440"/>
      <c r="N46" s="434"/>
    </row>
    <row r="47" spans="2:14" x14ac:dyDescent="0.2">
      <c r="B47" s="509">
        <v>21</v>
      </c>
      <c r="C47" s="510"/>
      <c r="D47" s="474">
        <f t="shared" si="2"/>
        <v>44838</v>
      </c>
      <c r="E47" s="452" t="s">
        <v>128</v>
      </c>
      <c r="F47" s="192">
        <v>0</v>
      </c>
      <c r="G47" s="193">
        <v>0</v>
      </c>
      <c r="H47" s="190">
        <f t="shared" si="1"/>
        <v>0</v>
      </c>
      <c r="I47" s="191">
        <f t="shared" si="3"/>
        <v>1275303.3428571429</v>
      </c>
      <c r="J47" s="450"/>
      <c r="K47" s="434"/>
      <c r="L47" s="439"/>
      <c r="M47" s="440"/>
      <c r="N47" s="434"/>
    </row>
    <row r="48" spans="2:14" x14ac:dyDescent="0.2">
      <c r="B48" s="509">
        <v>22</v>
      </c>
      <c r="C48" s="510"/>
      <c r="D48" s="474">
        <f t="shared" si="2"/>
        <v>44869</v>
      </c>
      <c r="E48" s="452" t="s">
        <v>129</v>
      </c>
      <c r="F48" s="192">
        <v>0</v>
      </c>
      <c r="G48" s="193">
        <v>0</v>
      </c>
      <c r="H48" s="190">
        <f t="shared" si="1"/>
        <v>0</v>
      </c>
      <c r="I48" s="191">
        <f t="shared" si="3"/>
        <v>1275303.3428571429</v>
      </c>
      <c r="J48" s="450"/>
      <c r="K48" s="434"/>
      <c r="L48" s="439"/>
      <c r="M48" s="440"/>
      <c r="N48" s="434"/>
    </row>
    <row r="49" spans="2:14" x14ac:dyDescent="0.2">
      <c r="B49" s="509">
        <v>23</v>
      </c>
      <c r="C49" s="510"/>
      <c r="D49" s="474">
        <f t="shared" si="2"/>
        <v>44899</v>
      </c>
      <c r="E49" s="452" t="s">
        <v>130</v>
      </c>
      <c r="F49" s="192">
        <v>0</v>
      </c>
      <c r="G49" s="193">
        <v>0</v>
      </c>
      <c r="H49" s="190">
        <f t="shared" si="1"/>
        <v>0</v>
      </c>
      <c r="I49" s="191">
        <f t="shared" si="3"/>
        <v>1275303.3428571429</v>
      </c>
      <c r="J49" s="450"/>
      <c r="K49" s="434"/>
      <c r="L49" s="439"/>
      <c r="M49" s="440"/>
      <c r="N49" s="434"/>
    </row>
    <row r="50" spans="2:14" x14ac:dyDescent="0.2">
      <c r="B50" s="509">
        <v>24</v>
      </c>
      <c r="C50" s="510"/>
      <c r="D50" s="474">
        <f t="shared" si="2"/>
        <v>44930</v>
      </c>
      <c r="E50" s="452" t="s">
        <v>131</v>
      </c>
      <c r="F50" s="192">
        <v>0</v>
      </c>
      <c r="G50" s="193">
        <v>0</v>
      </c>
      <c r="H50" s="190">
        <f t="shared" si="1"/>
        <v>0</v>
      </c>
      <c r="I50" s="191">
        <f t="shared" si="3"/>
        <v>1275303.3428571429</v>
      </c>
      <c r="J50" s="450"/>
      <c r="K50" s="434"/>
      <c r="L50" s="439"/>
      <c r="M50" s="440"/>
      <c r="N50" s="434"/>
    </row>
    <row r="51" spans="2:14" x14ac:dyDescent="0.2">
      <c r="B51" s="509">
        <v>25</v>
      </c>
      <c r="C51" s="510"/>
      <c r="D51" s="474">
        <f t="shared" si="2"/>
        <v>44961</v>
      </c>
      <c r="E51" s="452" t="s">
        <v>132</v>
      </c>
      <c r="F51" s="192">
        <v>0</v>
      </c>
      <c r="G51" s="193">
        <v>0</v>
      </c>
      <c r="H51" s="190">
        <f t="shared" si="1"/>
        <v>0</v>
      </c>
      <c r="I51" s="191">
        <f t="shared" si="3"/>
        <v>1275303.3428571429</v>
      </c>
      <c r="J51" s="450"/>
      <c r="K51" s="434"/>
      <c r="L51" s="439"/>
      <c r="M51" s="440"/>
      <c r="N51" s="434"/>
    </row>
    <row r="52" spans="2:14" x14ac:dyDescent="0.2">
      <c r="B52" s="509">
        <v>26</v>
      </c>
      <c r="C52" s="510"/>
      <c r="D52" s="474">
        <f t="shared" si="2"/>
        <v>44989</v>
      </c>
      <c r="E52" s="452" t="s">
        <v>133</v>
      </c>
      <c r="F52" s="192">
        <v>0</v>
      </c>
      <c r="G52" s="193">
        <v>0</v>
      </c>
      <c r="H52" s="190">
        <f t="shared" si="1"/>
        <v>0</v>
      </c>
      <c r="I52" s="191">
        <f t="shared" si="3"/>
        <v>1275303.3428571429</v>
      </c>
      <c r="J52" s="450"/>
      <c r="K52" s="434"/>
      <c r="L52" s="439"/>
      <c r="M52" s="440"/>
      <c r="N52" s="434"/>
    </row>
    <row r="53" spans="2:14" x14ac:dyDescent="0.2">
      <c r="B53" s="509">
        <v>27</v>
      </c>
      <c r="C53" s="510"/>
      <c r="D53" s="474">
        <f t="shared" si="2"/>
        <v>45020</v>
      </c>
      <c r="E53" s="452" t="s">
        <v>134</v>
      </c>
      <c r="F53" s="192">
        <v>0</v>
      </c>
      <c r="G53" s="193">
        <v>0</v>
      </c>
      <c r="H53" s="190">
        <f t="shared" si="1"/>
        <v>0</v>
      </c>
      <c r="I53" s="191">
        <f t="shared" si="3"/>
        <v>1275303.3428571429</v>
      </c>
      <c r="J53" s="450"/>
      <c r="K53" s="434"/>
      <c r="L53" s="439"/>
      <c r="M53" s="440"/>
      <c r="N53" s="434"/>
    </row>
    <row r="54" spans="2:14" x14ac:dyDescent="0.2">
      <c r="B54" s="509">
        <v>28</v>
      </c>
      <c r="C54" s="510"/>
      <c r="D54" s="474">
        <f t="shared" si="2"/>
        <v>45050</v>
      </c>
      <c r="E54" s="452" t="s">
        <v>135</v>
      </c>
      <c r="F54" s="192">
        <v>0</v>
      </c>
      <c r="G54" s="193">
        <v>0</v>
      </c>
      <c r="H54" s="190">
        <f t="shared" si="1"/>
        <v>0</v>
      </c>
      <c r="I54" s="191">
        <f t="shared" si="3"/>
        <v>1275303.3428571429</v>
      </c>
      <c r="J54" s="450"/>
      <c r="K54" s="434"/>
      <c r="L54" s="439"/>
      <c r="M54" s="440"/>
      <c r="N54" s="434"/>
    </row>
    <row r="55" spans="2:14" x14ac:dyDescent="0.2">
      <c r="B55" s="509">
        <v>29</v>
      </c>
      <c r="C55" s="510"/>
      <c r="D55" s="474">
        <f t="shared" si="2"/>
        <v>45081</v>
      </c>
      <c r="E55" s="452" t="s">
        <v>136</v>
      </c>
      <c r="F55" s="192">
        <v>0</v>
      </c>
      <c r="G55" s="193">
        <v>0</v>
      </c>
      <c r="H55" s="190">
        <f t="shared" si="1"/>
        <v>0</v>
      </c>
      <c r="I55" s="191">
        <f t="shared" si="3"/>
        <v>1275303.3428571429</v>
      </c>
      <c r="J55" s="450"/>
      <c r="K55" s="434"/>
      <c r="L55" s="439"/>
      <c r="M55" s="440"/>
      <c r="N55" s="434"/>
    </row>
    <row r="56" spans="2:14" x14ac:dyDescent="0.2">
      <c r="B56" s="509">
        <v>30</v>
      </c>
      <c r="C56" s="510"/>
      <c r="D56" s="474">
        <f t="shared" si="2"/>
        <v>45111</v>
      </c>
      <c r="E56" s="452" t="s">
        <v>137</v>
      </c>
      <c r="F56" s="192">
        <v>0</v>
      </c>
      <c r="G56" s="193">
        <v>0</v>
      </c>
      <c r="H56" s="190">
        <f t="shared" si="1"/>
        <v>0</v>
      </c>
      <c r="I56" s="191">
        <f t="shared" si="3"/>
        <v>1275303.3428571429</v>
      </c>
      <c r="J56" s="450"/>
      <c r="K56" s="434"/>
      <c r="L56" s="439"/>
      <c r="M56" s="440"/>
      <c r="N56" s="434"/>
    </row>
    <row r="57" spans="2:14" x14ac:dyDescent="0.2">
      <c r="B57" s="509">
        <v>31</v>
      </c>
      <c r="C57" s="510"/>
      <c r="D57" s="474">
        <f t="shared" si="2"/>
        <v>45142</v>
      </c>
      <c r="E57" s="452" t="s">
        <v>138</v>
      </c>
      <c r="F57" s="192">
        <v>0</v>
      </c>
      <c r="G57" s="193">
        <v>0</v>
      </c>
      <c r="H57" s="190">
        <f t="shared" si="1"/>
        <v>0</v>
      </c>
      <c r="I57" s="191">
        <f t="shared" si="3"/>
        <v>1275303.3428571429</v>
      </c>
      <c r="J57" s="450"/>
      <c r="K57" s="434"/>
      <c r="L57" s="439"/>
      <c r="M57" s="440"/>
      <c r="N57" s="434"/>
    </row>
    <row r="58" spans="2:14" x14ac:dyDescent="0.2">
      <c r="B58" s="509">
        <v>32</v>
      </c>
      <c r="C58" s="510"/>
      <c r="D58" s="474">
        <f t="shared" si="2"/>
        <v>45173</v>
      </c>
      <c r="E58" s="452" t="s">
        <v>139</v>
      </c>
      <c r="F58" s="192">
        <v>0</v>
      </c>
      <c r="G58" s="193">
        <v>0</v>
      </c>
      <c r="H58" s="190">
        <f t="shared" si="1"/>
        <v>0</v>
      </c>
      <c r="I58" s="191">
        <f t="shared" si="3"/>
        <v>1275303.3428571429</v>
      </c>
      <c r="J58" s="450"/>
      <c r="K58" s="434"/>
      <c r="L58" s="439"/>
      <c r="M58" s="440"/>
      <c r="N58" s="434"/>
    </row>
    <row r="59" spans="2:14" x14ac:dyDescent="0.2">
      <c r="B59" s="509">
        <v>33</v>
      </c>
      <c r="C59" s="510"/>
      <c r="D59" s="474">
        <f t="shared" si="2"/>
        <v>45203</v>
      </c>
      <c r="E59" s="452" t="s">
        <v>140</v>
      </c>
      <c r="F59" s="192">
        <v>0</v>
      </c>
      <c r="G59" s="193">
        <v>0</v>
      </c>
      <c r="H59" s="190">
        <f t="shared" si="1"/>
        <v>0</v>
      </c>
      <c r="I59" s="191">
        <f t="shared" si="3"/>
        <v>1275303.3428571429</v>
      </c>
      <c r="J59" s="450"/>
      <c r="K59" s="434"/>
      <c r="L59" s="439"/>
      <c r="M59" s="440"/>
      <c r="N59" s="434"/>
    </row>
    <row r="60" spans="2:14" x14ac:dyDescent="0.2">
      <c r="B60" s="509">
        <v>34</v>
      </c>
      <c r="C60" s="510"/>
      <c r="D60" s="474">
        <f t="shared" si="2"/>
        <v>45234</v>
      </c>
      <c r="E60" s="452" t="s">
        <v>141</v>
      </c>
      <c r="F60" s="192">
        <v>0</v>
      </c>
      <c r="G60" s="193">
        <v>0</v>
      </c>
      <c r="H60" s="190">
        <f t="shared" si="1"/>
        <v>0</v>
      </c>
      <c r="I60" s="191">
        <f t="shared" si="3"/>
        <v>1275303.3428571429</v>
      </c>
      <c r="J60" s="450"/>
      <c r="K60" s="434"/>
      <c r="L60" s="439"/>
      <c r="M60" s="440"/>
      <c r="N60" s="434"/>
    </row>
    <row r="61" spans="2:14" x14ac:dyDescent="0.2">
      <c r="B61" s="509">
        <v>35</v>
      </c>
      <c r="C61" s="510"/>
      <c r="D61" s="474">
        <f t="shared" si="2"/>
        <v>45264</v>
      </c>
      <c r="E61" s="452" t="s">
        <v>142</v>
      </c>
      <c r="F61" s="192">
        <v>0</v>
      </c>
      <c r="G61" s="193">
        <v>0</v>
      </c>
      <c r="H61" s="190">
        <f t="shared" si="1"/>
        <v>0</v>
      </c>
      <c r="I61" s="191">
        <f t="shared" si="3"/>
        <v>1275303.3428571429</v>
      </c>
      <c r="J61" s="450"/>
      <c r="K61" s="434"/>
      <c r="L61" s="439"/>
      <c r="M61" s="440"/>
      <c r="N61" s="434"/>
    </row>
    <row r="62" spans="2:14" x14ac:dyDescent="0.2">
      <c r="B62" s="509">
        <v>36</v>
      </c>
      <c r="C62" s="510"/>
      <c r="D62" s="474">
        <f t="shared" si="2"/>
        <v>45295</v>
      </c>
      <c r="E62" s="452" t="s">
        <v>143</v>
      </c>
      <c r="F62" s="192">
        <v>0</v>
      </c>
      <c r="G62" s="193">
        <v>0</v>
      </c>
      <c r="H62" s="190">
        <f t="shared" si="1"/>
        <v>0</v>
      </c>
      <c r="I62" s="191">
        <f t="shared" si="3"/>
        <v>1275303.3428571429</v>
      </c>
      <c r="J62" s="450"/>
      <c r="K62" s="434"/>
      <c r="L62" s="439"/>
      <c r="M62" s="440"/>
      <c r="N62" s="434"/>
    </row>
    <row r="63" spans="2:14" x14ac:dyDescent="0.2">
      <c r="B63" s="509">
        <v>37</v>
      </c>
      <c r="C63" s="510"/>
      <c r="D63" s="474">
        <f t="shared" si="2"/>
        <v>45326</v>
      </c>
      <c r="E63" s="452" t="s">
        <v>144</v>
      </c>
      <c r="F63" s="192">
        <v>0</v>
      </c>
      <c r="G63" s="193">
        <v>0</v>
      </c>
      <c r="H63" s="190">
        <f t="shared" si="1"/>
        <v>0</v>
      </c>
      <c r="I63" s="191">
        <f t="shared" si="3"/>
        <v>1275303.3428571429</v>
      </c>
      <c r="J63" s="450"/>
      <c r="K63" s="434"/>
      <c r="L63" s="439"/>
      <c r="M63" s="440"/>
      <c r="N63" s="434"/>
    </row>
    <row r="64" spans="2:14" x14ac:dyDescent="0.2">
      <c r="B64" s="509">
        <v>38</v>
      </c>
      <c r="C64" s="510"/>
      <c r="D64" s="474">
        <f t="shared" si="2"/>
        <v>45355</v>
      </c>
      <c r="E64" s="452" t="s">
        <v>145</v>
      </c>
      <c r="F64" s="192">
        <v>0</v>
      </c>
      <c r="G64" s="193">
        <v>0</v>
      </c>
      <c r="H64" s="190">
        <f t="shared" si="1"/>
        <v>0</v>
      </c>
      <c r="I64" s="191">
        <f t="shared" si="3"/>
        <v>1275303.3428571429</v>
      </c>
      <c r="J64" s="450"/>
      <c r="K64" s="434"/>
      <c r="L64" s="439"/>
      <c r="M64" s="440"/>
      <c r="N64" s="434"/>
    </row>
    <row r="65" spans="2:14" x14ac:dyDescent="0.2">
      <c r="B65" s="509">
        <v>39</v>
      </c>
      <c r="C65" s="510"/>
      <c r="D65" s="474">
        <f t="shared" si="2"/>
        <v>45386</v>
      </c>
      <c r="E65" s="452" t="s">
        <v>146</v>
      </c>
      <c r="F65" s="192">
        <v>0</v>
      </c>
      <c r="G65" s="193">
        <v>0</v>
      </c>
      <c r="H65" s="190">
        <f t="shared" si="1"/>
        <v>0</v>
      </c>
      <c r="I65" s="191">
        <f t="shared" si="3"/>
        <v>1275303.3428571429</v>
      </c>
      <c r="J65" s="450"/>
      <c r="K65" s="434"/>
      <c r="L65" s="439"/>
      <c r="M65" s="440"/>
      <c r="N65" s="434"/>
    </row>
    <row r="66" spans="2:14" x14ac:dyDescent="0.2">
      <c r="B66" s="509">
        <v>40</v>
      </c>
      <c r="C66" s="510"/>
      <c r="D66" s="474">
        <f t="shared" si="2"/>
        <v>45416</v>
      </c>
      <c r="E66" s="452" t="s">
        <v>147</v>
      </c>
      <c r="F66" s="192">
        <v>0</v>
      </c>
      <c r="G66" s="193">
        <v>0</v>
      </c>
      <c r="H66" s="190">
        <f t="shared" si="1"/>
        <v>0</v>
      </c>
      <c r="I66" s="191">
        <f t="shared" si="3"/>
        <v>1275303.3428571429</v>
      </c>
      <c r="J66" s="450"/>
      <c r="K66" s="434"/>
      <c r="L66" s="439"/>
      <c r="M66" s="440"/>
      <c r="N66" s="434"/>
    </row>
    <row r="67" spans="2:14" x14ac:dyDescent="0.2">
      <c r="B67" s="509">
        <v>41</v>
      </c>
      <c r="C67" s="510"/>
      <c r="D67" s="474">
        <f t="shared" si="2"/>
        <v>45447</v>
      </c>
      <c r="E67" s="452" t="s">
        <v>148</v>
      </c>
      <c r="F67" s="192">
        <v>0</v>
      </c>
      <c r="G67" s="193">
        <v>0</v>
      </c>
      <c r="H67" s="190">
        <f t="shared" si="1"/>
        <v>0</v>
      </c>
      <c r="I67" s="191">
        <f t="shared" si="3"/>
        <v>1275303.3428571429</v>
      </c>
      <c r="J67" s="450"/>
      <c r="K67" s="434"/>
      <c r="L67" s="439"/>
      <c r="M67" s="440"/>
      <c r="N67" s="434"/>
    </row>
    <row r="68" spans="2:14" x14ac:dyDescent="0.2">
      <c r="B68" s="509">
        <v>42</v>
      </c>
      <c r="C68" s="510"/>
      <c r="D68" s="474">
        <f t="shared" si="2"/>
        <v>45477</v>
      </c>
      <c r="E68" s="452" t="s">
        <v>149</v>
      </c>
      <c r="F68" s="192">
        <v>0</v>
      </c>
      <c r="G68" s="193">
        <v>0</v>
      </c>
      <c r="H68" s="190">
        <f t="shared" si="1"/>
        <v>0</v>
      </c>
      <c r="I68" s="191">
        <f t="shared" si="3"/>
        <v>1275303.3428571429</v>
      </c>
      <c r="J68" s="450"/>
      <c r="K68" s="434"/>
      <c r="L68" s="439"/>
      <c r="M68" s="440"/>
      <c r="N68" s="434"/>
    </row>
    <row r="69" spans="2:14" x14ac:dyDescent="0.2">
      <c r="B69" s="509">
        <v>43</v>
      </c>
      <c r="C69" s="510"/>
      <c r="D69" s="474">
        <f t="shared" si="2"/>
        <v>45508</v>
      </c>
      <c r="E69" s="452" t="s">
        <v>150</v>
      </c>
      <c r="F69" s="192">
        <v>0</v>
      </c>
      <c r="G69" s="193">
        <v>0</v>
      </c>
      <c r="H69" s="190">
        <f t="shared" si="1"/>
        <v>0</v>
      </c>
      <c r="I69" s="191">
        <f t="shared" si="3"/>
        <v>1275303.3428571429</v>
      </c>
      <c r="J69" s="450"/>
      <c r="K69" s="434"/>
      <c r="L69" s="439"/>
      <c r="M69" s="440"/>
      <c r="N69" s="434"/>
    </row>
    <row r="70" spans="2:14" x14ac:dyDescent="0.2">
      <c r="B70" s="509">
        <v>44</v>
      </c>
      <c r="C70" s="510"/>
      <c r="D70" s="474">
        <f t="shared" si="2"/>
        <v>45539</v>
      </c>
      <c r="E70" s="452" t="s">
        <v>151</v>
      </c>
      <c r="F70" s="192">
        <v>0</v>
      </c>
      <c r="G70" s="193">
        <v>0</v>
      </c>
      <c r="H70" s="190">
        <f t="shared" si="1"/>
        <v>0</v>
      </c>
      <c r="I70" s="191">
        <f t="shared" si="3"/>
        <v>1275303.3428571429</v>
      </c>
      <c r="J70" s="450"/>
      <c r="K70" s="434"/>
      <c r="L70" s="439"/>
      <c r="M70" s="440"/>
      <c r="N70" s="434"/>
    </row>
    <row r="71" spans="2:14" x14ac:dyDescent="0.2">
      <c r="B71" s="509">
        <v>45</v>
      </c>
      <c r="C71" s="510"/>
      <c r="D71" s="474">
        <f t="shared" si="2"/>
        <v>45569</v>
      </c>
      <c r="E71" s="452" t="s">
        <v>152</v>
      </c>
      <c r="F71" s="192">
        <v>0</v>
      </c>
      <c r="G71" s="193">
        <v>0</v>
      </c>
      <c r="H71" s="190">
        <f t="shared" si="1"/>
        <v>0</v>
      </c>
      <c r="I71" s="191">
        <f t="shared" si="3"/>
        <v>1275303.3428571429</v>
      </c>
      <c r="J71" s="450"/>
      <c r="K71" s="434"/>
      <c r="L71" s="439"/>
      <c r="M71" s="440"/>
      <c r="N71" s="434"/>
    </row>
    <row r="72" spans="2:14" x14ac:dyDescent="0.2">
      <c r="B72" s="509">
        <v>46</v>
      </c>
      <c r="C72" s="510"/>
      <c r="D72" s="474">
        <f t="shared" si="2"/>
        <v>45600</v>
      </c>
      <c r="E72" s="452" t="s">
        <v>153</v>
      </c>
      <c r="F72" s="192">
        <v>0</v>
      </c>
      <c r="G72" s="193">
        <v>0</v>
      </c>
      <c r="H72" s="190">
        <f t="shared" si="1"/>
        <v>0</v>
      </c>
      <c r="I72" s="191">
        <f t="shared" si="3"/>
        <v>1275303.3428571429</v>
      </c>
      <c r="J72" s="450"/>
      <c r="K72" s="434"/>
      <c r="L72" s="439"/>
      <c r="M72" s="440"/>
      <c r="N72" s="434"/>
    </row>
    <row r="73" spans="2:14" x14ac:dyDescent="0.2">
      <c r="B73" s="509">
        <v>47</v>
      </c>
      <c r="C73" s="510"/>
      <c r="D73" s="474">
        <f t="shared" si="2"/>
        <v>45630</v>
      </c>
      <c r="E73" s="452" t="s">
        <v>154</v>
      </c>
      <c r="F73" s="192">
        <v>0</v>
      </c>
      <c r="G73" s="193">
        <v>0</v>
      </c>
      <c r="H73" s="190">
        <f t="shared" si="1"/>
        <v>0</v>
      </c>
      <c r="I73" s="191">
        <f t="shared" si="3"/>
        <v>1275303.3428571429</v>
      </c>
      <c r="J73" s="450"/>
      <c r="K73" s="434"/>
      <c r="L73" s="439"/>
      <c r="M73" s="440"/>
      <c r="N73" s="434"/>
    </row>
    <row r="74" spans="2:14" x14ac:dyDescent="0.2">
      <c r="B74" s="509">
        <v>48</v>
      </c>
      <c r="C74" s="510"/>
      <c r="D74" s="474">
        <f t="shared" si="2"/>
        <v>45661</v>
      </c>
      <c r="E74" s="452" t="s">
        <v>155</v>
      </c>
      <c r="F74" s="192">
        <v>0</v>
      </c>
      <c r="G74" s="193">
        <v>0</v>
      </c>
      <c r="H74" s="190">
        <f t="shared" si="1"/>
        <v>0</v>
      </c>
      <c r="I74" s="191">
        <f t="shared" si="3"/>
        <v>1275303.3428571429</v>
      </c>
      <c r="J74" s="450"/>
      <c r="K74" s="434"/>
      <c r="L74" s="439"/>
      <c r="M74" s="440"/>
      <c r="N74" s="434"/>
    </row>
    <row r="75" spans="2:14" x14ac:dyDescent="0.2">
      <c r="B75" s="509">
        <v>49</v>
      </c>
      <c r="C75" s="510"/>
      <c r="D75" s="474">
        <f t="shared" si="2"/>
        <v>45692</v>
      </c>
      <c r="E75" s="452" t="s">
        <v>156</v>
      </c>
      <c r="F75" s="192">
        <v>0</v>
      </c>
      <c r="G75" s="193">
        <v>0</v>
      </c>
      <c r="H75" s="190">
        <f t="shared" si="1"/>
        <v>0</v>
      </c>
      <c r="I75" s="191">
        <f t="shared" si="3"/>
        <v>1275303.3428571429</v>
      </c>
      <c r="J75" s="450"/>
      <c r="K75" s="434"/>
      <c r="L75" s="439"/>
      <c r="M75" s="440"/>
      <c r="N75" s="434"/>
    </row>
    <row r="76" spans="2:14" x14ac:dyDescent="0.2">
      <c r="B76" s="509">
        <v>50</v>
      </c>
      <c r="C76" s="510"/>
      <c r="D76" s="474">
        <f t="shared" si="2"/>
        <v>45720</v>
      </c>
      <c r="E76" s="452" t="s">
        <v>157</v>
      </c>
      <c r="F76" s="192">
        <v>0</v>
      </c>
      <c r="G76" s="193">
        <v>0</v>
      </c>
      <c r="H76" s="190">
        <f t="shared" si="1"/>
        <v>0</v>
      </c>
      <c r="I76" s="191">
        <f t="shared" si="3"/>
        <v>1275303.3428571429</v>
      </c>
      <c r="J76" s="450"/>
      <c r="K76" s="434"/>
      <c r="L76" s="439"/>
      <c r="M76" s="440"/>
      <c r="N76" s="434"/>
    </row>
    <row r="77" spans="2:14" x14ac:dyDescent="0.2">
      <c r="B77" s="509">
        <v>51</v>
      </c>
      <c r="C77" s="510"/>
      <c r="D77" s="474">
        <f t="shared" si="2"/>
        <v>45751</v>
      </c>
      <c r="E77" s="452" t="s">
        <v>158</v>
      </c>
      <c r="F77" s="192">
        <v>0</v>
      </c>
      <c r="G77" s="193">
        <v>0</v>
      </c>
      <c r="H77" s="190">
        <f t="shared" si="1"/>
        <v>0</v>
      </c>
      <c r="I77" s="191">
        <f t="shared" si="3"/>
        <v>1275303.3428571429</v>
      </c>
      <c r="J77" s="450"/>
      <c r="K77" s="434"/>
      <c r="L77" s="439"/>
      <c r="M77" s="440"/>
      <c r="N77" s="434"/>
    </row>
    <row r="78" spans="2:14" x14ac:dyDescent="0.2">
      <c r="B78" s="509">
        <v>52</v>
      </c>
      <c r="C78" s="510"/>
      <c r="D78" s="474">
        <f t="shared" si="2"/>
        <v>45781</v>
      </c>
      <c r="E78" s="452" t="s">
        <v>159</v>
      </c>
      <c r="F78" s="192">
        <v>0</v>
      </c>
      <c r="G78" s="193">
        <v>0</v>
      </c>
      <c r="H78" s="190">
        <f t="shared" si="1"/>
        <v>0</v>
      </c>
      <c r="I78" s="191">
        <f t="shared" si="3"/>
        <v>1275303.3428571429</v>
      </c>
      <c r="J78" s="450"/>
      <c r="K78" s="434"/>
      <c r="L78" s="439"/>
      <c r="M78" s="440"/>
      <c r="N78" s="434"/>
    </row>
    <row r="79" spans="2:14" x14ac:dyDescent="0.2">
      <c r="B79" s="509">
        <v>53</v>
      </c>
      <c r="C79" s="510"/>
      <c r="D79" s="474">
        <f t="shared" si="2"/>
        <v>45812</v>
      </c>
      <c r="E79" s="452" t="s">
        <v>160</v>
      </c>
      <c r="F79" s="192">
        <v>0</v>
      </c>
      <c r="G79" s="193">
        <v>0</v>
      </c>
      <c r="H79" s="190">
        <f t="shared" si="1"/>
        <v>0</v>
      </c>
      <c r="I79" s="191">
        <f t="shared" si="3"/>
        <v>1275303.3428571429</v>
      </c>
      <c r="J79" s="450"/>
      <c r="K79" s="434"/>
      <c r="L79" s="439"/>
      <c r="M79" s="440"/>
      <c r="N79" s="434"/>
    </row>
    <row r="80" spans="2:14" x14ac:dyDescent="0.2">
      <c r="B80" s="509">
        <v>54</v>
      </c>
      <c r="C80" s="510"/>
      <c r="D80" s="474">
        <f t="shared" si="2"/>
        <v>45842</v>
      </c>
      <c r="E80" s="452" t="s">
        <v>161</v>
      </c>
      <c r="F80" s="192">
        <v>0</v>
      </c>
      <c r="G80" s="193">
        <v>0</v>
      </c>
      <c r="H80" s="190">
        <f t="shared" si="1"/>
        <v>0</v>
      </c>
      <c r="I80" s="191">
        <f t="shared" si="3"/>
        <v>1275303.3428571429</v>
      </c>
      <c r="J80" s="450"/>
      <c r="K80" s="434"/>
      <c r="L80" s="439"/>
      <c r="M80" s="440"/>
      <c r="N80" s="434"/>
    </row>
    <row r="81" spans="2:14" x14ac:dyDescent="0.2">
      <c r="B81" s="509">
        <v>55</v>
      </c>
      <c r="C81" s="510"/>
      <c r="D81" s="474">
        <f t="shared" si="2"/>
        <v>45873</v>
      </c>
      <c r="E81" s="452" t="s">
        <v>162</v>
      </c>
      <c r="F81" s="192">
        <v>0</v>
      </c>
      <c r="G81" s="193">
        <v>0</v>
      </c>
      <c r="H81" s="190">
        <f t="shared" si="1"/>
        <v>0</v>
      </c>
      <c r="I81" s="191">
        <f t="shared" si="3"/>
        <v>1275303.3428571429</v>
      </c>
      <c r="J81" s="450"/>
      <c r="K81" s="434"/>
      <c r="L81" s="439"/>
      <c r="M81" s="440"/>
      <c r="N81" s="434"/>
    </row>
    <row r="82" spans="2:14" x14ac:dyDescent="0.2">
      <c r="B82" s="509">
        <v>56</v>
      </c>
      <c r="C82" s="510"/>
      <c r="D82" s="474">
        <f t="shared" si="2"/>
        <v>45904</v>
      </c>
      <c r="E82" s="452" t="s">
        <v>163</v>
      </c>
      <c r="F82" s="192">
        <v>0</v>
      </c>
      <c r="G82" s="193">
        <v>0</v>
      </c>
      <c r="H82" s="190">
        <f t="shared" si="1"/>
        <v>0</v>
      </c>
      <c r="I82" s="191">
        <f t="shared" si="3"/>
        <v>1275303.3428571429</v>
      </c>
      <c r="J82" s="450"/>
      <c r="K82" s="434"/>
      <c r="L82" s="439"/>
      <c r="M82" s="440"/>
      <c r="N82" s="434"/>
    </row>
    <row r="83" spans="2:14" x14ac:dyDescent="0.2">
      <c r="B83" s="509">
        <v>57</v>
      </c>
      <c r="C83" s="510"/>
      <c r="D83" s="474">
        <f t="shared" si="2"/>
        <v>45934</v>
      </c>
      <c r="E83" s="452" t="s">
        <v>164</v>
      </c>
      <c r="F83" s="192">
        <v>0</v>
      </c>
      <c r="G83" s="193">
        <v>0</v>
      </c>
      <c r="H83" s="190">
        <f t="shared" si="1"/>
        <v>0</v>
      </c>
      <c r="I83" s="191">
        <f t="shared" si="3"/>
        <v>1275303.3428571429</v>
      </c>
      <c r="J83" s="450"/>
      <c r="K83" s="434"/>
      <c r="L83" s="439"/>
      <c r="M83" s="440"/>
      <c r="N83" s="434"/>
    </row>
    <row r="84" spans="2:14" x14ac:dyDescent="0.2">
      <c r="B84" s="509">
        <v>58</v>
      </c>
      <c r="C84" s="510"/>
      <c r="D84" s="474">
        <f t="shared" si="2"/>
        <v>45965</v>
      </c>
      <c r="E84" s="452" t="s">
        <v>165</v>
      </c>
      <c r="F84" s="192">
        <v>0</v>
      </c>
      <c r="G84" s="193">
        <v>0</v>
      </c>
      <c r="H84" s="190">
        <f t="shared" si="1"/>
        <v>0</v>
      </c>
      <c r="I84" s="191">
        <f t="shared" si="3"/>
        <v>1275303.3428571429</v>
      </c>
      <c r="J84" s="450"/>
      <c r="K84" s="434"/>
      <c r="L84" s="439"/>
      <c r="M84" s="440"/>
      <c r="N84" s="434"/>
    </row>
    <row r="85" spans="2:14" x14ac:dyDescent="0.2">
      <c r="B85" s="509">
        <v>59</v>
      </c>
      <c r="C85" s="510"/>
      <c r="D85" s="474">
        <f t="shared" si="2"/>
        <v>45995</v>
      </c>
      <c r="E85" s="452" t="s">
        <v>166</v>
      </c>
      <c r="F85" s="192">
        <v>0</v>
      </c>
      <c r="G85" s="193">
        <v>0</v>
      </c>
      <c r="H85" s="190">
        <f t="shared" si="1"/>
        <v>0</v>
      </c>
      <c r="I85" s="191">
        <f t="shared" si="3"/>
        <v>1275303.3428571429</v>
      </c>
      <c r="J85" s="450"/>
      <c r="K85" s="434"/>
      <c r="L85" s="439"/>
      <c r="M85" s="440"/>
      <c r="N85" s="434"/>
    </row>
    <row r="86" spans="2:14" x14ac:dyDescent="0.2">
      <c r="B86" s="509">
        <v>60</v>
      </c>
      <c r="C86" s="510"/>
      <c r="D86" s="474">
        <f t="shared" si="2"/>
        <v>46026</v>
      </c>
      <c r="E86" s="452" t="s">
        <v>167</v>
      </c>
      <c r="F86" s="192">
        <v>0</v>
      </c>
      <c r="G86" s="193">
        <v>0</v>
      </c>
      <c r="H86" s="190">
        <f t="shared" si="1"/>
        <v>0</v>
      </c>
      <c r="I86" s="191">
        <f>I85-H86</f>
        <v>1275303.3428571429</v>
      </c>
      <c r="J86" s="450"/>
      <c r="K86" s="434"/>
      <c r="L86" s="439"/>
      <c r="M86" s="440"/>
      <c r="N86" s="434"/>
    </row>
    <row r="87" spans="2:14" ht="16" thickBot="1" x14ac:dyDescent="0.25">
      <c r="B87" s="531">
        <v>61</v>
      </c>
      <c r="C87" s="532"/>
      <c r="D87" s="474">
        <f t="shared" si="2"/>
        <v>46057</v>
      </c>
      <c r="E87" s="475" t="s">
        <v>168</v>
      </c>
      <c r="F87" s="194">
        <f>(((D15-SUM(D16:D20))*0.2)/1)</f>
        <v>1220803.2</v>
      </c>
      <c r="G87" s="195">
        <f>(D22*20%)/1</f>
        <v>54500.142857142855</v>
      </c>
      <c r="H87" s="190">
        <f>SUM(F87:G87)</f>
        <v>1275303.3428571429</v>
      </c>
      <c r="I87" s="191">
        <f t="shared" si="3"/>
        <v>0</v>
      </c>
      <c r="J87" s="476">
        <v>1</v>
      </c>
      <c r="K87" s="434"/>
      <c r="L87" s="439">
        <f>(E23*J87)-L26</f>
        <v>-56000</v>
      </c>
      <c r="M87" s="440">
        <f>L87-F87</f>
        <v>-1276803.2</v>
      </c>
      <c r="N87" s="434"/>
    </row>
    <row r="88" spans="2:14" ht="16" thickBot="1" x14ac:dyDescent="0.25">
      <c r="B88" s="454"/>
      <c r="C88" s="455"/>
      <c r="D88" s="456"/>
      <c r="E88" s="457" t="s">
        <v>96</v>
      </c>
      <c r="F88" s="196">
        <f>SUM(F26:F87)</f>
        <v>6104016</v>
      </c>
      <c r="G88" s="196">
        <f>SUM(G26:G87)</f>
        <v>272500.71428571426</v>
      </c>
      <c r="H88" s="196">
        <f>SUM(H26:H87)</f>
        <v>6376516.7142857146</v>
      </c>
      <c r="I88" s="197"/>
      <c r="J88" s="434"/>
      <c r="K88" s="434"/>
      <c r="L88" s="439">
        <f>SUM(L26:L87)</f>
        <v>0</v>
      </c>
      <c r="M88" s="440">
        <f>L88-F88</f>
        <v>-6104016</v>
      </c>
      <c r="N88" s="434"/>
    </row>
    <row r="89" spans="2:14" x14ac:dyDescent="0.2">
      <c r="D89" s="458"/>
      <c r="L89" s="459"/>
    </row>
    <row r="90" spans="2:14" x14ac:dyDescent="0.2">
      <c r="D90" s="458"/>
      <c r="L90" s="459"/>
    </row>
    <row r="91" spans="2:14" x14ac:dyDescent="0.2">
      <c r="B91" s="538" t="s">
        <v>195</v>
      </c>
      <c r="C91" s="539"/>
      <c r="D91" s="539"/>
      <c r="E91" s="539"/>
      <c r="F91" s="539"/>
      <c r="G91" s="539"/>
      <c r="H91" s="539"/>
      <c r="I91" s="539"/>
      <c r="L91" s="459"/>
    </row>
    <row r="92" spans="2:14" x14ac:dyDescent="0.2">
      <c r="B92" s="539"/>
      <c r="C92" s="539"/>
      <c r="D92" s="539"/>
      <c r="E92" s="539"/>
      <c r="F92" s="539"/>
      <c r="G92" s="539"/>
      <c r="H92" s="539"/>
      <c r="I92" s="539"/>
      <c r="L92" s="459"/>
    </row>
    <row r="93" spans="2:14" x14ac:dyDescent="0.2">
      <c r="B93" s="539"/>
      <c r="C93" s="539"/>
      <c r="D93" s="539"/>
      <c r="E93" s="539"/>
      <c r="F93" s="539"/>
      <c r="G93" s="539"/>
      <c r="H93" s="539"/>
      <c r="I93" s="539"/>
      <c r="L93" s="459"/>
    </row>
    <row r="94" spans="2:14" x14ac:dyDescent="0.2">
      <c r="B94" s="539"/>
      <c r="C94" s="539"/>
      <c r="D94" s="539"/>
      <c r="E94" s="539"/>
      <c r="F94" s="539"/>
      <c r="G94" s="539"/>
      <c r="H94" s="539"/>
      <c r="I94" s="539"/>
      <c r="L94" s="459"/>
    </row>
    <row r="95" spans="2:14" x14ac:dyDescent="0.2">
      <c r="B95" s="539"/>
      <c r="C95" s="539"/>
      <c r="D95" s="539"/>
      <c r="E95" s="539"/>
      <c r="F95" s="539"/>
      <c r="G95" s="539"/>
      <c r="H95" s="539"/>
      <c r="I95" s="539"/>
      <c r="L95" s="459"/>
    </row>
    <row r="96" spans="2:14" x14ac:dyDescent="0.2">
      <c r="B96" s="539"/>
      <c r="C96" s="539"/>
      <c r="D96" s="539"/>
      <c r="E96" s="539"/>
      <c r="F96" s="539"/>
      <c r="G96" s="539"/>
      <c r="H96" s="539"/>
      <c r="I96" s="539"/>
      <c r="L96" s="459"/>
    </row>
    <row r="97" spans="2:12" x14ac:dyDescent="0.2">
      <c r="B97" s="539"/>
      <c r="C97" s="539"/>
      <c r="D97" s="539"/>
      <c r="E97" s="539"/>
      <c r="F97" s="539"/>
      <c r="G97" s="539"/>
      <c r="H97" s="539"/>
      <c r="I97" s="539"/>
      <c r="L97" s="459"/>
    </row>
    <row r="98" spans="2:12" x14ac:dyDescent="0.2">
      <c r="B98" s="539"/>
      <c r="C98" s="539"/>
      <c r="D98" s="539"/>
      <c r="E98" s="539"/>
      <c r="F98" s="539"/>
      <c r="G98" s="539"/>
      <c r="H98" s="539"/>
      <c r="I98" s="539"/>
      <c r="L98" s="459"/>
    </row>
    <row r="99" spans="2:12" x14ac:dyDescent="0.2">
      <c r="B99" s="539"/>
      <c r="C99" s="539"/>
      <c r="D99" s="539"/>
      <c r="E99" s="539"/>
      <c r="F99" s="539"/>
      <c r="G99" s="539"/>
      <c r="H99" s="539"/>
      <c r="I99" s="539"/>
      <c r="L99" s="459"/>
    </row>
    <row r="100" spans="2:12" x14ac:dyDescent="0.2">
      <c r="B100" s="539"/>
      <c r="C100" s="539"/>
      <c r="D100" s="539"/>
      <c r="E100" s="539"/>
      <c r="F100" s="539"/>
      <c r="G100" s="539"/>
      <c r="H100" s="539"/>
      <c r="I100" s="539"/>
      <c r="L100" s="459"/>
    </row>
    <row r="101" spans="2:12" x14ac:dyDescent="0.2">
      <c r="B101" s="539"/>
      <c r="C101" s="539"/>
      <c r="D101" s="539"/>
      <c r="E101" s="539"/>
      <c r="F101" s="539"/>
      <c r="G101" s="539"/>
      <c r="H101" s="539"/>
      <c r="I101" s="539"/>
      <c r="L101" s="459"/>
    </row>
    <row r="102" spans="2:12" x14ac:dyDescent="0.2">
      <c r="B102" s="539"/>
      <c r="C102" s="539"/>
      <c r="D102" s="539"/>
      <c r="E102" s="539"/>
      <c r="F102" s="539"/>
      <c r="G102" s="539"/>
      <c r="H102" s="539"/>
      <c r="I102" s="539"/>
      <c r="L102" s="459"/>
    </row>
    <row r="103" spans="2:12" x14ac:dyDescent="0.2">
      <c r="B103" s="539"/>
      <c r="C103" s="539"/>
      <c r="D103" s="539"/>
      <c r="E103" s="539"/>
      <c r="F103" s="539"/>
      <c r="G103" s="539"/>
      <c r="H103" s="539"/>
      <c r="I103" s="539"/>
      <c r="L103" s="459"/>
    </row>
    <row r="104" spans="2:12" x14ac:dyDescent="0.2">
      <c r="B104" s="539"/>
      <c r="C104" s="539"/>
      <c r="D104" s="539"/>
      <c r="E104" s="539"/>
      <c r="F104" s="539"/>
      <c r="G104" s="539"/>
      <c r="H104" s="539"/>
      <c r="I104" s="539"/>
      <c r="L104" s="459"/>
    </row>
    <row r="105" spans="2:12" x14ac:dyDescent="0.2">
      <c r="B105" s="539"/>
      <c r="C105" s="539"/>
      <c r="D105" s="539"/>
      <c r="E105" s="539"/>
      <c r="F105" s="539"/>
      <c r="G105" s="539"/>
      <c r="H105" s="539"/>
      <c r="I105" s="539"/>
      <c r="L105" s="459"/>
    </row>
    <row r="106" spans="2:12" x14ac:dyDescent="0.2">
      <c r="B106" s="539"/>
      <c r="C106" s="539"/>
      <c r="D106" s="539"/>
      <c r="E106" s="539"/>
      <c r="F106" s="539"/>
      <c r="G106" s="539"/>
      <c r="H106" s="539"/>
      <c r="I106" s="539"/>
      <c r="L106" s="459"/>
    </row>
    <row r="107" spans="2:12" x14ac:dyDescent="0.2">
      <c r="B107" s="539"/>
      <c r="C107" s="539"/>
      <c r="D107" s="539"/>
      <c r="E107" s="539"/>
      <c r="F107" s="539"/>
      <c r="G107" s="539"/>
      <c r="H107" s="539"/>
      <c r="I107" s="539"/>
      <c r="L107" s="459"/>
    </row>
    <row r="108" spans="2:12" x14ac:dyDescent="0.2">
      <c r="B108" s="539"/>
      <c r="C108" s="539"/>
      <c r="D108" s="539"/>
      <c r="E108" s="539"/>
      <c r="F108" s="539"/>
      <c r="G108" s="539"/>
      <c r="H108" s="539"/>
      <c r="I108" s="539"/>
      <c r="L108" s="459"/>
    </row>
    <row r="109" spans="2:12" ht="91.5" customHeight="1" x14ac:dyDescent="0.2">
      <c r="B109" s="539"/>
      <c r="C109" s="539"/>
      <c r="D109" s="539"/>
      <c r="E109" s="539"/>
      <c r="F109" s="539"/>
      <c r="G109" s="539"/>
      <c r="H109" s="539"/>
      <c r="I109" s="539"/>
      <c r="L109" s="459"/>
    </row>
    <row r="110" spans="2:12" ht="59.25" hidden="1" customHeight="1" x14ac:dyDescent="0.2">
      <c r="B110" s="460" t="s">
        <v>97</v>
      </c>
      <c r="C110" s="460"/>
    </row>
    <row r="111" spans="2:12" ht="59.25" hidden="1" customHeight="1" x14ac:dyDescent="0.2">
      <c r="B111" s="461" t="s">
        <v>98</v>
      </c>
      <c r="C111" s="461"/>
    </row>
    <row r="112" spans="2:12" ht="59.25" hidden="1" customHeight="1" x14ac:dyDescent="0.2">
      <c r="B112" s="461" t="s">
        <v>99</v>
      </c>
      <c r="C112" s="461"/>
    </row>
    <row r="113" spans="2:9" ht="59.25" hidden="1" customHeight="1" x14ac:dyDescent="0.2">
      <c r="B113" s="461" t="s">
        <v>100</v>
      </c>
      <c r="C113" s="461"/>
    </row>
    <row r="114" spans="2:9" ht="59.25" hidden="1" customHeight="1" x14ac:dyDescent="0.2">
      <c r="B114" s="461" t="s">
        <v>101</v>
      </c>
      <c r="C114" s="461"/>
    </row>
    <row r="115" spans="2:9" s="462" customFormat="1" ht="59.25" hidden="1" customHeight="1" x14ac:dyDescent="0.2">
      <c r="B115" s="461" t="s">
        <v>102</v>
      </c>
      <c r="C115" s="461"/>
    </row>
    <row r="116" spans="2:9" ht="59.25" customHeight="1" x14ac:dyDescent="0.2"/>
    <row r="117" spans="2:9" x14ac:dyDescent="0.2">
      <c r="B117" s="463" t="s">
        <v>103</v>
      </c>
      <c r="C117" s="463"/>
    </row>
    <row r="120" spans="2:9" x14ac:dyDescent="0.2">
      <c r="B120" s="530" t="s">
        <v>104</v>
      </c>
      <c r="C120" s="530"/>
      <c r="D120" s="530"/>
      <c r="F120" s="530" t="s">
        <v>105</v>
      </c>
      <c r="G120" s="530"/>
      <c r="H120" s="530"/>
      <c r="I120" s="530"/>
    </row>
  </sheetData>
  <sheetProtection algorithmName="SHA-512" hashValue="l8VDv8JHmZvKSR2WIe2PTwC30vIHmcg6WVofm/jtl4yHacqQU1pcd2WJBMCJ6IbBTiwc+FaOV7PhSQA7URt33g==" saltValue="2rmO7vi+omod85PijCdKww==" spinCount="100000" sheet="1" objects="1" scenarios="1"/>
  <mergeCells count="75">
    <mergeCell ref="B91:I109"/>
    <mergeCell ref="B84:C84"/>
    <mergeCell ref="B85:C85"/>
    <mergeCell ref="B86:C86"/>
    <mergeCell ref="C11:D11"/>
    <mergeCell ref="B78:C78"/>
    <mergeCell ref="B79:C79"/>
    <mergeCell ref="B80:C80"/>
    <mergeCell ref="B81:C81"/>
    <mergeCell ref="B82:C82"/>
    <mergeCell ref="B83:C83"/>
    <mergeCell ref="B72:C72"/>
    <mergeCell ref="B73:C73"/>
    <mergeCell ref="B74:C74"/>
    <mergeCell ref="B75:C75"/>
    <mergeCell ref="B76:C76"/>
    <mergeCell ref="B56:C56"/>
    <mergeCell ref="B57:C57"/>
    <mergeCell ref="B58:C58"/>
    <mergeCell ref="B77:C77"/>
    <mergeCell ref="B71:C71"/>
    <mergeCell ref="B60:C60"/>
    <mergeCell ref="B61:C61"/>
    <mergeCell ref="B62:C62"/>
    <mergeCell ref="B63:C63"/>
    <mergeCell ref="B64:C64"/>
    <mergeCell ref="B65:C65"/>
    <mergeCell ref="B66:C66"/>
    <mergeCell ref="B67:C67"/>
    <mergeCell ref="B68:C68"/>
    <mergeCell ref="B69:C69"/>
    <mergeCell ref="B70:C70"/>
    <mergeCell ref="B31:C31"/>
    <mergeCell ref="B120:D120"/>
    <mergeCell ref="F120:I120"/>
    <mergeCell ref="C12:D12"/>
    <mergeCell ref="B25:C25"/>
    <mergeCell ref="B26:C26"/>
    <mergeCell ref="B46:C46"/>
    <mergeCell ref="B59:C59"/>
    <mergeCell ref="B48:C48"/>
    <mergeCell ref="B49:C49"/>
    <mergeCell ref="B50:C50"/>
    <mergeCell ref="B51:C51"/>
    <mergeCell ref="B52:C52"/>
    <mergeCell ref="B53:C53"/>
    <mergeCell ref="B54:C54"/>
    <mergeCell ref="B55:C55"/>
    <mergeCell ref="C10:D10"/>
    <mergeCell ref="B27:C27"/>
    <mergeCell ref="B28:C28"/>
    <mergeCell ref="B29:C29"/>
    <mergeCell ref="B30:C30"/>
    <mergeCell ref="B87:C87"/>
    <mergeCell ref="B32:C32"/>
    <mergeCell ref="B33:C33"/>
    <mergeCell ref="B34:C34"/>
    <mergeCell ref="B35:C35"/>
    <mergeCell ref="B47:C47"/>
    <mergeCell ref="B36:C36"/>
    <mergeCell ref="B37:C37"/>
    <mergeCell ref="B38:C38"/>
    <mergeCell ref="B39:C39"/>
    <mergeCell ref="B40:C40"/>
    <mergeCell ref="B41:C41"/>
    <mergeCell ref="B42:C42"/>
    <mergeCell ref="B43:C43"/>
    <mergeCell ref="B44:C44"/>
    <mergeCell ref="B45:C45"/>
    <mergeCell ref="C9:D9"/>
    <mergeCell ref="L1:L3"/>
    <mergeCell ref="I2:I3"/>
    <mergeCell ref="C6:D6"/>
    <mergeCell ref="C7:D7"/>
    <mergeCell ref="C8:D8"/>
  </mergeCells>
  <phoneticPr fontId="45" type="noConversion"/>
  <hyperlinks>
    <hyperlink ref="O4" location="Input!A1" display="Return to Input" xr:uid="{00000000-0004-0000-0C00-000000000000}"/>
  </hyperlinks>
  <pageMargins left="0.7" right="0.7" top="0.75" bottom="0.75" header="0.3" footer="0.3"/>
  <pageSetup paperSize="5" scale="49" orientation="portrait"/>
  <ignoredErrors>
    <ignoredError sqref="C17" unlockedFormula="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00B050"/>
    <pageSetUpPr fitToPage="1"/>
  </sheetPr>
  <dimension ref="B1:O119"/>
  <sheetViews>
    <sheetView topLeftCell="A79" workbookViewId="0">
      <selection activeCell="O3" activeCellId="1" sqref="C18:C19 O3"/>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18.33203125" style="212" customWidth="1"/>
    <col min="5" max="5" width="18.5" style="212" customWidth="1"/>
    <col min="6" max="7" width="17.5" style="212" hidden="1" customWidth="1"/>
    <col min="8" max="8" width="18.83203125" style="212" customWidth="1"/>
    <col min="9" max="9" width="20.83203125" style="212" customWidth="1"/>
    <col min="10" max="10" width="9.33203125" style="212" bestFit="1" customWidth="1"/>
    <col min="11" max="11" width="8.83203125" style="212"/>
    <col min="12" max="12" width="26.1640625" style="212" hidden="1" customWidth="1"/>
    <col min="13" max="13" width="15.83203125" style="212" hidden="1" customWidth="1"/>
    <col min="14" max="14" width="0" style="212" hidden="1" customWidth="1"/>
    <col min="15"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5" x14ac:dyDescent="0.2">
      <c r="L1" s="511"/>
    </row>
    <row r="2" spans="2:15" x14ac:dyDescent="0.2">
      <c r="B2" s="425" t="s">
        <v>81</v>
      </c>
      <c r="F2" s="426"/>
      <c r="G2" s="426"/>
      <c r="H2" s="426"/>
      <c r="I2" s="512" t="s">
        <v>82</v>
      </c>
      <c r="L2" s="511"/>
    </row>
    <row r="3" spans="2:15" x14ac:dyDescent="0.2">
      <c r="B3" s="425" t="s">
        <v>171</v>
      </c>
      <c r="F3" s="427"/>
      <c r="G3" s="427"/>
      <c r="H3" s="427"/>
      <c r="I3" s="512"/>
      <c r="L3" s="511"/>
      <c r="O3" s="464" t="s">
        <v>84</v>
      </c>
    </row>
    <row r="4" spans="2:15" x14ac:dyDescent="0.2">
      <c r="B4" s="425" t="s">
        <v>83</v>
      </c>
    </row>
    <row r="5" spans="2:15" ht="16" thickBot="1" x14ac:dyDescent="0.25"/>
    <row r="6" spans="2:15" ht="33" customHeight="1" thickBot="1" x14ac:dyDescent="0.25">
      <c r="B6" s="429" t="s">
        <v>71</v>
      </c>
      <c r="C6" s="513">
        <f>INPUT!C12</f>
        <v>0</v>
      </c>
      <c r="D6" s="514"/>
    </row>
    <row r="7" spans="2:15" x14ac:dyDescent="0.2">
      <c r="B7" s="430" t="s">
        <v>85</v>
      </c>
      <c r="C7" s="515" t="str">
        <f>INPUT!C11</f>
        <v>Block 5 Lot 11</v>
      </c>
      <c r="D7" s="516"/>
      <c r="E7" s="425"/>
      <c r="L7" s="431"/>
      <c r="M7" s="431"/>
      <c r="N7" s="431"/>
    </row>
    <row r="8" spans="2:15" x14ac:dyDescent="0.2">
      <c r="B8" s="432" t="s">
        <v>6</v>
      </c>
      <c r="C8" s="517">
        <f>INPUT!C17</f>
        <v>520</v>
      </c>
      <c r="D8" s="518"/>
      <c r="L8" s="431"/>
      <c r="M8" s="431"/>
      <c r="N8" s="431"/>
    </row>
    <row r="9" spans="2:15" x14ac:dyDescent="0.2">
      <c r="B9" s="432" t="s">
        <v>77</v>
      </c>
      <c r="C9" s="519">
        <f>INPUT!C18</f>
        <v>9574000</v>
      </c>
      <c r="D9" s="520"/>
      <c r="L9" s="431"/>
      <c r="M9" s="431"/>
      <c r="N9" s="431"/>
    </row>
    <row r="10" spans="2:15" x14ac:dyDescent="0.2">
      <c r="B10" s="432" t="s">
        <v>86</v>
      </c>
      <c r="C10" s="521" t="s">
        <v>257</v>
      </c>
      <c r="D10" s="522"/>
      <c r="L10" s="431"/>
      <c r="M10" s="431"/>
      <c r="N10" s="431"/>
    </row>
    <row r="11" spans="2:15" x14ac:dyDescent="0.2">
      <c r="B11" s="432"/>
      <c r="C11" s="521" t="s">
        <v>258</v>
      </c>
      <c r="D11" s="522"/>
      <c r="E11" s="431"/>
      <c r="F11" s="431"/>
      <c r="G11" s="431"/>
      <c r="L11" s="431"/>
      <c r="M11" s="431"/>
      <c r="N11" s="431"/>
    </row>
    <row r="12" spans="2:15" ht="16" thickBot="1" x14ac:dyDescent="0.25">
      <c r="B12" s="433"/>
      <c r="C12" s="533" t="s">
        <v>174</v>
      </c>
      <c r="D12" s="534"/>
      <c r="E12" s="431"/>
      <c r="F12" s="431"/>
      <c r="G12" s="431"/>
      <c r="L12" s="434"/>
      <c r="M12" s="434"/>
      <c r="N12" s="434"/>
    </row>
    <row r="13" spans="2:15" x14ac:dyDescent="0.2">
      <c r="E13" s="431"/>
      <c r="F13" s="431"/>
      <c r="G13" s="431"/>
      <c r="H13" s="434"/>
      <c r="I13" s="434"/>
      <c r="J13" s="434"/>
      <c r="K13" s="434"/>
      <c r="L13" s="435" t="s">
        <v>87</v>
      </c>
      <c r="M13" s="436">
        <v>0.02</v>
      </c>
      <c r="N13" s="434"/>
    </row>
    <row r="14" spans="2:15" x14ac:dyDescent="0.2">
      <c r="B14" s="437" t="s">
        <v>88</v>
      </c>
      <c r="C14" s="437"/>
      <c r="E14" s="434"/>
      <c r="F14" s="434"/>
      <c r="G14" s="434"/>
      <c r="H14" s="434"/>
      <c r="I14" s="434"/>
      <c r="J14" s="434"/>
      <c r="K14" s="434"/>
      <c r="L14" s="434"/>
      <c r="M14" s="436">
        <v>0</v>
      </c>
      <c r="N14" s="434"/>
    </row>
    <row r="15" spans="2:15" x14ac:dyDescent="0.2">
      <c r="B15" s="438" t="s">
        <v>194</v>
      </c>
      <c r="C15" s="198"/>
      <c r="D15" s="199">
        <f>C9</f>
        <v>9574000</v>
      </c>
      <c r="E15" s="439">
        <f>C9</f>
        <v>9574000</v>
      </c>
      <c r="F15" s="440">
        <f>D15-E15</f>
        <v>0</v>
      </c>
      <c r="G15" s="440"/>
      <c r="H15" s="440"/>
      <c r="I15" s="434"/>
      <c r="J15" s="434"/>
      <c r="K15" s="434"/>
      <c r="L15" s="434"/>
      <c r="M15" s="434"/>
      <c r="N15" s="434"/>
    </row>
    <row r="16" spans="2:15" x14ac:dyDescent="0.2">
      <c r="B16" s="480" t="s">
        <v>190</v>
      </c>
      <c r="C16" s="198"/>
      <c r="D16" s="199">
        <v>650000</v>
      </c>
      <c r="E16" s="439"/>
      <c r="F16" s="440"/>
      <c r="G16" s="440"/>
      <c r="H16" s="440"/>
      <c r="I16" s="434"/>
      <c r="J16" s="434"/>
      <c r="K16" s="434"/>
      <c r="L16" s="434"/>
      <c r="M16" s="434"/>
      <c r="N16" s="434"/>
    </row>
    <row r="17" spans="2:14" x14ac:dyDescent="0.2">
      <c r="B17" s="441" t="s">
        <v>109</v>
      </c>
      <c r="C17" s="201">
        <f>INPUT!C22</f>
        <v>0.1</v>
      </c>
      <c r="D17" s="200">
        <f>IF(C17&gt;10%,"maximum of 10%",((D15-D16)*C17))</f>
        <v>892400</v>
      </c>
      <c r="E17" s="439"/>
      <c r="F17" s="440"/>
      <c r="G17" s="440"/>
      <c r="H17" s="440"/>
      <c r="I17" s="434"/>
      <c r="J17" s="434"/>
      <c r="K17" s="434"/>
      <c r="L17" s="434"/>
      <c r="M17" s="434"/>
      <c r="N17" s="434"/>
    </row>
    <row r="18" spans="2:14" x14ac:dyDescent="0.2">
      <c r="B18" s="441" t="s">
        <v>89</v>
      </c>
      <c r="C18" s="206">
        <v>0.04</v>
      </c>
      <c r="D18" s="200">
        <f>IF(C18&gt;4%,"maximum of 4%",(D15-D16-D17)*C18)</f>
        <v>321264</v>
      </c>
      <c r="E18" s="439"/>
      <c r="F18" s="440"/>
      <c r="G18" s="440"/>
      <c r="H18" s="440"/>
      <c r="I18" s="434"/>
      <c r="J18" s="434"/>
      <c r="K18" s="434"/>
      <c r="L18" s="434"/>
      <c r="M18" s="434"/>
      <c r="N18" s="434"/>
    </row>
    <row r="19" spans="2:14" x14ac:dyDescent="0.2">
      <c r="B19" s="441" t="s">
        <v>277</v>
      </c>
      <c r="C19" s="206">
        <v>0.05</v>
      </c>
      <c r="D19" s="200">
        <f>IF(C19&gt;5%,"maximum of 5%",((D15-D16-D17-D18)*C19))</f>
        <v>385516.80000000005</v>
      </c>
      <c r="E19" s="439"/>
      <c r="F19" s="440"/>
      <c r="G19" s="440"/>
      <c r="H19" s="440"/>
      <c r="I19" s="434"/>
      <c r="J19" s="434"/>
      <c r="K19" s="434"/>
      <c r="L19" s="434"/>
      <c r="M19" s="434"/>
      <c r="N19" s="434"/>
    </row>
    <row r="20" spans="2:14" x14ac:dyDescent="0.2">
      <c r="B20" s="441" t="s">
        <v>87</v>
      </c>
      <c r="C20" s="201" t="str">
        <f>IF(INPUT!C13="Repeat Buyer","2%",IF(INPUT!C13="New Buyer","0%"))</f>
        <v>0%</v>
      </c>
      <c r="D20" s="210">
        <f>IF(C20&gt;2%,((D15-SUM(D16:D19)))*C20, "maximum of 2%")</f>
        <v>0</v>
      </c>
      <c r="E20" s="439"/>
      <c r="F20" s="440"/>
      <c r="G20" s="440"/>
      <c r="H20" s="440"/>
      <c r="I20" s="434"/>
      <c r="J20" s="434"/>
      <c r="K20" s="434"/>
      <c r="L20" s="434"/>
      <c r="M20" s="434"/>
      <c r="N20" s="434"/>
    </row>
    <row r="21" spans="2:14" x14ac:dyDescent="0.2">
      <c r="B21" s="441"/>
      <c r="C21" s="201"/>
      <c r="D21" s="202">
        <f>D15-SUM(D16:D20)</f>
        <v>7324819.2000000002</v>
      </c>
      <c r="E21" s="459"/>
      <c r="F21" s="478"/>
      <c r="G21" s="478"/>
      <c r="H21" s="440"/>
      <c r="I21" s="434"/>
      <c r="J21" s="434"/>
      <c r="K21" s="434"/>
      <c r="L21" s="434"/>
      <c r="M21" s="434"/>
      <c r="N21" s="434"/>
    </row>
    <row r="22" spans="2:14" x14ac:dyDescent="0.2">
      <c r="B22" s="441" t="s">
        <v>192</v>
      </c>
      <c r="C22" s="201">
        <v>0.05</v>
      </c>
      <c r="D22" s="200">
        <f>((D15-SUM(D16:D20))/1.12*C22)</f>
        <v>327000.85714285716</v>
      </c>
      <c r="E22" s="459"/>
      <c r="F22" s="478"/>
      <c r="G22" s="478"/>
      <c r="H22" s="440"/>
      <c r="I22" s="434"/>
      <c r="J22" s="434"/>
      <c r="K22" s="434"/>
      <c r="L22" s="434"/>
      <c r="M22" s="434"/>
      <c r="N22" s="434"/>
    </row>
    <row r="23" spans="2:14" ht="16" thickBot="1" x14ac:dyDescent="0.25">
      <c r="B23" s="442" t="s">
        <v>90</v>
      </c>
      <c r="C23" s="201"/>
      <c r="D23" s="205">
        <f>SUM(D21:D22)</f>
        <v>7651820.0571428575</v>
      </c>
      <c r="E23" s="459"/>
      <c r="F23" s="478"/>
      <c r="G23" s="478"/>
      <c r="H23" s="440"/>
      <c r="I23" s="434"/>
      <c r="J23" s="434"/>
      <c r="K23" s="434"/>
      <c r="L23" s="434"/>
      <c r="M23" s="434"/>
      <c r="N23" s="434"/>
    </row>
    <row r="24" spans="2:14" ht="17" thickTop="1" thickBot="1" x14ac:dyDescent="0.25"/>
    <row r="25" spans="2:14" ht="31" thickBot="1" x14ac:dyDescent="0.25">
      <c r="B25" s="525" t="s">
        <v>91</v>
      </c>
      <c r="C25" s="526"/>
      <c r="D25" s="444" t="s">
        <v>92</v>
      </c>
      <c r="E25" s="444" t="s">
        <v>93</v>
      </c>
      <c r="F25" s="445" t="s">
        <v>200</v>
      </c>
      <c r="G25" s="446" t="s">
        <v>184</v>
      </c>
      <c r="H25" s="446" t="s">
        <v>202</v>
      </c>
      <c r="I25" s="448" t="s">
        <v>94</v>
      </c>
      <c r="J25" s="434"/>
      <c r="K25" s="434"/>
      <c r="L25" s="434"/>
      <c r="M25" s="434"/>
      <c r="N25" s="434"/>
    </row>
    <row r="26" spans="2:14" x14ac:dyDescent="0.2">
      <c r="B26" s="527">
        <v>0</v>
      </c>
      <c r="C26" s="528"/>
      <c r="D26" s="472">
        <f>INPUT!C16</f>
        <v>44200</v>
      </c>
      <c r="E26" s="473" t="s">
        <v>46</v>
      </c>
      <c r="F26" s="186">
        <v>50000</v>
      </c>
      <c r="G26" s="187">
        <v>0</v>
      </c>
      <c r="H26" s="187">
        <f>SUM(F26:G26)</f>
        <v>50000</v>
      </c>
      <c r="I26" s="188">
        <f>D23-H26</f>
        <v>7601820.0571428575</v>
      </c>
      <c r="J26" s="450" t="s">
        <v>95</v>
      </c>
      <c r="K26" s="434"/>
      <c r="L26" s="439">
        <v>56000</v>
      </c>
      <c r="M26" s="440">
        <f>L26-F26</f>
        <v>6000</v>
      </c>
      <c r="N26" s="434"/>
    </row>
    <row r="27" spans="2:14" x14ac:dyDescent="0.2">
      <c r="B27" s="509">
        <v>1</v>
      </c>
      <c r="C27" s="510"/>
      <c r="D27" s="424">
        <f>EDATE(D26,1)</f>
        <v>44231</v>
      </c>
      <c r="E27" s="453" t="s">
        <v>39</v>
      </c>
      <c r="F27" s="189">
        <f>(((D15-SUM(D16:D20))*20%)-F26)/1</f>
        <v>1414963.84</v>
      </c>
      <c r="G27" s="190">
        <f>(D22*20%)/1</f>
        <v>65400.171428571433</v>
      </c>
      <c r="H27" s="190">
        <f>SUM(F27:G27)</f>
        <v>1480364.0114285715</v>
      </c>
      <c r="I27" s="191">
        <f>I26-H27</f>
        <v>6121456.0457142862</v>
      </c>
      <c r="J27" s="450"/>
      <c r="K27" s="434"/>
      <c r="L27" s="439"/>
      <c r="M27" s="440"/>
      <c r="N27" s="434"/>
    </row>
    <row r="28" spans="2:14" x14ac:dyDescent="0.2">
      <c r="B28" s="509">
        <v>2</v>
      </c>
      <c r="C28" s="510"/>
      <c r="D28" s="474">
        <f>EDATE(D27,1)</f>
        <v>44259</v>
      </c>
      <c r="E28" s="452" t="s">
        <v>170</v>
      </c>
      <c r="F28" s="192">
        <f>((D15-SUM(D16:D20))*30%)/60</f>
        <v>36624.095999999998</v>
      </c>
      <c r="G28" s="193">
        <f>(D22*30%)/60</f>
        <v>1635.0042857142857</v>
      </c>
      <c r="H28" s="190">
        <f t="shared" ref="H28:H87" si="0">SUM(F28:G28)</f>
        <v>38259.100285714281</v>
      </c>
      <c r="I28" s="191">
        <f t="shared" ref="I28:I88" si="1">I27-H28</f>
        <v>6083196.9454285717</v>
      </c>
      <c r="J28" s="450"/>
      <c r="K28" s="434"/>
      <c r="L28" s="439"/>
      <c r="M28" s="440"/>
      <c r="N28" s="434"/>
    </row>
    <row r="29" spans="2:14" x14ac:dyDescent="0.2">
      <c r="B29" s="509">
        <v>3</v>
      </c>
      <c r="C29" s="510"/>
      <c r="D29" s="474">
        <f t="shared" ref="D29:D88" si="2">EDATE(D28,1)</f>
        <v>44290</v>
      </c>
      <c r="E29" s="452" t="s">
        <v>110</v>
      </c>
      <c r="F29" s="192">
        <f>F28</f>
        <v>36624.095999999998</v>
      </c>
      <c r="G29" s="193">
        <f>G28</f>
        <v>1635.0042857142857</v>
      </c>
      <c r="H29" s="190">
        <f t="shared" si="0"/>
        <v>38259.100285714281</v>
      </c>
      <c r="I29" s="191">
        <f t="shared" si="1"/>
        <v>6044937.8451428572</v>
      </c>
      <c r="J29" s="450"/>
      <c r="K29" s="434"/>
      <c r="L29" s="439"/>
      <c r="M29" s="440"/>
      <c r="N29" s="434"/>
    </row>
    <row r="30" spans="2:14" x14ac:dyDescent="0.2">
      <c r="B30" s="509">
        <v>4</v>
      </c>
      <c r="C30" s="510"/>
      <c r="D30" s="474">
        <f t="shared" si="2"/>
        <v>44320</v>
      </c>
      <c r="E30" s="452" t="s">
        <v>111</v>
      </c>
      <c r="F30" s="192">
        <f t="shared" ref="F30:G85" si="3">F29</f>
        <v>36624.095999999998</v>
      </c>
      <c r="G30" s="193">
        <f t="shared" si="3"/>
        <v>1635.0042857142857</v>
      </c>
      <c r="H30" s="190">
        <f t="shared" si="0"/>
        <v>38259.100285714281</v>
      </c>
      <c r="I30" s="191">
        <f t="shared" si="1"/>
        <v>6006678.7448571427</v>
      </c>
      <c r="J30" s="450"/>
      <c r="K30" s="434"/>
      <c r="L30" s="439"/>
      <c r="M30" s="440"/>
      <c r="N30" s="434"/>
    </row>
    <row r="31" spans="2:14" x14ac:dyDescent="0.2">
      <c r="B31" s="509">
        <v>5</v>
      </c>
      <c r="C31" s="510"/>
      <c r="D31" s="474">
        <f t="shared" si="2"/>
        <v>44351</v>
      </c>
      <c r="E31" s="452" t="s">
        <v>112</v>
      </c>
      <c r="F31" s="192">
        <f t="shared" si="3"/>
        <v>36624.095999999998</v>
      </c>
      <c r="G31" s="193">
        <f t="shared" si="3"/>
        <v>1635.0042857142857</v>
      </c>
      <c r="H31" s="190">
        <f t="shared" si="0"/>
        <v>38259.100285714281</v>
      </c>
      <c r="I31" s="191">
        <f t="shared" si="1"/>
        <v>5968419.6445714282</v>
      </c>
      <c r="J31" s="450"/>
      <c r="K31" s="434"/>
      <c r="L31" s="439"/>
      <c r="M31" s="440"/>
      <c r="N31" s="434"/>
    </row>
    <row r="32" spans="2:14" x14ac:dyDescent="0.2">
      <c r="B32" s="509">
        <v>6</v>
      </c>
      <c r="C32" s="510"/>
      <c r="D32" s="474">
        <f t="shared" si="2"/>
        <v>44381</v>
      </c>
      <c r="E32" s="452" t="s">
        <v>113</v>
      </c>
      <c r="F32" s="192">
        <f t="shared" si="3"/>
        <v>36624.095999999998</v>
      </c>
      <c r="G32" s="193">
        <f t="shared" si="3"/>
        <v>1635.0042857142857</v>
      </c>
      <c r="H32" s="190">
        <f t="shared" si="0"/>
        <v>38259.100285714281</v>
      </c>
      <c r="I32" s="191">
        <f t="shared" si="1"/>
        <v>5930160.5442857137</v>
      </c>
      <c r="J32" s="450"/>
      <c r="K32" s="434"/>
      <c r="L32" s="439"/>
      <c r="M32" s="440"/>
      <c r="N32" s="434"/>
    </row>
    <row r="33" spans="2:14" x14ac:dyDescent="0.2">
      <c r="B33" s="509">
        <v>7</v>
      </c>
      <c r="C33" s="510"/>
      <c r="D33" s="474">
        <f t="shared" si="2"/>
        <v>44412</v>
      </c>
      <c r="E33" s="452" t="s">
        <v>114</v>
      </c>
      <c r="F33" s="192">
        <f t="shared" si="3"/>
        <v>36624.095999999998</v>
      </c>
      <c r="G33" s="193">
        <f t="shared" si="3"/>
        <v>1635.0042857142857</v>
      </c>
      <c r="H33" s="190">
        <f t="shared" si="0"/>
        <v>38259.100285714281</v>
      </c>
      <c r="I33" s="191">
        <f t="shared" si="1"/>
        <v>5891901.4439999992</v>
      </c>
      <c r="J33" s="450"/>
      <c r="K33" s="434"/>
      <c r="L33" s="439"/>
      <c r="M33" s="440"/>
      <c r="N33" s="434"/>
    </row>
    <row r="34" spans="2:14" x14ac:dyDescent="0.2">
      <c r="B34" s="509">
        <v>8</v>
      </c>
      <c r="C34" s="510"/>
      <c r="D34" s="474">
        <f t="shared" si="2"/>
        <v>44443</v>
      </c>
      <c r="E34" s="452" t="s">
        <v>115</v>
      </c>
      <c r="F34" s="192">
        <f t="shared" si="3"/>
        <v>36624.095999999998</v>
      </c>
      <c r="G34" s="193">
        <f t="shared" si="3"/>
        <v>1635.0042857142857</v>
      </c>
      <c r="H34" s="190">
        <f t="shared" si="0"/>
        <v>38259.100285714281</v>
      </c>
      <c r="I34" s="191">
        <f t="shared" si="1"/>
        <v>5853642.3437142847</v>
      </c>
      <c r="J34" s="450"/>
      <c r="K34" s="434"/>
      <c r="L34" s="439"/>
      <c r="M34" s="440"/>
      <c r="N34" s="434"/>
    </row>
    <row r="35" spans="2:14" x14ac:dyDescent="0.2">
      <c r="B35" s="509">
        <v>9</v>
      </c>
      <c r="C35" s="510"/>
      <c r="D35" s="474">
        <f t="shared" si="2"/>
        <v>44473</v>
      </c>
      <c r="E35" s="452" t="s">
        <v>116</v>
      </c>
      <c r="F35" s="192">
        <f t="shared" si="3"/>
        <v>36624.095999999998</v>
      </c>
      <c r="G35" s="193">
        <f t="shared" si="3"/>
        <v>1635.0042857142857</v>
      </c>
      <c r="H35" s="190">
        <f t="shared" si="0"/>
        <v>38259.100285714281</v>
      </c>
      <c r="I35" s="191">
        <f t="shared" si="1"/>
        <v>5815383.2434285702</v>
      </c>
      <c r="J35" s="450"/>
      <c r="K35" s="434"/>
      <c r="L35" s="439"/>
      <c r="M35" s="440"/>
      <c r="N35" s="434"/>
    </row>
    <row r="36" spans="2:14" x14ac:dyDescent="0.2">
      <c r="B36" s="509">
        <v>10</v>
      </c>
      <c r="C36" s="510"/>
      <c r="D36" s="474">
        <f t="shared" si="2"/>
        <v>44504</v>
      </c>
      <c r="E36" s="452" t="s">
        <v>117</v>
      </c>
      <c r="F36" s="192">
        <f t="shared" si="3"/>
        <v>36624.095999999998</v>
      </c>
      <c r="G36" s="193">
        <f t="shared" si="3"/>
        <v>1635.0042857142857</v>
      </c>
      <c r="H36" s="190">
        <f t="shared" si="0"/>
        <v>38259.100285714281</v>
      </c>
      <c r="I36" s="191">
        <f t="shared" si="1"/>
        <v>5777124.1431428557</v>
      </c>
      <c r="J36" s="450"/>
      <c r="K36" s="434"/>
      <c r="L36" s="439"/>
      <c r="M36" s="440"/>
      <c r="N36" s="434"/>
    </row>
    <row r="37" spans="2:14" x14ac:dyDescent="0.2">
      <c r="B37" s="509">
        <v>11</v>
      </c>
      <c r="C37" s="510"/>
      <c r="D37" s="474">
        <f t="shared" si="2"/>
        <v>44534</v>
      </c>
      <c r="E37" s="452" t="s">
        <v>118</v>
      </c>
      <c r="F37" s="192">
        <f t="shared" si="3"/>
        <v>36624.095999999998</v>
      </c>
      <c r="G37" s="193">
        <f t="shared" si="3"/>
        <v>1635.0042857142857</v>
      </c>
      <c r="H37" s="190">
        <f t="shared" si="0"/>
        <v>38259.100285714281</v>
      </c>
      <c r="I37" s="191">
        <f t="shared" si="1"/>
        <v>5738865.0428571412</v>
      </c>
      <c r="J37" s="450"/>
      <c r="K37" s="434"/>
      <c r="L37" s="439"/>
      <c r="M37" s="440"/>
      <c r="N37" s="434"/>
    </row>
    <row r="38" spans="2:14" x14ac:dyDescent="0.2">
      <c r="B38" s="509">
        <v>12</v>
      </c>
      <c r="C38" s="510"/>
      <c r="D38" s="474">
        <f t="shared" si="2"/>
        <v>44565</v>
      </c>
      <c r="E38" s="452" t="s">
        <v>119</v>
      </c>
      <c r="F38" s="192">
        <f t="shared" si="3"/>
        <v>36624.095999999998</v>
      </c>
      <c r="G38" s="193">
        <f t="shared" si="3"/>
        <v>1635.0042857142857</v>
      </c>
      <c r="H38" s="190">
        <f t="shared" si="0"/>
        <v>38259.100285714281</v>
      </c>
      <c r="I38" s="191">
        <f t="shared" si="1"/>
        <v>5700605.9425714267</v>
      </c>
      <c r="J38" s="450"/>
      <c r="K38" s="434"/>
      <c r="L38" s="439"/>
      <c r="M38" s="440"/>
      <c r="N38" s="434"/>
    </row>
    <row r="39" spans="2:14" x14ac:dyDescent="0.2">
      <c r="B39" s="509">
        <v>13</v>
      </c>
      <c r="C39" s="510"/>
      <c r="D39" s="474">
        <f t="shared" si="2"/>
        <v>44596</v>
      </c>
      <c r="E39" s="452" t="s">
        <v>120</v>
      </c>
      <c r="F39" s="192">
        <f t="shared" si="3"/>
        <v>36624.095999999998</v>
      </c>
      <c r="G39" s="193">
        <f t="shared" si="3"/>
        <v>1635.0042857142857</v>
      </c>
      <c r="H39" s="190">
        <f t="shared" si="0"/>
        <v>38259.100285714281</v>
      </c>
      <c r="I39" s="191">
        <f t="shared" si="1"/>
        <v>5662346.8422857122</v>
      </c>
      <c r="J39" s="450"/>
      <c r="K39" s="434"/>
      <c r="L39" s="439"/>
      <c r="M39" s="440"/>
      <c r="N39" s="434"/>
    </row>
    <row r="40" spans="2:14" x14ac:dyDescent="0.2">
      <c r="B40" s="509">
        <v>14</v>
      </c>
      <c r="C40" s="510"/>
      <c r="D40" s="474">
        <f t="shared" si="2"/>
        <v>44624</v>
      </c>
      <c r="E40" s="452" t="s">
        <v>121</v>
      </c>
      <c r="F40" s="192">
        <f t="shared" si="3"/>
        <v>36624.095999999998</v>
      </c>
      <c r="G40" s="193">
        <f t="shared" si="3"/>
        <v>1635.0042857142857</v>
      </c>
      <c r="H40" s="190">
        <f t="shared" si="0"/>
        <v>38259.100285714281</v>
      </c>
      <c r="I40" s="191">
        <f t="shared" si="1"/>
        <v>5624087.7419999978</v>
      </c>
      <c r="J40" s="450"/>
      <c r="K40" s="434"/>
      <c r="L40" s="439"/>
      <c r="M40" s="440"/>
      <c r="N40" s="434"/>
    </row>
    <row r="41" spans="2:14" x14ac:dyDescent="0.2">
      <c r="B41" s="509">
        <v>15</v>
      </c>
      <c r="C41" s="510"/>
      <c r="D41" s="474">
        <f t="shared" si="2"/>
        <v>44655</v>
      </c>
      <c r="E41" s="452" t="s">
        <v>122</v>
      </c>
      <c r="F41" s="192">
        <f t="shared" si="3"/>
        <v>36624.095999999998</v>
      </c>
      <c r="G41" s="193">
        <f t="shared" si="3"/>
        <v>1635.0042857142857</v>
      </c>
      <c r="H41" s="190">
        <f t="shared" si="0"/>
        <v>38259.100285714281</v>
      </c>
      <c r="I41" s="191">
        <f t="shared" si="1"/>
        <v>5585828.6417142833</v>
      </c>
      <c r="J41" s="450"/>
      <c r="K41" s="434"/>
      <c r="L41" s="439"/>
      <c r="M41" s="440"/>
      <c r="N41" s="434"/>
    </row>
    <row r="42" spans="2:14" x14ac:dyDescent="0.2">
      <c r="B42" s="509">
        <v>16</v>
      </c>
      <c r="C42" s="510"/>
      <c r="D42" s="474">
        <f t="shared" si="2"/>
        <v>44685</v>
      </c>
      <c r="E42" s="452" t="s">
        <v>123</v>
      </c>
      <c r="F42" s="192">
        <f t="shared" si="3"/>
        <v>36624.095999999998</v>
      </c>
      <c r="G42" s="193">
        <f t="shared" si="3"/>
        <v>1635.0042857142857</v>
      </c>
      <c r="H42" s="190">
        <f t="shared" si="0"/>
        <v>38259.100285714281</v>
      </c>
      <c r="I42" s="191">
        <f t="shared" si="1"/>
        <v>5547569.5414285688</v>
      </c>
      <c r="J42" s="450"/>
      <c r="K42" s="434"/>
      <c r="L42" s="439"/>
      <c r="M42" s="440"/>
      <c r="N42" s="434"/>
    </row>
    <row r="43" spans="2:14" x14ac:dyDescent="0.2">
      <c r="B43" s="509">
        <v>17</v>
      </c>
      <c r="C43" s="510"/>
      <c r="D43" s="474">
        <f t="shared" si="2"/>
        <v>44716</v>
      </c>
      <c r="E43" s="452" t="s">
        <v>124</v>
      </c>
      <c r="F43" s="192">
        <f t="shared" si="3"/>
        <v>36624.095999999998</v>
      </c>
      <c r="G43" s="193">
        <f t="shared" si="3"/>
        <v>1635.0042857142857</v>
      </c>
      <c r="H43" s="190">
        <f t="shared" si="0"/>
        <v>38259.100285714281</v>
      </c>
      <c r="I43" s="191">
        <f t="shared" si="1"/>
        <v>5509310.4411428543</v>
      </c>
      <c r="J43" s="450"/>
      <c r="K43" s="434"/>
      <c r="L43" s="439"/>
      <c r="M43" s="440"/>
      <c r="N43" s="434"/>
    </row>
    <row r="44" spans="2:14" x14ac:dyDescent="0.2">
      <c r="B44" s="509">
        <v>18</v>
      </c>
      <c r="C44" s="510"/>
      <c r="D44" s="474">
        <f t="shared" si="2"/>
        <v>44746</v>
      </c>
      <c r="E44" s="452" t="s">
        <v>125</v>
      </c>
      <c r="F44" s="192">
        <f t="shared" si="3"/>
        <v>36624.095999999998</v>
      </c>
      <c r="G44" s="193">
        <f t="shared" si="3"/>
        <v>1635.0042857142857</v>
      </c>
      <c r="H44" s="190">
        <f t="shared" si="0"/>
        <v>38259.100285714281</v>
      </c>
      <c r="I44" s="191">
        <f t="shared" si="1"/>
        <v>5471051.3408571398</v>
      </c>
      <c r="J44" s="450"/>
      <c r="K44" s="434"/>
      <c r="L44" s="439"/>
      <c r="M44" s="440"/>
      <c r="N44" s="434"/>
    </row>
    <row r="45" spans="2:14" x14ac:dyDescent="0.2">
      <c r="B45" s="509">
        <v>19</v>
      </c>
      <c r="C45" s="510"/>
      <c r="D45" s="474">
        <f t="shared" si="2"/>
        <v>44777</v>
      </c>
      <c r="E45" s="452" t="s">
        <v>126</v>
      </c>
      <c r="F45" s="192">
        <f t="shared" si="3"/>
        <v>36624.095999999998</v>
      </c>
      <c r="G45" s="193">
        <f t="shared" si="3"/>
        <v>1635.0042857142857</v>
      </c>
      <c r="H45" s="190">
        <f t="shared" si="0"/>
        <v>38259.100285714281</v>
      </c>
      <c r="I45" s="191">
        <f t="shared" si="1"/>
        <v>5432792.2405714253</v>
      </c>
      <c r="J45" s="450"/>
      <c r="K45" s="434"/>
      <c r="L45" s="439"/>
      <c r="M45" s="440"/>
      <c r="N45" s="434"/>
    </row>
    <row r="46" spans="2:14" x14ac:dyDescent="0.2">
      <c r="B46" s="509">
        <v>20</v>
      </c>
      <c r="C46" s="510"/>
      <c r="D46" s="474">
        <f t="shared" si="2"/>
        <v>44808</v>
      </c>
      <c r="E46" s="452" t="s">
        <v>127</v>
      </c>
      <c r="F46" s="192">
        <f t="shared" si="3"/>
        <v>36624.095999999998</v>
      </c>
      <c r="G46" s="193">
        <f t="shared" si="3"/>
        <v>1635.0042857142857</v>
      </c>
      <c r="H46" s="190">
        <f t="shared" si="0"/>
        <v>38259.100285714281</v>
      </c>
      <c r="I46" s="191">
        <f t="shared" si="1"/>
        <v>5394533.1402857108</v>
      </c>
      <c r="J46" s="450"/>
      <c r="K46" s="434"/>
      <c r="L46" s="439"/>
      <c r="M46" s="440"/>
      <c r="N46" s="434"/>
    </row>
    <row r="47" spans="2:14" x14ac:dyDescent="0.2">
      <c r="B47" s="509">
        <v>21</v>
      </c>
      <c r="C47" s="510"/>
      <c r="D47" s="474">
        <f t="shared" si="2"/>
        <v>44838</v>
      </c>
      <c r="E47" s="452" t="s">
        <v>128</v>
      </c>
      <c r="F47" s="192">
        <f t="shared" si="3"/>
        <v>36624.095999999998</v>
      </c>
      <c r="G47" s="193">
        <f t="shared" si="3"/>
        <v>1635.0042857142857</v>
      </c>
      <c r="H47" s="190">
        <f t="shared" si="0"/>
        <v>38259.100285714281</v>
      </c>
      <c r="I47" s="191">
        <f t="shared" si="1"/>
        <v>5356274.0399999963</v>
      </c>
      <c r="J47" s="450"/>
      <c r="K47" s="434"/>
      <c r="L47" s="439"/>
      <c r="M47" s="440"/>
      <c r="N47" s="434"/>
    </row>
    <row r="48" spans="2:14" x14ac:dyDescent="0.2">
      <c r="B48" s="509">
        <v>22</v>
      </c>
      <c r="C48" s="510"/>
      <c r="D48" s="474">
        <f t="shared" si="2"/>
        <v>44869</v>
      </c>
      <c r="E48" s="452" t="s">
        <v>129</v>
      </c>
      <c r="F48" s="192">
        <f t="shared" si="3"/>
        <v>36624.095999999998</v>
      </c>
      <c r="G48" s="193">
        <f t="shared" si="3"/>
        <v>1635.0042857142857</v>
      </c>
      <c r="H48" s="190">
        <f t="shared" si="0"/>
        <v>38259.100285714281</v>
      </c>
      <c r="I48" s="191">
        <f t="shared" si="1"/>
        <v>5318014.9397142818</v>
      </c>
      <c r="J48" s="450"/>
      <c r="K48" s="434"/>
      <c r="L48" s="439"/>
      <c r="M48" s="440"/>
      <c r="N48" s="434"/>
    </row>
    <row r="49" spans="2:14" x14ac:dyDescent="0.2">
      <c r="B49" s="509">
        <v>23</v>
      </c>
      <c r="C49" s="510"/>
      <c r="D49" s="474">
        <f t="shared" si="2"/>
        <v>44899</v>
      </c>
      <c r="E49" s="452" t="s">
        <v>130</v>
      </c>
      <c r="F49" s="192">
        <f>F48</f>
        <v>36624.095999999998</v>
      </c>
      <c r="G49" s="193">
        <f t="shared" si="3"/>
        <v>1635.0042857142857</v>
      </c>
      <c r="H49" s="190">
        <f t="shared" si="0"/>
        <v>38259.100285714281</v>
      </c>
      <c r="I49" s="191">
        <f t="shared" si="1"/>
        <v>5279755.8394285673</v>
      </c>
      <c r="J49" s="450"/>
      <c r="K49" s="434"/>
      <c r="L49" s="439"/>
      <c r="M49" s="440"/>
      <c r="N49" s="434"/>
    </row>
    <row r="50" spans="2:14" x14ac:dyDescent="0.2">
      <c r="B50" s="509">
        <v>24</v>
      </c>
      <c r="C50" s="510"/>
      <c r="D50" s="474">
        <f t="shared" si="2"/>
        <v>44930</v>
      </c>
      <c r="E50" s="452" t="s">
        <v>131</v>
      </c>
      <c r="F50" s="192">
        <f t="shared" si="3"/>
        <v>36624.095999999998</v>
      </c>
      <c r="G50" s="193">
        <f t="shared" si="3"/>
        <v>1635.0042857142857</v>
      </c>
      <c r="H50" s="190">
        <f t="shared" si="0"/>
        <v>38259.100285714281</v>
      </c>
      <c r="I50" s="191">
        <f t="shared" si="1"/>
        <v>5241496.7391428528</v>
      </c>
      <c r="J50" s="450"/>
      <c r="K50" s="434"/>
      <c r="L50" s="439"/>
      <c r="M50" s="440"/>
      <c r="N50" s="434"/>
    </row>
    <row r="51" spans="2:14" x14ac:dyDescent="0.2">
      <c r="B51" s="509">
        <v>25</v>
      </c>
      <c r="C51" s="510"/>
      <c r="D51" s="474">
        <f t="shared" si="2"/>
        <v>44961</v>
      </c>
      <c r="E51" s="452" t="s">
        <v>132</v>
      </c>
      <c r="F51" s="192">
        <f t="shared" si="3"/>
        <v>36624.095999999998</v>
      </c>
      <c r="G51" s="193">
        <f t="shared" si="3"/>
        <v>1635.0042857142857</v>
      </c>
      <c r="H51" s="190">
        <f t="shared" si="0"/>
        <v>38259.100285714281</v>
      </c>
      <c r="I51" s="191">
        <f t="shared" si="1"/>
        <v>5203237.6388571383</v>
      </c>
      <c r="J51" s="450"/>
      <c r="K51" s="434"/>
      <c r="L51" s="439"/>
      <c r="M51" s="440"/>
      <c r="N51" s="434"/>
    </row>
    <row r="52" spans="2:14" x14ac:dyDescent="0.2">
      <c r="B52" s="509">
        <v>26</v>
      </c>
      <c r="C52" s="510"/>
      <c r="D52" s="474">
        <f t="shared" si="2"/>
        <v>44989</v>
      </c>
      <c r="E52" s="452" t="s">
        <v>133</v>
      </c>
      <c r="F52" s="192">
        <f t="shared" si="3"/>
        <v>36624.095999999998</v>
      </c>
      <c r="G52" s="193">
        <f t="shared" si="3"/>
        <v>1635.0042857142857</v>
      </c>
      <c r="H52" s="190">
        <f t="shared" si="0"/>
        <v>38259.100285714281</v>
      </c>
      <c r="I52" s="191">
        <f t="shared" si="1"/>
        <v>5164978.5385714239</v>
      </c>
      <c r="J52" s="450"/>
      <c r="K52" s="434"/>
      <c r="L52" s="439"/>
      <c r="M52" s="440"/>
      <c r="N52" s="434"/>
    </row>
    <row r="53" spans="2:14" x14ac:dyDescent="0.2">
      <c r="B53" s="509">
        <v>27</v>
      </c>
      <c r="C53" s="510"/>
      <c r="D53" s="474">
        <f t="shared" si="2"/>
        <v>45020</v>
      </c>
      <c r="E53" s="452" t="s">
        <v>134</v>
      </c>
      <c r="F53" s="192">
        <f t="shared" si="3"/>
        <v>36624.095999999998</v>
      </c>
      <c r="G53" s="193">
        <f t="shared" si="3"/>
        <v>1635.0042857142857</v>
      </c>
      <c r="H53" s="190">
        <f t="shared" si="0"/>
        <v>38259.100285714281</v>
      </c>
      <c r="I53" s="191">
        <f t="shared" si="1"/>
        <v>5126719.4382857094</v>
      </c>
      <c r="J53" s="450"/>
      <c r="K53" s="434"/>
      <c r="L53" s="439"/>
      <c r="M53" s="440"/>
      <c r="N53" s="434"/>
    </row>
    <row r="54" spans="2:14" x14ac:dyDescent="0.2">
      <c r="B54" s="509">
        <v>28</v>
      </c>
      <c r="C54" s="510"/>
      <c r="D54" s="474">
        <f t="shared" si="2"/>
        <v>45050</v>
      </c>
      <c r="E54" s="452" t="s">
        <v>135</v>
      </c>
      <c r="F54" s="192">
        <f t="shared" si="3"/>
        <v>36624.095999999998</v>
      </c>
      <c r="G54" s="193">
        <f t="shared" si="3"/>
        <v>1635.0042857142857</v>
      </c>
      <c r="H54" s="190">
        <f t="shared" si="0"/>
        <v>38259.100285714281</v>
      </c>
      <c r="I54" s="191">
        <f t="shared" si="1"/>
        <v>5088460.3379999949</v>
      </c>
      <c r="J54" s="450"/>
      <c r="K54" s="434"/>
      <c r="L54" s="439"/>
      <c r="M54" s="440"/>
      <c r="N54" s="434"/>
    </row>
    <row r="55" spans="2:14" x14ac:dyDescent="0.2">
      <c r="B55" s="509">
        <v>29</v>
      </c>
      <c r="C55" s="510"/>
      <c r="D55" s="474">
        <f t="shared" si="2"/>
        <v>45081</v>
      </c>
      <c r="E55" s="452" t="s">
        <v>136</v>
      </c>
      <c r="F55" s="192">
        <f t="shared" si="3"/>
        <v>36624.095999999998</v>
      </c>
      <c r="G55" s="193">
        <f t="shared" si="3"/>
        <v>1635.0042857142857</v>
      </c>
      <c r="H55" s="190">
        <f t="shared" si="0"/>
        <v>38259.100285714281</v>
      </c>
      <c r="I55" s="191">
        <f t="shared" si="1"/>
        <v>5050201.2377142804</v>
      </c>
      <c r="J55" s="450"/>
      <c r="K55" s="434"/>
      <c r="L55" s="439"/>
      <c r="M55" s="440"/>
      <c r="N55" s="434"/>
    </row>
    <row r="56" spans="2:14" x14ac:dyDescent="0.2">
      <c r="B56" s="509">
        <v>30</v>
      </c>
      <c r="C56" s="510"/>
      <c r="D56" s="474">
        <f t="shared" si="2"/>
        <v>45111</v>
      </c>
      <c r="E56" s="452" t="s">
        <v>137</v>
      </c>
      <c r="F56" s="192">
        <f t="shared" si="3"/>
        <v>36624.095999999998</v>
      </c>
      <c r="G56" s="193">
        <f t="shared" si="3"/>
        <v>1635.0042857142857</v>
      </c>
      <c r="H56" s="190">
        <f t="shared" si="0"/>
        <v>38259.100285714281</v>
      </c>
      <c r="I56" s="191">
        <f t="shared" si="1"/>
        <v>5011942.1374285659</v>
      </c>
      <c r="J56" s="450"/>
      <c r="K56" s="434"/>
      <c r="L56" s="439"/>
      <c r="M56" s="440"/>
      <c r="N56" s="434"/>
    </row>
    <row r="57" spans="2:14" x14ac:dyDescent="0.2">
      <c r="B57" s="509">
        <v>31</v>
      </c>
      <c r="C57" s="510"/>
      <c r="D57" s="474">
        <f t="shared" si="2"/>
        <v>45142</v>
      </c>
      <c r="E57" s="452" t="s">
        <v>138</v>
      </c>
      <c r="F57" s="192">
        <f t="shared" si="3"/>
        <v>36624.095999999998</v>
      </c>
      <c r="G57" s="193">
        <f t="shared" si="3"/>
        <v>1635.0042857142857</v>
      </c>
      <c r="H57" s="190">
        <f t="shared" si="0"/>
        <v>38259.100285714281</v>
      </c>
      <c r="I57" s="191">
        <f t="shared" si="1"/>
        <v>4973683.0371428514</v>
      </c>
      <c r="J57" s="450"/>
      <c r="K57" s="434"/>
      <c r="L57" s="439"/>
      <c r="M57" s="440"/>
      <c r="N57" s="434"/>
    </row>
    <row r="58" spans="2:14" x14ac:dyDescent="0.2">
      <c r="B58" s="509">
        <v>32</v>
      </c>
      <c r="C58" s="510"/>
      <c r="D58" s="474">
        <f t="shared" si="2"/>
        <v>45173</v>
      </c>
      <c r="E58" s="452" t="s">
        <v>139</v>
      </c>
      <c r="F58" s="192">
        <f t="shared" si="3"/>
        <v>36624.095999999998</v>
      </c>
      <c r="G58" s="193">
        <f t="shared" si="3"/>
        <v>1635.0042857142857</v>
      </c>
      <c r="H58" s="190">
        <f t="shared" si="0"/>
        <v>38259.100285714281</v>
      </c>
      <c r="I58" s="191">
        <f t="shared" si="1"/>
        <v>4935423.9368571369</v>
      </c>
      <c r="J58" s="450"/>
      <c r="K58" s="434"/>
      <c r="L58" s="439"/>
      <c r="M58" s="440"/>
      <c r="N58" s="434"/>
    </row>
    <row r="59" spans="2:14" x14ac:dyDescent="0.2">
      <c r="B59" s="509">
        <v>33</v>
      </c>
      <c r="C59" s="510"/>
      <c r="D59" s="474">
        <f t="shared" si="2"/>
        <v>45203</v>
      </c>
      <c r="E59" s="452" t="s">
        <v>140</v>
      </c>
      <c r="F59" s="192">
        <f t="shared" si="3"/>
        <v>36624.095999999998</v>
      </c>
      <c r="G59" s="193">
        <f t="shared" si="3"/>
        <v>1635.0042857142857</v>
      </c>
      <c r="H59" s="190">
        <f t="shared" si="0"/>
        <v>38259.100285714281</v>
      </c>
      <c r="I59" s="191">
        <f t="shared" si="1"/>
        <v>4897164.8365714224</v>
      </c>
      <c r="J59" s="450"/>
      <c r="K59" s="434"/>
      <c r="L59" s="439"/>
      <c r="M59" s="440"/>
      <c r="N59" s="434"/>
    </row>
    <row r="60" spans="2:14" x14ac:dyDescent="0.2">
      <c r="B60" s="509">
        <v>34</v>
      </c>
      <c r="C60" s="510"/>
      <c r="D60" s="474">
        <f t="shared" si="2"/>
        <v>45234</v>
      </c>
      <c r="E60" s="452" t="s">
        <v>141</v>
      </c>
      <c r="F60" s="192">
        <f t="shared" si="3"/>
        <v>36624.095999999998</v>
      </c>
      <c r="G60" s="193">
        <f t="shared" si="3"/>
        <v>1635.0042857142857</v>
      </c>
      <c r="H60" s="190">
        <f t="shared" si="0"/>
        <v>38259.100285714281</v>
      </c>
      <c r="I60" s="191">
        <f t="shared" si="1"/>
        <v>4858905.7362857079</v>
      </c>
      <c r="J60" s="450"/>
      <c r="K60" s="434"/>
      <c r="L60" s="439"/>
      <c r="M60" s="440"/>
      <c r="N60" s="434"/>
    </row>
    <row r="61" spans="2:14" x14ac:dyDescent="0.2">
      <c r="B61" s="509">
        <v>35</v>
      </c>
      <c r="C61" s="510"/>
      <c r="D61" s="474">
        <f t="shared" si="2"/>
        <v>45264</v>
      </c>
      <c r="E61" s="452" t="s">
        <v>142</v>
      </c>
      <c r="F61" s="192">
        <f t="shared" si="3"/>
        <v>36624.095999999998</v>
      </c>
      <c r="G61" s="193">
        <f t="shared" si="3"/>
        <v>1635.0042857142857</v>
      </c>
      <c r="H61" s="190">
        <f t="shared" si="0"/>
        <v>38259.100285714281</v>
      </c>
      <c r="I61" s="191">
        <f t="shared" si="1"/>
        <v>4820646.6359999934</v>
      </c>
      <c r="J61" s="450"/>
      <c r="K61" s="434"/>
      <c r="L61" s="439"/>
      <c r="M61" s="440"/>
      <c r="N61" s="434"/>
    </row>
    <row r="62" spans="2:14" x14ac:dyDescent="0.2">
      <c r="B62" s="509">
        <v>36</v>
      </c>
      <c r="C62" s="510"/>
      <c r="D62" s="474">
        <f t="shared" si="2"/>
        <v>45295</v>
      </c>
      <c r="E62" s="452" t="s">
        <v>143</v>
      </c>
      <c r="F62" s="192">
        <f t="shared" si="3"/>
        <v>36624.095999999998</v>
      </c>
      <c r="G62" s="193">
        <f t="shared" si="3"/>
        <v>1635.0042857142857</v>
      </c>
      <c r="H62" s="190">
        <f t="shared" si="0"/>
        <v>38259.100285714281</v>
      </c>
      <c r="I62" s="191">
        <f t="shared" si="1"/>
        <v>4782387.5357142789</v>
      </c>
      <c r="J62" s="450"/>
      <c r="K62" s="434"/>
      <c r="L62" s="439"/>
      <c r="M62" s="440"/>
      <c r="N62" s="434"/>
    </row>
    <row r="63" spans="2:14" x14ac:dyDescent="0.2">
      <c r="B63" s="509">
        <v>37</v>
      </c>
      <c r="C63" s="510"/>
      <c r="D63" s="474">
        <f t="shared" si="2"/>
        <v>45326</v>
      </c>
      <c r="E63" s="452" t="s">
        <v>144</v>
      </c>
      <c r="F63" s="192">
        <f t="shared" si="3"/>
        <v>36624.095999999998</v>
      </c>
      <c r="G63" s="193">
        <f t="shared" si="3"/>
        <v>1635.0042857142857</v>
      </c>
      <c r="H63" s="190">
        <f t="shared" si="0"/>
        <v>38259.100285714281</v>
      </c>
      <c r="I63" s="191">
        <f t="shared" si="1"/>
        <v>4744128.4354285644</v>
      </c>
      <c r="J63" s="450"/>
      <c r="K63" s="434"/>
      <c r="L63" s="439"/>
      <c r="M63" s="440"/>
      <c r="N63" s="434"/>
    </row>
    <row r="64" spans="2:14" x14ac:dyDescent="0.2">
      <c r="B64" s="509">
        <v>38</v>
      </c>
      <c r="C64" s="510"/>
      <c r="D64" s="474">
        <f t="shared" si="2"/>
        <v>45355</v>
      </c>
      <c r="E64" s="452" t="s">
        <v>145</v>
      </c>
      <c r="F64" s="192">
        <f t="shared" si="3"/>
        <v>36624.095999999998</v>
      </c>
      <c r="G64" s="193">
        <f t="shared" si="3"/>
        <v>1635.0042857142857</v>
      </c>
      <c r="H64" s="190">
        <f t="shared" si="0"/>
        <v>38259.100285714281</v>
      </c>
      <c r="I64" s="191">
        <f t="shared" si="1"/>
        <v>4705869.3351428499</v>
      </c>
      <c r="J64" s="450"/>
      <c r="K64" s="434"/>
      <c r="L64" s="439"/>
      <c r="M64" s="440"/>
      <c r="N64" s="434"/>
    </row>
    <row r="65" spans="2:14" x14ac:dyDescent="0.2">
      <c r="B65" s="509">
        <v>39</v>
      </c>
      <c r="C65" s="510"/>
      <c r="D65" s="474">
        <f t="shared" si="2"/>
        <v>45386</v>
      </c>
      <c r="E65" s="452" t="s">
        <v>146</v>
      </c>
      <c r="F65" s="192">
        <f t="shared" si="3"/>
        <v>36624.095999999998</v>
      </c>
      <c r="G65" s="193">
        <f t="shared" si="3"/>
        <v>1635.0042857142857</v>
      </c>
      <c r="H65" s="190">
        <f t="shared" si="0"/>
        <v>38259.100285714281</v>
      </c>
      <c r="I65" s="191">
        <f t="shared" si="1"/>
        <v>4667610.2348571355</v>
      </c>
      <c r="J65" s="450"/>
      <c r="K65" s="434"/>
      <c r="L65" s="439"/>
      <c r="M65" s="440"/>
      <c r="N65" s="434"/>
    </row>
    <row r="66" spans="2:14" x14ac:dyDescent="0.2">
      <c r="B66" s="509">
        <v>40</v>
      </c>
      <c r="C66" s="510"/>
      <c r="D66" s="474">
        <f t="shared" si="2"/>
        <v>45416</v>
      </c>
      <c r="E66" s="452" t="s">
        <v>147</v>
      </c>
      <c r="F66" s="192">
        <f t="shared" si="3"/>
        <v>36624.095999999998</v>
      </c>
      <c r="G66" s="193">
        <f t="shared" si="3"/>
        <v>1635.0042857142857</v>
      </c>
      <c r="H66" s="190">
        <f t="shared" si="0"/>
        <v>38259.100285714281</v>
      </c>
      <c r="I66" s="191">
        <f t="shared" si="1"/>
        <v>4629351.134571421</v>
      </c>
      <c r="J66" s="450"/>
      <c r="K66" s="434"/>
      <c r="L66" s="439"/>
      <c r="M66" s="440"/>
      <c r="N66" s="434"/>
    </row>
    <row r="67" spans="2:14" x14ac:dyDescent="0.2">
      <c r="B67" s="509">
        <v>41</v>
      </c>
      <c r="C67" s="510"/>
      <c r="D67" s="474">
        <f t="shared" si="2"/>
        <v>45447</v>
      </c>
      <c r="E67" s="452" t="s">
        <v>148</v>
      </c>
      <c r="F67" s="192">
        <f t="shared" si="3"/>
        <v>36624.095999999998</v>
      </c>
      <c r="G67" s="193">
        <f t="shared" si="3"/>
        <v>1635.0042857142857</v>
      </c>
      <c r="H67" s="190">
        <f t="shared" si="0"/>
        <v>38259.100285714281</v>
      </c>
      <c r="I67" s="191">
        <f t="shared" si="1"/>
        <v>4591092.0342857065</v>
      </c>
      <c r="J67" s="450"/>
      <c r="K67" s="434"/>
      <c r="L67" s="439"/>
      <c r="M67" s="440"/>
      <c r="N67" s="434"/>
    </row>
    <row r="68" spans="2:14" x14ac:dyDescent="0.2">
      <c r="B68" s="509">
        <v>42</v>
      </c>
      <c r="C68" s="510"/>
      <c r="D68" s="474">
        <f t="shared" si="2"/>
        <v>45477</v>
      </c>
      <c r="E68" s="452" t="s">
        <v>149</v>
      </c>
      <c r="F68" s="192">
        <f t="shared" si="3"/>
        <v>36624.095999999998</v>
      </c>
      <c r="G68" s="193">
        <f t="shared" si="3"/>
        <v>1635.0042857142857</v>
      </c>
      <c r="H68" s="190">
        <f t="shared" si="0"/>
        <v>38259.100285714281</v>
      </c>
      <c r="I68" s="191">
        <f t="shared" si="1"/>
        <v>4552832.933999992</v>
      </c>
      <c r="J68" s="450"/>
      <c r="K68" s="434"/>
      <c r="L68" s="439"/>
      <c r="M68" s="440"/>
      <c r="N68" s="434"/>
    </row>
    <row r="69" spans="2:14" x14ac:dyDescent="0.2">
      <c r="B69" s="509">
        <v>43</v>
      </c>
      <c r="C69" s="510"/>
      <c r="D69" s="474">
        <f t="shared" si="2"/>
        <v>45508</v>
      </c>
      <c r="E69" s="452" t="s">
        <v>150</v>
      </c>
      <c r="F69" s="192">
        <f t="shared" si="3"/>
        <v>36624.095999999998</v>
      </c>
      <c r="G69" s="193">
        <f t="shared" si="3"/>
        <v>1635.0042857142857</v>
      </c>
      <c r="H69" s="190">
        <f t="shared" si="0"/>
        <v>38259.100285714281</v>
      </c>
      <c r="I69" s="191">
        <f t="shared" si="1"/>
        <v>4514573.8337142775</v>
      </c>
      <c r="J69" s="450"/>
      <c r="K69" s="434"/>
      <c r="L69" s="439"/>
      <c r="M69" s="440"/>
      <c r="N69" s="434"/>
    </row>
    <row r="70" spans="2:14" x14ac:dyDescent="0.2">
      <c r="B70" s="509">
        <v>44</v>
      </c>
      <c r="C70" s="510"/>
      <c r="D70" s="474">
        <f t="shared" si="2"/>
        <v>45539</v>
      </c>
      <c r="E70" s="452" t="s">
        <v>151</v>
      </c>
      <c r="F70" s="192">
        <f t="shared" si="3"/>
        <v>36624.095999999998</v>
      </c>
      <c r="G70" s="193">
        <f t="shared" si="3"/>
        <v>1635.0042857142857</v>
      </c>
      <c r="H70" s="190">
        <f t="shared" si="0"/>
        <v>38259.100285714281</v>
      </c>
      <c r="I70" s="191">
        <f t="shared" si="1"/>
        <v>4476314.733428563</v>
      </c>
      <c r="J70" s="450"/>
      <c r="K70" s="434"/>
      <c r="L70" s="439"/>
      <c r="M70" s="440"/>
      <c r="N70" s="434"/>
    </row>
    <row r="71" spans="2:14" x14ac:dyDescent="0.2">
      <c r="B71" s="509">
        <v>45</v>
      </c>
      <c r="C71" s="510"/>
      <c r="D71" s="474">
        <f t="shared" si="2"/>
        <v>45569</v>
      </c>
      <c r="E71" s="452" t="s">
        <v>152</v>
      </c>
      <c r="F71" s="192">
        <f t="shared" si="3"/>
        <v>36624.095999999998</v>
      </c>
      <c r="G71" s="193">
        <f t="shared" si="3"/>
        <v>1635.0042857142857</v>
      </c>
      <c r="H71" s="190">
        <f t="shared" si="0"/>
        <v>38259.100285714281</v>
      </c>
      <c r="I71" s="191">
        <f t="shared" si="1"/>
        <v>4438055.6331428485</v>
      </c>
      <c r="J71" s="450"/>
      <c r="K71" s="434"/>
      <c r="L71" s="439"/>
      <c r="M71" s="440"/>
      <c r="N71" s="434"/>
    </row>
    <row r="72" spans="2:14" x14ac:dyDescent="0.2">
      <c r="B72" s="509">
        <v>46</v>
      </c>
      <c r="C72" s="510"/>
      <c r="D72" s="474">
        <f t="shared" si="2"/>
        <v>45600</v>
      </c>
      <c r="E72" s="452" t="s">
        <v>153</v>
      </c>
      <c r="F72" s="192">
        <f t="shared" si="3"/>
        <v>36624.095999999998</v>
      </c>
      <c r="G72" s="193">
        <f t="shared" si="3"/>
        <v>1635.0042857142857</v>
      </c>
      <c r="H72" s="190">
        <f t="shared" si="0"/>
        <v>38259.100285714281</v>
      </c>
      <c r="I72" s="191">
        <f t="shared" si="1"/>
        <v>4399796.532857134</v>
      </c>
      <c r="J72" s="450"/>
      <c r="K72" s="434"/>
      <c r="L72" s="439"/>
      <c r="M72" s="440"/>
      <c r="N72" s="434"/>
    </row>
    <row r="73" spans="2:14" x14ac:dyDescent="0.2">
      <c r="B73" s="509">
        <v>47</v>
      </c>
      <c r="C73" s="510"/>
      <c r="D73" s="474">
        <f t="shared" si="2"/>
        <v>45630</v>
      </c>
      <c r="E73" s="452" t="s">
        <v>154</v>
      </c>
      <c r="F73" s="192">
        <f t="shared" si="3"/>
        <v>36624.095999999998</v>
      </c>
      <c r="G73" s="193">
        <f t="shared" si="3"/>
        <v>1635.0042857142857</v>
      </c>
      <c r="H73" s="190">
        <f t="shared" si="0"/>
        <v>38259.100285714281</v>
      </c>
      <c r="I73" s="191">
        <f t="shared" si="1"/>
        <v>4361537.4325714195</v>
      </c>
      <c r="J73" s="450"/>
      <c r="K73" s="434"/>
      <c r="L73" s="439"/>
      <c r="M73" s="440"/>
      <c r="N73" s="434"/>
    </row>
    <row r="74" spans="2:14" x14ac:dyDescent="0.2">
      <c r="B74" s="509">
        <v>48</v>
      </c>
      <c r="C74" s="510"/>
      <c r="D74" s="474">
        <f t="shared" si="2"/>
        <v>45661</v>
      </c>
      <c r="E74" s="452" t="s">
        <v>155</v>
      </c>
      <c r="F74" s="192">
        <f t="shared" si="3"/>
        <v>36624.095999999998</v>
      </c>
      <c r="G74" s="193">
        <f t="shared" si="3"/>
        <v>1635.0042857142857</v>
      </c>
      <c r="H74" s="190">
        <f t="shared" si="0"/>
        <v>38259.100285714281</v>
      </c>
      <c r="I74" s="191">
        <f t="shared" si="1"/>
        <v>4323278.332285705</v>
      </c>
      <c r="J74" s="450"/>
      <c r="K74" s="434"/>
      <c r="L74" s="439"/>
      <c r="M74" s="440"/>
      <c r="N74" s="434"/>
    </row>
    <row r="75" spans="2:14" x14ac:dyDescent="0.2">
      <c r="B75" s="509">
        <v>49</v>
      </c>
      <c r="C75" s="510"/>
      <c r="D75" s="474">
        <f t="shared" si="2"/>
        <v>45692</v>
      </c>
      <c r="E75" s="452" t="s">
        <v>156</v>
      </c>
      <c r="F75" s="192">
        <f t="shared" si="3"/>
        <v>36624.095999999998</v>
      </c>
      <c r="G75" s="193">
        <f t="shared" si="3"/>
        <v>1635.0042857142857</v>
      </c>
      <c r="H75" s="190">
        <f t="shared" si="0"/>
        <v>38259.100285714281</v>
      </c>
      <c r="I75" s="191">
        <f t="shared" si="1"/>
        <v>4285019.2319999905</v>
      </c>
      <c r="J75" s="450"/>
      <c r="K75" s="434"/>
      <c r="L75" s="439"/>
      <c r="M75" s="440"/>
      <c r="N75" s="434"/>
    </row>
    <row r="76" spans="2:14" x14ac:dyDescent="0.2">
      <c r="B76" s="509">
        <v>50</v>
      </c>
      <c r="C76" s="510"/>
      <c r="D76" s="474">
        <f t="shared" si="2"/>
        <v>45720</v>
      </c>
      <c r="E76" s="452" t="s">
        <v>157</v>
      </c>
      <c r="F76" s="192">
        <f t="shared" si="3"/>
        <v>36624.095999999998</v>
      </c>
      <c r="G76" s="193">
        <f t="shared" si="3"/>
        <v>1635.0042857142857</v>
      </c>
      <c r="H76" s="190">
        <f t="shared" si="0"/>
        <v>38259.100285714281</v>
      </c>
      <c r="I76" s="191">
        <f t="shared" si="1"/>
        <v>4246760.131714276</v>
      </c>
      <c r="J76" s="450"/>
      <c r="K76" s="434"/>
      <c r="L76" s="439"/>
      <c r="M76" s="440"/>
      <c r="N76" s="434"/>
    </row>
    <row r="77" spans="2:14" x14ac:dyDescent="0.2">
      <c r="B77" s="509">
        <v>51</v>
      </c>
      <c r="C77" s="510"/>
      <c r="D77" s="474">
        <f t="shared" si="2"/>
        <v>45751</v>
      </c>
      <c r="E77" s="452" t="s">
        <v>158</v>
      </c>
      <c r="F77" s="192">
        <f t="shared" si="3"/>
        <v>36624.095999999998</v>
      </c>
      <c r="G77" s="193">
        <f t="shared" si="3"/>
        <v>1635.0042857142857</v>
      </c>
      <c r="H77" s="190">
        <f t="shared" si="0"/>
        <v>38259.100285714281</v>
      </c>
      <c r="I77" s="191">
        <f t="shared" si="1"/>
        <v>4208501.0314285615</v>
      </c>
      <c r="J77" s="450"/>
      <c r="K77" s="434"/>
      <c r="L77" s="439"/>
      <c r="M77" s="440"/>
      <c r="N77" s="434"/>
    </row>
    <row r="78" spans="2:14" x14ac:dyDescent="0.2">
      <c r="B78" s="509">
        <v>52</v>
      </c>
      <c r="C78" s="510"/>
      <c r="D78" s="474">
        <f t="shared" si="2"/>
        <v>45781</v>
      </c>
      <c r="E78" s="452" t="s">
        <v>159</v>
      </c>
      <c r="F78" s="192">
        <f t="shared" si="3"/>
        <v>36624.095999999998</v>
      </c>
      <c r="G78" s="193">
        <f t="shared" si="3"/>
        <v>1635.0042857142857</v>
      </c>
      <c r="H78" s="190">
        <f t="shared" si="0"/>
        <v>38259.100285714281</v>
      </c>
      <c r="I78" s="191">
        <f t="shared" si="1"/>
        <v>4170241.9311428471</v>
      </c>
      <c r="J78" s="450"/>
      <c r="K78" s="434"/>
      <c r="L78" s="439"/>
      <c r="M78" s="440"/>
      <c r="N78" s="434"/>
    </row>
    <row r="79" spans="2:14" x14ac:dyDescent="0.2">
      <c r="B79" s="509">
        <v>53</v>
      </c>
      <c r="C79" s="510"/>
      <c r="D79" s="474">
        <f t="shared" si="2"/>
        <v>45812</v>
      </c>
      <c r="E79" s="452" t="s">
        <v>160</v>
      </c>
      <c r="F79" s="192">
        <f t="shared" si="3"/>
        <v>36624.095999999998</v>
      </c>
      <c r="G79" s="193">
        <f t="shared" si="3"/>
        <v>1635.0042857142857</v>
      </c>
      <c r="H79" s="190">
        <f t="shared" si="0"/>
        <v>38259.100285714281</v>
      </c>
      <c r="I79" s="191">
        <f t="shared" si="1"/>
        <v>4131982.8308571326</v>
      </c>
      <c r="J79" s="450"/>
      <c r="K79" s="434"/>
      <c r="L79" s="439"/>
      <c r="M79" s="440"/>
      <c r="N79" s="434"/>
    </row>
    <row r="80" spans="2:14" x14ac:dyDescent="0.2">
      <c r="B80" s="509">
        <v>54</v>
      </c>
      <c r="C80" s="510"/>
      <c r="D80" s="474">
        <f t="shared" si="2"/>
        <v>45842</v>
      </c>
      <c r="E80" s="452" t="s">
        <v>161</v>
      </c>
      <c r="F80" s="192">
        <f t="shared" si="3"/>
        <v>36624.095999999998</v>
      </c>
      <c r="G80" s="193">
        <f t="shared" si="3"/>
        <v>1635.0042857142857</v>
      </c>
      <c r="H80" s="190">
        <f t="shared" si="0"/>
        <v>38259.100285714281</v>
      </c>
      <c r="I80" s="191">
        <f t="shared" si="1"/>
        <v>4093723.7305714181</v>
      </c>
      <c r="J80" s="450"/>
      <c r="K80" s="434"/>
      <c r="L80" s="439"/>
      <c r="M80" s="440"/>
      <c r="N80" s="434"/>
    </row>
    <row r="81" spans="2:14" x14ac:dyDescent="0.2">
      <c r="B81" s="509">
        <v>55</v>
      </c>
      <c r="C81" s="510"/>
      <c r="D81" s="474">
        <f t="shared" si="2"/>
        <v>45873</v>
      </c>
      <c r="E81" s="452" t="s">
        <v>162</v>
      </c>
      <c r="F81" s="192">
        <f t="shared" si="3"/>
        <v>36624.095999999998</v>
      </c>
      <c r="G81" s="193">
        <f t="shared" si="3"/>
        <v>1635.0042857142857</v>
      </c>
      <c r="H81" s="190">
        <f t="shared" si="0"/>
        <v>38259.100285714281</v>
      </c>
      <c r="I81" s="191">
        <f t="shared" si="1"/>
        <v>4055464.6302857036</v>
      </c>
      <c r="J81" s="450"/>
      <c r="K81" s="434"/>
      <c r="L81" s="439"/>
      <c r="M81" s="440"/>
      <c r="N81" s="434"/>
    </row>
    <row r="82" spans="2:14" x14ac:dyDescent="0.2">
      <c r="B82" s="509">
        <v>56</v>
      </c>
      <c r="C82" s="510"/>
      <c r="D82" s="474">
        <f t="shared" si="2"/>
        <v>45904</v>
      </c>
      <c r="E82" s="452" t="s">
        <v>163</v>
      </c>
      <c r="F82" s="192">
        <f t="shared" si="3"/>
        <v>36624.095999999998</v>
      </c>
      <c r="G82" s="193">
        <f t="shared" si="3"/>
        <v>1635.0042857142857</v>
      </c>
      <c r="H82" s="190">
        <f t="shared" si="0"/>
        <v>38259.100285714281</v>
      </c>
      <c r="I82" s="191">
        <f t="shared" si="1"/>
        <v>4017205.5299999891</v>
      </c>
      <c r="J82" s="450"/>
      <c r="K82" s="434"/>
      <c r="L82" s="439"/>
      <c r="M82" s="440"/>
      <c r="N82" s="434"/>
    </row>
    <row r="83" spans="2:14" x14ac:dyDescent="0.2">
      <c r="B83" s="509">
        <v>57</v>
      </c>
      <c r="C83" s="510"/>
      <c r="D83" s="474">
        <f t="shared" si="2"/>
        <v>45934</v>
      </c>
      <c r="E83" s="452" t="s">
        <v>164</v>
      </c>
      <c r="F83" s="192">
        <f t="shared" si="3"/>
        <v>36624.095999999998</v>
      </c>
      <c r="G83" s="193">
        <f t="shared" si="3"/>
        <v>1635.0042857142857</v>
      </c>
      <c r="H83" s="190">
        <f t="shared" si="0"/>
        <v>38259.100285714281</v>
      </c>
      <c r="I83" s="191">
        <f t="shared" si="1"/>
        <v>3978946.4297142746</v>
      </c>
      <c r="J83" s="450"/>
      <c r="K83" s="434"/>
      <c r="L83" s="439"/>
      <c r="M83" s="440"/>
      <c r="N83" s="434"/>
    </row>
    <row r="84" spans="2:14" x14ac:dyDescent="0.2">
      <c r="B84" s="509">
        <v>58</v>
      </c>
      <c r="C84" s="510"/>
      <c r="D84" s="474">
        <f t="shared" si="2"/>
        <v>45965</v>
      </c>
      <c r="E84" s="452" t="s">
        <v>165</v>
      </c>
      <c r="F84" s="192">
        <f t="shared" si="3"/>
        <v>36624.095999999998</v>
      </c>
      <c r="G84" s="193">
        <f t="shared" si="3"/>
        <v>1635.0042857142857</v>
      </c>
      <c r="H84" s="190">
        <f t="shared" si="0"/>
        <v>38259.100285714281</v>
      </c>
      <c r="I84" s="191">
        <f t="shared" si="1"/>
        <v>3940687.3294285601</v>
      </c>
      <c r="J84" s="450"/>
      <c r="K84" s="434"/>
      <c r="L84" s="439"/>
      <c r="M84" s="440"/>
      <c r="N84" s="434"/>
    </row>
    <row r="85" spans="2:14" x14ac:dyDescent="0.2">
      <c r="B85" s="509">
        <v>59</v>
      </c>
      <c r="C85" s="510"/>
      <c r="D85" s="474">
        <f t="shared" si="2"/>
        <v>45995</v>
      </c>
      <c r="E85" s="452" t="s">
        <v>166</v>
      </c>
      <c r="F85" s="192">
        <f t="shared" si="3"/>
        <v>36624.095999999998</v>
      </c>
      <c r="G85" s="193">
        <f t="shared" si="3"/>
        <v>1635.0042857142857</v>
      </c>
      <c r="H85" s="190">
        <f t="shared" si="0"/>
        <v>38259.100285714281</v>
      </c>
      <c r="I85" s="191">
        <f t="shared" si="1"/>
        <v>3902428.2291428456</v>
      </c>
      <c r="J85" s="450"/>
      <c r="K85" s="434"/>
      <c r="L85" s="439"/>
      <c r="M85" s="440"/>
      <c r="N85" s="434"/>
    </row>
    <row r="86" spans="2:14" x14ac:dyDescent="0.2">
      <c r="B86" s="509">
        <v>60</v>
      </c>
      <c r="C86" s="510"/>
      <c r="D86" s="474">
        <f t="shared" si="2"/>
        <v>46026</v>
      </c>
      <c r="E86" s="452" t="s">
        <v>167</v>
      </c>
      <c r="F86" s="192">
        <f>F85</f>
        <v>36624.095999999998</v>
      </c>
      <c r="G86" s="193">
        <f t="shared" ref="G86:G87" si="4">G85</f>
        <v>1635.0042857142857</v>
      </c>
      <c r="H86" s="190">
        <f t="shared" si="0"/>
        <v>38259.100285714281</v>
      </c>
      <c r="I86" s="191">
        <f t="shared" si="1"/>
        <v>3864169.1288571311</v>
      </c>
      <c r="J86" s="450"/>
      <c r="K86" s="434"/>
      <c r="L86" s="439"/>
      <c r="M86" s="440"/>
      <c r="N86" s="434"/>
    </row>
    <row r="87" spans="2:14" x14ac:dyDescent="0.2">
      <c r="B87" s="509">
        <v>61</v>
      </c>
      <c r="C87" s="510"/>
      <c r="D87" s="474">
        <f t="shared" si="2"/>
        <v>46057</v>
      </c>
      <c r="E87" s="452" t="s">
        <v>168</v>
      </c>
      <c r="F87" s="207">
        <f>F86</f>
        <v>36624.095999999998</v>
      </c>
      <c r="G87" s="193">
        <f t="shared" si="4"/>
        <v>1635.0042857142857</v>
      </c>
      <c r="H87" s="190">
        <f t="shared" si="0"/>
        <v>38259.100285714281</v>
      </c>
      <c r="I87" s="191">
        <f t="shared" si="1"/>
        <v>3825910.0285714166</v>
      </c>
      <c r="J87" s="450"/>
      <c r="K87" s="434"/>
      <c r="L87" s="439"/>
      <c r="M87" s="440"/>
      <c r="N87" s="434"/>
    </row>
    <row r="88" spans="2:14" ht="16" thickBot="1" x14ac:dyDescent="0.25">
      <c r="B88" s="531">
        <v>62</v>
      </c>
      <c r="C88" s="532"/>
      <c r="D88" s="474">
        <f t="shared" si="2"/>
        <v>46085</v>
      </c>
      <c r="E88" s="475" t="s">
        <v>175</v>
      </c>
      <c r="F88" s="194">
        <f>((D15-SUM(D16:D20))*50%)/1</f>
        <v>3662409.6</v>
      </c>
      <c r="G88" s="208">
        <f>(D22*50%)/1</f>
        <v>163500.42857142858</v>
      </c>
      <c r="H88" s="190">
        <f>SUM(F88:G88)</f>
        <v>3825910.0285714287</v>
      </c>
      <c r="I88" s="191">
        <f t="shared" si="1"/>
        <v>-1.2107193470001221E-8</v>
      </c>
      <c r="J88" s="476">
        <v>1</v>
      </c>
      <c r="K88" s="434"/>
      <c r="L88" s="439">
        <f>(E23*J88)-L26</f>
        <v>-56000</v>
      </c>
      <c r="M88" s="440">
        <f>L88-F88</f>
        <v>-3718409.6</v>
      </c>
      <c r="N88" s="434"/>
    </row>
    <row r="89" spans="2:14" ht="16" thickBot="1" x14ac:dyDescent="0.25">
      <c r="B89" s="454"/>
      <c r="C89" s="455"/>
      <c r="D89" s="456"/>
      <c r="E89" s="457" t="s">
        <v>96</v>
      </c>
      <c r="F89" s="196">
        <f>SUM(F26:F88)</f>
        <v>7324819.1999999946</v>
      </c>
      <c r="G89" s="196">
        <f>SUM(G26:G88)</f>
        <v>327000.85714285728</v>
      </c>
      <c r="H89" s="196">
        <f>SUM(H26:H88)</f>
        <v>7651820.0571428668</v>
      </c>
      <c r="I89" s="197"/>
      <c r="J89" s="434"/>
      <c r="K89" s="434"/>
      <c r="L89" s="439">
        <f>SUM(L26:L88)</f>
        <v>0</v>
      </c>
      <c r="M89" s="440">
        <f>L89-F89</f>
        <v>-7324819.1999999946</v>
      </c>
      <c r="N89" s="434"/>
    </row>
    <row r="90" spans="2:14" x14ac:dyDescent="0.2">
      <c r="D90" s="458"/>
      <c r="L90" s="459"/>
    </row>
    <row r="91" spans="2:14" x14ac:dyDescent="0.2">
      <c r="B91" s="529" t="s">
        <v>195</v>
      </c>
      <c r="C91" s="535"/>
      <c r="D91" s="535"/>
      <c r="E91" s="535"/>
      <c r="F91" s="535"/>
      <c r="G91" s="535"/>
      <c r="H91" s="535"/>
      <c r="I91" s="535"/>
      <c r="L91" s="459"/>
    </row>
    <row r="92" spans="2:14" x14ac:dyDescent="0.2">
      <c r="B92" s="535"/>
      <c r="C92" s="535"/>
      <c r="D92" s="535"/>
      <c r="E92" s="535"/>
      <c r="F92" s="535"/>
      <c r="G92" s="535"/>
      <c r="H92" s="535"/>
      <c r="I92" s="535"/>
      <c r="L92" s="459"/>
    </row>
    <row r="93" spans="2:14" x14ac:dyDescent="0.2">
      <c r="B93" s="535"/>
      <c r="C93" s="535"/>
      <c r="D93" s="535"/>
      <c r="E93" s="535"/>
      <c r="F93" s="535"/>
      <c r="G93" s="535"/>
      <c r="H93" s="535"/>
      <c r="I93" s="535"/>
      <c r="L93" s="459"/>
    </row>
    <row r="94" spans="2:14" x14ac:dyDescent="0.2">
      <c r="B94" s="535"/>
      <c r="C94" s="535"/>
      <c r="D94" s="535"/>
      <c r="E94" s="535"/>
      <c r="F94" s="535"/>
      <c r="G94" s="535"/>
      <c r="H94" s="535"/>
      <c r="I94" s="535"/>
      <c r="L94" s="459"/>
    </row>
    <row r="95" spans="2:14" x14ac:dyDescent="0.2">
      <c r="B95" s="535"/>
      <c r="C95" s="535"/>
      <c r="D95" s="535"/>
      <c r="E95" s="535"/>
      <c r="F95" s="535"/>
      <c r="G95" s="535"/>
      <c r="H95" s="535"/>
      <c r="I95" s="535"/>
      <c r="L95" s="459"/>
    </row>
    <row r="96" spans="2:14" x14ac:dyDescent="0.2">
      <c r="B96" s="535"/>
      <c r="C96" s="535"/>
      <c r="D96" s="535"/>
      <c r="E96" s="535"/>
      <c r="F96" s="535"/>
      <c r="G96" s="535"/>
      <c r="H96" s="535"/>
      <c r="I96" s="535"/>
      <c r="L96" s="459"/>
    </row>
    <row r="97" spans="2:12" x14ac:dyDescent="0.2">
      <c r="B97" s="535"/>
      <c r="C97" s="535"/>
      <c r="D97" s="535"/>
      <c r="E97" s="535"/>
      <c r="F97" s="535"/>
      <c r="G97" s="535"/>
      <c r="H97" s="535"/>
      <c r="I97" s="535"/>
      <c r="L97" s="459"/>
    </row>
    <row r="98" spans="2:12" x14ac:dyDescent="0.2">
      <c r="B98" s="535"/>
      <c r="C98" s="535"/>
      <c r="D98" s="535"/>
      <c r="E98" s="535"/>
      <c r="F98" s="535"/>
      <c r="G98" s="535"/>
      <c r="H98" s="535"/>
      <c r="I98" s="535"/>
      <c r="L98" s="459"/>
    </row>
    <row r="99" spans="2:12" x14ac:dyDescent="0.2">
      <c r="B99" s="535"/>
      <c r="C99" s="535"/>
      <c r="D99" s="535"/>
      <c r="E99" s="535"/>
      <c r="F99" s="535"/>
      <c r="G99" s="535"/>
      <c r="H99" s="535"/>
      <c r="I99" s="535"/>
      <c r="L99" s="459"/>
    </row>
    <row r="100" spans="2:12" x14ac:dyDescent="0.2">
      <c r="B100" s="535"/>
      <c r="C100" s="535"/>
      <c r="D100" s="535"/>
      <c r="E100" s="535"/>
      <c r="F100" s="535"/>
      <c r="G100" s="535"/>
      <c r="H100" s="535"/>
      <c r="I100" s="535"/>
      <c r="L100" s="459"/>
    </row>
    <row r="101" spans="2:12" x14ac:dyDescent="0.2">
      <c r="B101" s="535"/>
      <c r="C101" s="535"/>
      <c r="D101" s="535"/>
      <c r="E101" s="535"/>
      <c r="F101" s="535"/>
      <c r="G101" s="535"/>
      <c r="H101" s="535"/>
      <c r="I101" s="535"/>
      <c r="L101" s="459"/>
    </row>
    <row r="102" spans="2:12" x14ac:dyDescent="0.2">
      <c r="B102" s="535"/>
      <c r="C102" s="535"/>
      <c r="D102" s="535"/>
      <c r="E102" s="535"/>
      <c r="F102" s="535"/>
      <c r="G102" s="535"/>
      <c r="H102" s="535"/>
      <c r="I102" s="535"/>
      <c r="L102" s="459"/>
    </row>
    <row r="103" spans="2:12" x14ac:dyDescent="0.2">
      <c r="B103" s="535"/>
      <c r="C103" s="535"/>
      <c r="D103" s="535"/>
      <c r="E103" s="535"/>
      <c r="F103" s="535"/>
      <c r="G103" s="535"/>
      <c r="H103" s="535"/>
      <c r="I103" s="535"/>
      <c r="L103" s="459"/>
    </row>
    <row r="104" spans="2:12" x14ac:dyDescent="0.2">
      <c r="B104" s="535"/>
      <c r="C104" s="535"/>
      <c r="D104" s="535"/>
      <c r="E104" s="535"/>
      <c r="F104" s="535"/>
      <c r="G104" s="535"/>
      <c r="H104" s="535"/>
      <c r="I104" s="535"/>
      <c r="L104" s="459"/>
    </row>
    <row r="105" spans="2:12" x14ac:dyDescent="0.2">
      <c r="B105" s="535"/>
      <c r="C105" s="535"/>
      <c r="D105" s="535"/>
      <c r="E105" s="535"/>
      <c r="F105" s="535"/>
      <c r="G105" s="535"/>
      <c r="H105" s="535"/>
      <c r="I105" s="535"/>
      <c r="L105" s="459"/>
    </row>
    <row r="106" spans="2:12" ht="105.5" customHeight="1" x14ac:dyDescent="0.2">
      <c r="B106" s="535"/>
      <c r="C106" s="535"/>
      <c r="D106" s="535"/>
      <c r="E106" s="535"/>
      <c r="F106" s="535"/>
      <c r="G106" s="535"/>
      <c r="H106" s="535"/>
      <c r="I106" s="535"/>
      <c r="L106" s="459"/>
    </row>
    <row r="107" spans="2:12" hidden="1" x14ac:dyDescent="0.2">
      <c r="B107" s="535"/>
      <c r="C107" s="535"/>
      <c r="D107" s="535"/>
      <c r="E107" s="535"/>
      <c r="F107" s="535"/>
      <c r="G107" s="535"/>
      <c r="H107" s="535"/>
      <c r="I107" s="535"/>
      <c r="L107" s="459"/>
    </row>
    <row r="108" spans="2:12" hidden="1" x14ac:dyDescent="0.2">
      <c r="D108" s="458"/>
      <c r="L108" s="459"/>
    </row>
    <row r="109" spans="2:12" hidden="1" x14ac:dyDescent="0.2">
      <c r="B109" s="460" t="s">
        <v>97</v>
      </c>
      <c r="C109" s="460"/>
    </row>
    <row r="110" spans="2:12" hidden="1" x14ac:dyDescent="0.2">
      <c r="B110" s="461" t="s">
        <v>98</v>
      </c>
      <c r="C110" s="461"/>
    </row>
    <row r="111" spans="2:12" hidden="1" x14ac:dyDescent="0.2">
      <c r="B111" s="461" t="s">
        <v>99</v>
      </c>
      <c r="C111" s="461"/>
    </row>
    <row r="112" spans="2:12" hidden="1" x14ac:dyDescent="0.2">
      <c r="B112" s="461" t="s">
        <v>100</v>
      </c>
      <c r="C112" s="461"/>
    </row>
    <row r="113" spans="2:9" hidden="1" x14ac:dyDescent="0.2">
      <c r="B113" s="461" t="s">
        <v>101</v>
      </c>
      <c r="C113" s="461"/>
    </row>
    <row r="114" spans="2:9" s="462" customFormat="1" hidden="1" x14ac:dyDescent="0.2">
      <c r="B114" s="461" t="s">
        <v>102</v>
      </c>
      <c r="C114" s="461"/>
    </row>
    <row r="116" spans="2:9" x14ac:dyDescent="0.2">
      <c r="B116" s="463" t="s">
        <v>103</v>
      </c>
      <c r="C116" s="463"/>
    </row>
    <row r="119" spans="2:9" x14ac:dyDescent="0.2">
      <c r="B119" s="530" t="s">
        <v>104</v>
      </c>
      <c r="C119" s="530"/>
      <c r="D119" s="530"/>
      <c r="F119" s="530" t="s">
        <v>105</v>
      </c>
      <c r="G119" s="530"/>
      <c r="H119" s="530"/>
      <c r="I119" s="530"/>
    </row>
  </sheetData>
  <sheetProtection algorithmName="SHA-512" hashValue="gpsHbnLGZOr0AJ5Mi7t/g9DEPE1tpyTsdZMRXfuSyEKQhU31O6p5CG6V/gBFN9at8kFaVxOhI0PrtPHr0ZkRZQ==" saltValue="j2PS9n3xyp9Kq3Rmbj+omQ==" spinCount="100000" sheet="1" objects="1" scenarios="1"/>
  <mergeCells count="76">
    <mergeCell ref="B87:C87"/>
    <mergeCell ref="B119:D119"/>
    <mergeCell ref="F119:I119"/>
    <mergeCell ref="B88:C88"/>
    <mergeCell ref="B91:I107"/>
    <mergeCell ref="B82:C82"/>
    <mergeCell ref="B83:C83"/>
    <mergeCell ref="B84:C84"/>
    <mergeCell ref="B85:C85"/>
    <mergeCell ref="B86:C86"/>
    <mergeCell ref="B81:C81"/>
    <mergeCell ref="B70:C70"/>
    <mergeCell ref="B71:C71"/>
    <mergeCell ref="B72:C72"/>
    <mergeCell ref="B73:C73"/>
    <mergeCell ref="B74:C74"/>
    <mergeCell ref="B75:C75"/>
    <mergeCell ref="B76:C76"/>
    <mergeCell ref="B77:C77"/>
    <mergeCell ref="B78:C78"/>
    <mergeCell ref="B79:C79"/>
    <mergeCell ref="B80:C80"/>
    <mergeCell ref="B69:C69"/>
    <mergeCell ref="B58:C58"/>
    <mergeCell ref="B59:C59"/>
    <mergeCell ref="B60:C60"/>
    <mergeCell ref="B61:C61"/>
    <mergeCell ref="B62:C62"/>
    <mergeCell ref="B63:C63"/>
    <mergeCell ref="B64:C64"/>
    <mergeCell ref="B65:C65"/>
    <mergeCell ref="B66:C66"/>
    <mergeCell ref="B67:C67"/>
    <mergeCell ref="B68:C68"/>
    <mergeCell ref="B57:C57"/>
    <mergeCell ref="B46:C46"/>
    <mergeCell ref="B47:C47"/>
    <mergeCell ref="B48:C48"/>
    <mergeCell ref="B49:C49"/>
    <mergeCell ref="B50:C50"/>
    <mergeCell ref="B51:C51"/>
    <mergeCell ref="B52:C52"/>
    <mergeCell ref="B53:C53"/>
    <mergeCell ref="B54:C54"/>
    <mergeCell ref="B55:C55"/>
    <mergeCell ref="B56:C56"/>
    <mergeCell ref="B45:C45"/>
    <mergeCell ref="B34:C34"/>
    <mergeCell ref="B35:C35"/>
    <mergeCell ref="B36:C36"/>
    <mergeCell ref="B37:C37"/>
    <mergeCell ref="B38:C38"/>
    <mergeCell ref="B39:C39"/>
    <mergeCell ref="B40:C40"/>
    <mergeCell ref="B41:C41"/>
    <mergeCell ref="B42:C42"/>
    <mergeCell ref="B43:C43"/>
    <mergeCell ref="B44:C44"/>
    <mergeCell ref="B33:C33"/>
    <mergeCell ref="C10:D10"/>
    <mergeCell ref="C11:D11"/>
    <mergeCell ref="C12:D12"/>
    <mergeCell ref="B25:C25"/>
    <mergeCell ref="B26:C26"/>
    <mergeCell ref="B27:C27"/>
    <mergeCell ref="B28:C28"/>
    <mergeCell ref="B29:C29"/>
    <mergeCell ref="B30:C30"/>
    <mergeCell ref="B31:C31"/>
    <mergeCell ref="B32:C32"/>
    <mergeCell ref="C9:D9"/>
    <mergeCell ref="L1:L3"/>
    <mergeCell ref="I2:I3"/>
    <mergeCell ref="C6:D6"/>
    <mergeCell ref="C7:D7"/>
    <mergeCell ref="C8:D8"/>
  </mergeCells>
  <phoneticPr fontId="45" type="noConversion"/>
  <hyperlinks>
    <hyperlink ref="O3" location="Input!A1" display="Return to Input" xr:uid="{00000000-0004-0000-0D00-000000000000}"/>
  </hyperlinks>
  <pageMargins left="0.7" right="0.7" top="0.75" bottom="0.75" header="0.3" footer="0.3"/>
  <pageSetup paperSize="5" scale="52" orientation="portrait"/>
  <ignoredErrors>
    <ignoredError sqref="C17" unlockedFormula="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B1:O119"/>
  <sheetViews>
    <sheetView topLeftCell="A8" workbookViewId="0">
      <selection activeCell="T37" sqref="T37"/>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18.33203125" style="212" customWidth="1"/>
    <col min="5" max="5" width="18.5" style="212" customWidth="1"/>
    <col min="6" max="7" width="17.5" style="212" hidden="1" customWidth="1"/>
    <col min="8" max="8" width="17.5" style="212" customWidth="1"/>
    <col min="9" max="9" width="20.83203125" style="212" customWidth="1"/>
    <col min="10" max="10" width="9.33203125" style="212" bestFit="1" customWidth="1"/>
    <col min="11" max="11" width="8.83203125" style="212"/>
    <col min="12" max="12" width="26.1640625" style="212" hidden="1" customWidth="1"/>
    <col min="13" max="13" width="15.83203125" style="212" hidden="1" customWidth="1"/>
    <col min="14" max="14" width="0" style="212" hidden="1" customWidth="1"/>
    <col min="15"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5" x14ac:dyDescent="0.2">
      <c r="L1" s="511"/>
    </row>
    <row r="2" spans="2:15" x14ac:dyDescent="0.2">
      <c r="B2" s="425" t="s">
        <v>81</v>
      </c>
      <c r="F2" s="426"/>
      <c r="G2" s="426"/>
      <c r="H2" s="426"/>
      <c r="I2" s="512" t="s">
        <v>82</v>
      </c>
      <c r="L2" s="511"/>
    </row>
    <row r="3" spans="2:15" x14ac:dyDescent="0.2">
      <c r="B3" s="425" t="s">
        <v>171</v>
      </c>
      <c r="F3" s="427"/>
      <c r="G3" s="427"/>
      <c r="H3" s="427"/>
      <c r="I3" s="512"/>
      <c r="L3" s="511"/>
      <c r="O3" s="428" t="s">
        <v>84</v>
      </c>
    </row>
    <row r="4" spans="2:15" x14ac:dyDescent="0.2">
      <c r="B4" s="425" t="s">
        <v>83</v>
      </c>
    </row>
    <row r="5" spans="2:15" ht="16" thickBot="1" x14ac:dyDescent="0.25"/>
    <row r="6" spans="2:15" ht="33" customHeight="1" thickBot="1" x14ac:dyDescent="0.25">
      <c r="B6" s="429" t="s">
        <v>71</v>
      </c>
      <c r="C6" s="513">
        <f>INPUT!C12</f>
        <v>0</v>
      </c>
      <c r="D6" s="514"/>
    </row>
    <row r="7" spans="2:15" x14ac:dyDescent="0.2">
      <c r="B7" s="430" t="s">
        <v>85</v>
      </c>
      <c r="C7" s="515" t="str">
        <f>INPUT!C11</f>
        <v>Block 5 Lot 11</v>
      </c>
      <c r="D7" s="516"/>
      <c r="E7" s="425"/>
      <c r="L7" s="431"/>
      <c r="M7" s="431"/>
      <c r="N7" s="431"/>
    </row>
    <row r="8" spans="2:15" x14ac:dyDescent="0.2">
      <c r="B8" s="432" t="s">
        <v>6</v>
      </c>
      <c r="C8" s="517">
        <f>INPUT!C17</f>
        <v>520</v>
      </c>
      <c r="D8" s="518"/>
      <c r="L8" s="431"/>
      <c r="M8" s="431"/>
      <c r="N8" s="431"/>
    </row>
    <row r="9" spans="2:15" x14ac:dyDescent="0.2">
      <c r="B9" s="432" t="s">
        <v>77</v>
      </c>
      <c r="C9" s="519">
        <f>INPUT!C18</f>
        <v>9574000</v>
      </c>
      <c r="D9" s="520"/>
      <c r="L9" s="431"/>
      <c r="M9" s="431"/>
      <c r="N9" s="431"/>
    </row>
    <row r="10" spans="2:15" x14ac:dyDescent="0.2">
      <c r="B10" s="432" t="s">
        <v>86</v>
      </c>
      <c r="C10" s="521" t="s">
        <v>172</v>
      </c>
      <c r="D10" s="522"/>
      <c r="L10" s="431"/>
      <c r="M10" s="431"/>
      <c r="N10" s="431"/>
    </row>
    <row r="11" spans="2:15" x14ac:dyDescent="0.2">
      <c r="B11" s="432"/>
      <c r="C11" s="521" t="s">
        <v>173</v>
      </c>
      <c r="D11" s="522"/>
      <c r="E11" s="431"/>
      <c r="F11" s="431"/>
      <c r="G11" s="431"/>
      <c r="L11" s="431"/>
      <c r="M11" s="431"/>
      <c r="N11" s="431"/>
    </row>
    <row r="12" spans="2:15" ht="16" thickBot="1" x14ac:dyDescent="0.25">
      <c r="B12" s="433"/>
      <c r="C12" s="533" t="s">
        <v>174</v>
      </c>
      <c r="D12" s="534"/>
      <c r="E12" s="431"/>
      <c r="F12" s="431"/>
      <c r="G12" s="431"/>
      <c r="L12" s="434"/>
      <c r="M12" s="434"/>
      <c r="N12" s="434"/>
    </row>
    <row r="13" spans="2:15" x14ac:dyDescent="0.2">
      <c r="E13" s="431"/>
      <c r="F13" s="431"/>
      <c r="G13" s="431"/>
      <c r="H13" s="434"/>
      <c r="I13" s="434"/>
      <c r="J13" s="434"/>
      <c r="K13" s="434"/>
      <c r="L13" s="435" t="s">
        <v>87</v>
      </c>
      <c r="M13" s="436">
        <v>0.02</v>
      </c>
      <c r="N13" s="434"/>
    </row>
    <row r="14" spans="2:15" x14ac:dyDescent="0.2">
      <c r="B14" s="437" t="s">
        <v>88</v>
      </c>
      <c r="C14" s="437"/>
      <c r="E14" s="434"/>
      <c r="F14" s="434"/>
      <c r="G14" s="434"/>
      <c r="H14" s="434"/>
      <c r="I14" s="434"/>
      <c r="J14" s="434"/>
      <c r="K14" s="434"/>
      <c r="L14" s="434"/>
      <c r="M14" s="436">
        <v>0</v>
      </c>
      <c r="N14" s="434"/>
    </row>
    <row r="15" spans="2:15" x14ac:dyDescent="0.2">
      <c r="B15" s="438" t="s">
        <v>194</v>
      </c>
      <c r="C15" s="198"/>
      <c r="D15" s="199">
        <f>C9</f>
        <v>9574000</v>
      </c>
      <c r="E15" s="439">
        <f>C9</f>
        <v>9574000</v>
      </c>
      <c r="F15" s="440">
        <f>D15-E15</f>
        <v>0</v>
      </c>
      <c r="G15" s="440"/>
      <c r="H15" s="440"/>
      <c r="I15" s="434"/>
      <c r="J15" s="434"/>
      <c r="K15" s="434"/>
      <c r="L15" s="434"/>
      <c r="M15" s="434"/>
      <c r="N15" s="434"/>
    </row>
    <row r="16" spans="2:15" x14ac:dyDescent="0.2">
      <c r="B16" s="480" t="s">
        <v>190</v>
      </c>
      <c r="C16" s="198"/>
      <c r="D16" s="199">
        <v>650000</v>
      </c>
      <c r="E16" s="439"/>
      <c r="F16" s="440"/>
      <c r="G16" s="440"/>
      <c r="H16" s="440"/>
      <c r="I16" s="434"/>
      <c r="J16" s="434"/>
      <c r="K16" s="434"/>
      <c r="L16" s="434"/>
      <c r="M16" s="434"/>
      <c r="N16" s="434"/>
    </row>
    <row r="17" spans="2:14" x14ac:dyDescent="0.2">
      <c r="B17" s="441" t="s">
        <v>109</v>
      </c>
      <c r="C17" s="201">
        <f>INPUT!C22</f>
        <v>0.1</v>
      </c>
      <c r="D17" s="200">
        <f>IF(C17&gt;10%,"maximum of 10%",((D15-D16)*C17))</f>
        <v>892400</v>
      </c>
      <c r="E17" s="439"/>
      <c r="F17" s="440"/>
      <c r="G17" s="440"/>
      <c r="H17" s="440"/>
      <c r="I17" s="434"/>
      <c r="J17" s="434"/>
      <c r="K17" s="434"/>
      <c r="L17" s="434"/>
      <c r="M17" s="434"/>
      <c r="N17" s="434"/>
    </row>
    <row r="18" spans="2:14" x14ac:dyDescent="0.2">
      <c r="B18" s="441" t="s">
        <v>89</v>
      </c>
      <c r="C18" s="201">
        <v>0.02</v>
      </c>
      <c r="D18" s="200">
        <f>IF(C18&gt;2%,"maximum of 2%",(D15-D16-D17)*C18)</f>
        <v>160632</v>
      </c>
      <c r="E18" s="439"/>
      <c r="F18" s="440"/>
      <c r="G18" s="440"/>
      <c r="H18" s="440"/>
      <c r="I18" s="434"/>
      <c r="J18" s="434"/>
      <c r="K18" s="434"/>
      <c r="L18" s="434"/>
      <c r="M18" s="434"/>
      <c r="N18" s="434"/>
    </row>
    <row r="19" spans="2:14" x14ac:dyDescent="0.2">
      <c r="B19" s="441" t="s">
        <v>277</v>
      </c>
      <c r="C19" s="201">
        <v>0.05</v>
      </c>
      <c r="D19" s="200">
        <f>IF(C19&gt;5%,"maximum of 5%",((D15-D16-D17-D18)*C19))</f>
        <v>393548.4</v>
      </c>
      <c r="E19" s="439"/>
      <c r="F19" s="440"/>
      <c r="G19" s="440"/>
      <c r="H19" s="440"/>
      <c r="I19" s="434"/>
      <c r="J19" s="434"/>
      <c r="K19" s="434"/>
      <c r="L19" s="434"/>
      <c r="M19" s="434"/>
      <c r="N19" s="434"/>
    </row>
    <row r="20" spans="2:14" x14ac:dyDescent="0.2">
      <c r="B20" s="441" t="s">
        <v>87</v>
      </c>
      <c r="C20" s="201" t="str">
        <f>IF(INPUT!C13="Repeat Buyer","2%",IF(INPUT!C13="New Buyer","0%"))</f>
        <v>0%</v>
      </c>
      <c r="D20" s="210">
        <f>IF(C20&gt;2%,((D15-SUM(D16:D19)))*C20, "maximum of 2%")</f>
        <v>0</v>
      </c>
      <c r="E20" s="439"/>
      <c r="F20" s="440"/>
      <c r="G20" s="440"/>
      <c r="H20" s="440"/>
      <c r="I20" s="434"/>
      <c r="J20" s="434"/>
      <c r="K20" s="434"/>
      <c r="L20" s="434"/>
      <c r="M20" s="434"/>
      <c r="N20" s="434"/>
    </row>
    <row r="21" spans="2:14" x14ac:dyDescent="0.2">
      <c r="B21" s="441"/>
      <c r="C21" s="201"/>
      <c r="D21" s="202">
        <f>D15-SUM(D16:D20)</f>
        <v>7477419.5999999996</v>
      </c>
      <c r="E21" s="459"/>
      <c r="F21" s="478"/>
      <c r="G21" s="478"/>
      <c r="H21" s="440"/>
      <c r="I21" s="434"/>
      <c r="J21" s="434"/>
      <c r="K21" s="434"/>
      <c r="L21" s="434"/>
      <c r="M21" s="434"/>
      <c r="N21" s="434"/>
    </row>
    <row r="22" spans="2:14" x14ac:dyDescent="0.2">
      <c r="B22" s="441" t="s">
        <v>192</v>
      </c>
      <c r="C22" s="201">
        <v>0.05</v>
      </c>
      <c r="D22" s="200">
        <f>((D15-SUM(D16:D20))/1.12*C22)</f>
        <v>333813.375</v>
      </c>
      <c r="E22" s="459"/>
      <c r="F22" s="478"/>
      <c r="G22" s="478"/>
      <c r="H22" s="440"/>
      <c r="I22" s="434"/>
      <c r="J22" s="434"/>
      <c r="K22" s="434"/>
      <c r="L22" s="434"/>
      <c r="M22" s="434"/>
      <c r="N22" s="434"/>
    </row>
    <row r="23" spans="2:14" ht="16" thickBot="1" x14ac:dyDescent="0.25">
      <c r="B23" s="442" t="s">
        <v>90</v>
      </c>
      <c r="C23" s="201"/>
      <c r="D23" s="205">
        <f>SUM(D21:D22)</f>
        <v>7811232.9749999996</v>
      </c>
      <c r="E23" s="459"/>
      <c r="F23" s="478"/>
      <c r="G23" s="478"/>
      <c r="H23" s="440"/>
      <c r="I23" s="434"/>
      <c r="J23" s="434"/>
      <c r="K23" s="434"/>
      <c r="L23" s="434"/>
      <c r="M23" s="434"/>
      <c r="N23" s="434"/>
    </row>
    <row r="24" spans="2:14" ht="17" thickTop="1" thickBot="1" x14ac:dyDescent="0.25"/>
    <row r="25" spans="2:14" ht="31" thickBot="1" x14ac:dyDescent="0.25">
      <c r="B25" s="525" t="s">
        <v>91</v>
      </c>
      <c r="C25" s="526"/>
      <c r="D25" s="444" t="s">
        <v>92</v>
      </c>
      <c r="E25" s="444" t="s">
        <v>93</v>
      </c>
      <c r="F25" s="445" t="s">
        <v>200</v>
      </c>
      <c r="G25" s="446" t="s">
        <v>184</v>
      </c>
      <c r="H25" s="446" t="s">
        <v>202</v>
      </c>
      <c r="I25" s="448" t="s">
        <v>94</v>
      </c>
      <c r="J25" s="434"/>
      <c r="K25" s="434"/>
      <c r="L25" s="434"/>
      <c r="M25" s="434"/>
      <c r="N25" s="434"/>
    </row>
    <row r="26" spans="2:14" x14ac:dyDescent="0.2">
      <c r="B26" s="527">
        <v>0</v>
      </c>
      <c r="C26" s="528"/>
      <c r="D26" s="472">
        <f>INPUT!C16</f>
        <v>44200</v>
      </c>
      <c r="E26" s="473" t="s">
        <v>46</v>
      </c>
      <c r="F26" s="186">
        <v>50000</v>
      </c>
      <c r="G26" s="187">
        <v>0</v>
      </c>
      <c r="H26" s="187">
        <f>SUM(F26:G26)</f>
        <v>50000</v>
      </c>
      <c r="I26" s="188">
        <f>D23-H26</f>
        <v>7761232.9749999996</v>
      </c>
      <c r="J26" s="450" t="s">
        <v>95</v>
      </c>
      <c r="K26" s="434"/>
      <c r="L26" s="439">
        <v>56000</v>
      </c>
      <c r="M26" s="440">
        <f>L26-F26</f>
        <v>6000</v>
      </c>
      <c r="N26" s="434"/>
    </row>
    <row r="27" spans="2:14" x14ac:dyDescent="0.2">
      <c r="B27" s="509">
        <v>1</v>
      </c>
      <c r="C27" s="510"/>
      <c r="D27" s="424">
        <f>EDATE(D26,1)</f>
        <v>44231</v>
      </c>
      <c r="E27" s="453" t="s">
        <v>39</v>
      </c>
      <c r="F27" s="189">
        <f>(((D15-SUM(D16:D20))*10%)-F26)/1</f>
        <v>697741.96</v>
      </c>
      <c r="G27" s="190">
        <f>(D22*10%)/1</f>
        <v>33381.337500000001</v>
      </c>
      <c r="H27" s="190">
        <f>SUM(F27:G27)</f>
        <v>731123.29749999999</v>
      </c>
      <c r="I27" s="191">
        <f>I26-H27</f>
        <v>7030109.6774999993</v>
      </c>
      <c r="J27" s="450"/>
      <c r="K27" s="434"/>
      <c r="L27" s="439"/>
      <c r="M27" s="440"/>
      <c r="N27" s="434"/>
    </row>
    <row r="28" spans="2:14" x14ac:dyDescent="0.2">
      <c r="B28" s="509">
        <v>2</v>
      </c>
      <c r="C28" s="510"/>
      <c r="D28" s="474">
        <f>EDATE(D27,1)</f>
        <v>44259</v>
      </c>
      <c r="E28" s="452" t="s">
        <v>170</v>
      </c>
      <c r="F28" s="192">
        <f>((D15-SUM(D16:D20))*40%)/60</f>
        <v>49849.464</v>
      </c>
      <c r="G28" s="193">
        <f>(D22*40%)/60</f>
        <v>2225.4225000000001</v>
      </c>
      <c r="H28" s="190">
        <f t="shared" ref="H28:H87" si="0">SUM(F28:G28)</f>
        <v>52074.886500000001</v>
      </c>
      <c r="I28" s="191">
        <f t="shared" ref="I28:I88" si="1">I27-H28</f>
        <v>6978034.7909999993</v>
      </c>
      <c r="J28" s="450"/>
      <c r="K28" s="434"/>
      <c r="L28" s="439"/>
      <c r="M28" s="440"/>
      <c r="N28" s="434"/>
    </row>
    <row r="29" spans="2:14" x14ac:dyDescent="0.2">
      <c r="B29" s="509">
        <v>3</v>
      </c>
      <c r="C29" s="510"/>
      <c r="D29" s="474">
        <f t="shared" ref="D29:D88" si="2">EDATE(D28,1)</f>
        <v>44290</v>
      </c>
      <c r="E29" s="452" t="s">
        <v>110</v>
      </c>
      <c r="F29" s="192">
        <f>F28</f>
        <v>49849.464</v>
      </c>
      <c r="G29" s="193">
        <f>G28</f>
        <v>2225.4225000000001</v>
      </c>
      <c r="H29" s="190">
        <f t="shared" si="0"/>
        <v>52074.886500000001</v>
      </c>
      <c r="I29" s="191">
        <f t="shared" si="1"/>
        <v>6925959.9044999992</v>
      </c>
      <c r="J29" s="450"/>
      <c r="K29" s="434"/>
      <c r="L29" s="439"/>
      <c r="M29" s="440"/>
      <c r="N29" s="434"/>
    </row>
    <row r="30" spans="2:14" x14ac:dyDescent="0.2">
      <c r="B30" s="509">
        <v>4</v>
      </c>
      <c r="C30" s="510"/>
      <c r="D30" s="474">
        <f t="shared" si="2"/>
        <v>44320</v>
      </c>
      <c r="E30" s="452" t="s">
        <v>111</v>
      </c>
      <c r="F30" s="192">
        <f t="shared" ref="F30:G45" si="3">F29</f>
        <v>49849.464</v>
      </c>
      <c r="G30" s="193">
        <f t="shared" si="3"/>
        <v>2225.4225000000001</v>
      </c>
      <c r="H30" s="190">
        <f t="shared" si="0"/>
        <v>52074.886500000001</v>
      </c>
      <c r="I30" s="191">
        <f t="shared" si="1"/>
        <v>6873885.0179999992</v>
      </c>
      <c r="J30" s="450"/>
      <c r="K30" s="434"/>
      <c r="L30" s="439"/>
      <c r="M30" s="440"/>
      <c r="N30" s="434"/>
    </row>
    <row r="31" spans="2:14" x14ac:dyDescent="0.2">
      <c r="B31" s="509">
        <v>5</v>
      </c>
      <c r="C31" s="510"/>
      <c r="D31" s="474">
        <f t="shared" si="2"/>
        <v>44351</v>
      </c>
      <c r="E31" s="452" t="s">
        <v>112</v>
      </c>
      <c r="F31" s="192">
        <f t="shared" si="3"/>
        <v>49849.464</v>
      </c>
      <c r="G31" s="193">
        <f t="shared" si="3"/>
        <v>2225.4225000000001</v>
      </c>
      <c r="H31" s="190">
        <f t="shared" si="0"/>
        <v>52074.886500000001</v>
      </c>
      <c r="I31" s="191">
        <f t="shared" si="1"/>
        <v>6821810.1314999992</v>
      </c>
      <c r="J31" s="450"/>
      <c r="K31" s="434"/>
      <c r="L31" s="439"/>
      <c r="M31" s="440"/>
      <c r="N31" s="434"/>
    </row>
    <row r="32" spans="2:14" x14ac:dyDescent="0.2">
      <c r="B32" s="509">
        <v>6</v>
      </c>
      <c r="C32" s="510"/>
      <c r="D32" s="474">
        <f t="shared" si="2"/>
        <v>44381</v>
      </c>
      <c r="E32" s="452" t="s">
        <v>113</v>
      </c>
      <c r="F32" s="192">
        <f t="shared" si="3"/>
        <v>49849.464</v>
      </c>
      <c r="G32" s="193">
        <f t="shared" si="3"/>
        <v>2225.4225000000001</v>
      </c>
      <c r="H32" s="190">
        <f t="shared" si="0"/>
        <v>52074.886500000001</v>
      </c>
      <c r="I32" s="191">
        <f t="shared" si="1"/>
        <v>6769735.2449999992</v>
      </c>
      <c r="J32" s="450"/>
      <c r="K32" s="434"/>
      <c r="L32" s="439"/>
      <c r="M32" s="440"/>
      <c r="N32" s="434"/>
    </row>
    <row r="33" spans="2:14" x14ac:dyDescent="0.2">
      <c r="B33" s="509">
        <v>7</v>
      </c>
      <c r="C33" s="510"/>
      <c r="D33" s="474">
        <f t="shared" si="2"/>
        <v>44412</v>
      </c>
      <c r="E33" s="452" t="s">
        <v>114</v>
      </c>
      <c r="F33" s="192">
        <f t="shared" si="3"/>
        <v>49849.464</v>
      </c>
      <c r="G33" s="193">
        <f t="shared" si="3"/>
        <v>2225.4225000000001</v>
      </c>
      <c r="H33" s="190">
        <f t="shared" si="0"/>
        <v>52074.886500000001</v>
      </c>
      <c r="I33" s="191">
        <f t="shared" si="1"/>
        <v>6717660.3584999992</v>
      </c>
      <c r="J33" s="450"/>
      <c r="K33" s="434"/>
      <c r="L33" s="439"/>
      <c r="M33" s="440"/>
      <c r="N33" s="434"/>
    </row>
    <row r="34" spans="2:14" x14ac:dyDescent="0.2">
      <c r="B34" s="509">
        <v>8</v>
      </c>
      <c r="C34" s="510"/>
      <c r="D34" s="474">
        <f t="shared" si="2"/>
        <v>44443</v>
      </c>
      <c r="E34" s="452" t="s">
        <v>115</v>
      </c>
      <c r="F34" s="192">
        <f t="shared" si="3"/>
        <v>49849.464</v>
      </c>
      <c r="G34" s="193">
        <f t="shared" si="3"/>
        <v>2225.4225000000001</v>
      </c>
      <c r="H34" s="190">
        <f t="shared" si="0"/>
        <v>52074.886500000001</v>
      </c>
      <c r="I34" s="191">
        <f t="shared" si="1"/>
        <v>6665585.4719999991</v>
      </c>
      <c r="J34" s="450"/>
      <c r="K34" s="434"/>
      <c r="L34" s="439"/>
      <c r="M34" s="440"/>
      <c r="N34" s="434"/>
    </row>
    <row r="35" spans="2:14" x14ac:dyDescent="0.2">
      <c r="B35" s="509">
        <v>9</v>
      </c>
      <c r="C35" s="510"/>
      <c r="D35" s="474">
        <f t="shared" si="2"/>
        <v>44473</v>
      </c>
      <c r="E35" s="452" t="s">
        <v>116</v>
      </c>
      <c r="F35" s="192">
        <f t="shared" si="3"/>
        <v>49849.464</v>
      </c>
      <c r="G35" s="193">
        <f t="shared" si="3"/>
        <v>2225.4225000000001</v>
      </c>
      <c r="H35" s="190">
        <f t="shared" si="0"/>
        <v>52074.886500000001</v>
      </c>
      <c r="I35" s="191">
        <f t="shared" si="1"/>
        <v>6613510.5854999991</v>
      </c>
      <c r="J35" s="450"/>
      <c r="K35" s="434"/>
      <c r="L35" s="439"/>
      <c r="M35" s="440"/>
      <c r="N35" s="434"/>
    </row>
    <row r="36" spans="2:14" x14ac:dyDescent="0.2">
      <c r="B36" s="509">
        <v>10</v>
      </c>
      <c r="C36" s="510"/>
      <c r="D36" s="474">
        <f t="shared" si="2"/>
        <v>44504</v>
      </c>
      <c r="E36" s="452" t="s">
        <v>117</v>
      </c>
      <c r="F36" s="192">
        <f t="shared" si="3"/>
        <v>49849.464</v>
      </c>
      <c r="G36" s="193">
        <f t="shared" si="3"/>
        <v>2225.4225000000001</v>
      </c>
      <c r="H36" s="190">
        <f t="shared" si="0"/>
        <v>52074.886500000001</v>
      </c>
      <c r="I36" s="191">
        <f t="shared" si="1"/>
        <v>6561435.6989999991</v>
      </c>
      <c r="J36" s="450"/>
      <c r="K36" s="434"/>
      <c r="L36" s="439"/>
      <c r="M36" s="440"/>
      <c r="N36" s="434"/>
    </row>
    <row r="37" spans="2:14" x14ac:dyDescent="0.2">
      <c r="B37" s="509">
        <v>11</v>
      </c>
      <c r="C37" s="510"/>
      <c r="D37" s="474">
        <f t="shared" si="2"/>
        <v>44534</v>
      </c>
      <c r="E37" s="452" t="s">
        <v>118</v>
      </c>
      <c r="F37" s="192">
        <f t="shared" si="3"/>
        <v>49849.464</v>
      </c>
      <c r="G37" s="193">
        <f t="shared" si="3"/>
        <v>2225.4225000000001</v>
      </c>
      <c r="H37" s="190">
        <f t="shared" si="0"/>
        <v>52074.886500000001</v>
      </c>
      <c r="I37" s="191">
        <f t="shared" si="1"/>
        <v>6509360.8124999991</v>
      </c>
      <c r="J37" s="450"/>
      <c r="K37" s="434"/>
      <c r="L37" s="439"/>
      <c r="M37" s="440"/>
      <c r="N37" s="434"/>
    </row>
    <row r="38" spans="2:14" x14ac:dyDescent="0.2">
      <c r="B38" s="509">
        <v>12</v>
      </c>
      <c r="C38" s="510"/>
      <c r="D38" s="474">
        <f t="shared" si="2"/>
        <v>44565</v>
      </c>
      <c r="E38" s="452" t="s">
        <v>119</v>
      </c>
      <c r="F38" s="192">
        <f t="shared" si="3"/>
        <v>49849.464</v>
      </c>
      <c r="G38" s="193">
        <f t="shared" si="3"/>
        <v>2225.4225000000001</v>
      </c>
      <c r="H38" s="190">
        <f t="shared" si="0"/>
        <v>52074.886500000001</v>
      </c>
      <c r="I38" s="191">
        <f t="shared" si="1"/>
        <v>6457285.925999999</v>
      </c>
      <c r="J38" s="450"/>
      <c r="K38" s="434"/>
      <c r="L38" s="439"/>
      <c r="M38" s="440"/>
      <c r="N38" s="434"/>
    </row>
    <row r="39" spans="2:14" x14ac:dyDescent="0.2">
      <c r="B39" s="509">
        <v>13</v>
      </c>
      <c r="C39" s="510"/>
      <c r="D39" s="474">
        <f t="shared" si="2"/>
        <v>44596</v>
      </c>
      <c r="E39" s="452" t="s">
        <v>120</v>
      </c>
      <c r="F39" s="192">
        <f t="shared" si="3"/>
        <v>49849.464</v>
      </c>
      <c r="G39" s="193">
        <f t="shared" si="3"/>
        <v>2225.4225000000001</v>
      </c>
      <c r="H39" s="190">
        <f t="shared" si="0"/>
        <v>52074.886500000001</v>
      </c>
      <c r="I39" s="191">
        <f t="shared" si="1"/>
        <v>6405211.039499999</v>
      </c>
      <c r="J39" s="450"/>
      <c r="K39" s="434"/>
      <c r="L39" s="439"/>
      <c r="M39" s="440"/>
      <c r="N39" s="434"/>
    </row>
    <row r="40" spans="2:14" x14ac:dyDescent="0.2">
      <c r="B40" s="509">
        <v>14</v>
      </c>
      <c r="C40" s="510"/>
      <c r="D40" s="474">
        <f t="shared" si="2"/>
        <v>44624</v>
      </c>
      <c r="E40" s="452" t="s">
        <v>121</v>
      </c>
      <c r="F40" s="192">
        <f t="shared" si="3"/>
        <v>49849.464</v>
      </c>
      <c r="G40" s="193">
        <f t="shared" si="3"/>
        <v>2225.4225000000001</v>
      </c>
      <c r="H40" s="190">
        <f t="shared" si="0"/>
        <v>52074.886500000001</v>
      </c>
      <c r="I40" s="191">
        <f t="shared" si="1"/>
        <v>6353136.152999999</v>
      </c>
      <c r="J40" s="450"/>
      <c r="K40" s="434"/>
      <c r="L40" s="439"/>
      <c r="M40" s="440"/>
      <c r="N40" s="434"/>
    </row>
    <row r="41" spans="2:14" x14ac:dyDescent="0.2">
      <c r="B41" s="509">
        <v>15</v>
      </c>
      <c r="C41" s="510"/>
      <c r="D41" s="474">
        <f t="shared" si="2"/>
        <v>44655</v>
      </c>
      <c r="E41" s="452" t="s">
        <v>122</v>
      </c>
      <c r="F41" s="192">
        <f t="shared" si="3"/>
        <v>49849.464</v>
      </c>
      <c r="G41" s="193">
        <f t="shared" si="3"/>
        <v>2225.4225000000001</v>
      </c>
      <c r="H41" s="190">
        <f t="shared" si="0"/>
        <v>52074.886500000001</v>
      </c>
      <c r="I41" s="191">
        <f t="shared" si="1"/>
        <v>6301061.266499999</v>
      </c>
      <c r="J41" s="450"/>
      <c r="K41" s="434"/>
      <c r="L41" s="439"/>
      <c r="M41" s="440"/>
      <c r="N41" s="434"/>
    </row>
    <row r="42" spans="2:14" x14ac:dyDescent="0.2">
      <c r="B42" s="509">
        <v>16</v>
      </c>
      <c r="C42" s="510"/>
      <c r="D42" s="474">
        <f t="shared" si="2"/>
        <v>44685</v>
      </c>
      <c r="E42" s="452" t="s">
        <v>123</v>
      </c>
      <c r="F42" s="192">
        <f t="shared" si="3"/>
        <v>49849.464</v>
      </c>
      <c r="G42" s="193">
        <f t="shared" si="3"/>
        <v>2225.4225000000001</v>
      </c>
      <c r="H42" s="190">
        <f t="shared" si="0"/>
        <v>52074.886500000001</v>
      </c>
      <c r="I42" s="191">
        <f t="shared" si="1"/>
        <v>6248986.379999999</v>
      </c>
      <c r="J42" s="450"/>
      <c r="K42" s="434"/>
      <c r="L42" s="439"/>
      <c r="M42" s="440"/>
      <c r="N42" s="434"/>
    </row>
    <row r="43" spans="2:14" x14ac:dyDescent="0.2">
      <c r="B43" s="509">
        <v>17</v>
      </c>
      <c r="C43" s="510"/>
      <c r="D43" s="474">
        <f t="shared" si="2"/>
        <v>44716</v>
      </c>
      <c r="E43" s="452" t="s">
        <v>124</v>
      </c>
      <c r="F43" s="192">
        <f t="shared" si="3"/>
        <v>49849.464</v>
      </c>
      <c r="G43" s="193">
        <f t="shared" si="3"/>
        <v>2225.4225000000001</v>
      </c>
      <c r="H43" s="190">
        <f t="shared" si="0"/>
        <v>52074.886500000001</v>
      </c>
      <c r="I43" s="191">
        <f t="shared" si="1"/>
        <v>6196911.4934999989</v>
      </c>
      <c r="J43" s="450"/>
      <c r="K43" s="434"/>
      <c r="L43" s="439"/>
      <c r="M43" s="440"/>
      <c r="N43" s="434"/>
    </row>
    <row r="44" spans="2:14" x14ac:dyDescent="0.2">
      <c r="B44" s="509">
        <v>18</v>
      </c>
      <c r="C44" s="510"/>
      <c r="D44" s="474">
        <f t="shared" si="2"/>
        <v>44746</v>
      </c>
      <c r="E44" s="452" t="s">
        <v>125</v>
      </c>
      <c r="F44" s="192">
        <f t="shared" si="3"/>
        <v>49849.464</v>
      </c>
      <c r="G44" s="193">
        <f t="shared" si="3"/>
        <v>2225.4225000000001</v>
      </c>
      <c r="H44" s="190">
        <f t="shared" si="0"/>
        <v>52074.886500000001</v>
      </c>
      <c r="I44" s="191">
        <f t="shared" si="1"/>
        <v>6144836.6069999989</v>
      </c>
      <c r="J44" s="450"/>
      <c r="K44" s="434"/>
      <c r="L44" s="439"/>
      <c r="M44" s="440"/>
      <c r="N44" s="434"/>
    </row>
    <row r="45" spans="2:14" x14ac:dyDescent="0.2">
      <c r="B45" s="509">
        <v>19</v>
      </c>
      <c r="C45" s="510"/>
      <c r="D45" s="474">
        <f t="shared" si="2"/>
        <v>44777</v>
      </c>
      <c r="E45" s="452" t="s">
        <v>126</v>
      </c>
      <c r="F45" s="192">
        <f t="shared" si="3"/>
        <v>49849.464</v>
      </c>
      <c r="G45" s="193">
        <f t="shared" si="3"/>
        <v>2225.4225000000001</v>
      </c>
      <c r="H45" s="190">
        <f t="shared" si="0"/>
        <v>52074.886500000001</v>
      </c>
      <c r="I45" s="191">
        <f t="shared" si="1"/>
        <v>6092761.7204999989</v>
      </c>
      <c r="J45" s="450"/>
      <c r="K45" s="434"/>
      <c r="L45" s="439"/>
      <c r="M45" s="440"/>
      <c r="N45" s="434"/>
    </row>
    <row r="46" spans="2:14" x14ac:dyDescent="0.2">
      <c r="B46" s="509">
        <v>20</v>
      </c>
      <c r="C46" s="510"/>
      <c r="D46" s="474">
        <f t="shared" si="2"/>
        <v>44808</v>
      </c>
      <c r="E46" s="452" t="s">
        <v>127</v>
      </c>
      <c r="F46" s="192">
        <f t="shared" ref="F46:G61" si="4">F45</f>
        <v>49849.464</v>
      </c>
      <c r="G46" s="193">
        <f t="shared" si="4"/>
        <v>2225.4225000000001</v>
      </c>
      <c r="H46" s="190">
        <f t="shared" si="0"/>
        <v>52074.886500000001</v>
      </c>
      <c r="I46" s="191">
        <f t="shared" si="1"/>
        <v>6040686.8339999989</v>
      </c>
      <c r="J46" s="450"/>
      <c r="K46" s="434"/>
      <c r="L46" s="439"/>
      <c r="M46" s="440"/>
      <c r="N46" s="434"/>
    </row>
    <row r="47" spans="2:14" x14ac:dyDescent="0.2">
      <c r="B47" s="509">
        <v>21</v>
      </c>
      <c r="C47" s="510"/>
      <c r="D47" s="474">
        <f t="shared" si="2"/>
        <v>44838</v>
      </c>
      <c r="E47" s="452" t="s">
        <v>128</v>
      </c>
      <c r="F47" s="192">
        <f t="shared" si="4"/>
        <v>49849.464</v>
      </c>
      <c r="G47" s="193">
        <f t="shared" si="4"/>
        <v>2225.4225000000001</v>
      </c>
      <c r="H47" s="190">
        <f t="shared" si="0"/>
        <v>52074.886500000001</v>
      </c>
      <c r="I47" s="191">
        <f t="shared" si="1"/>
        <v>5988611.9474999988</v>
      </c>
      <c r="J47" s="450"/>
      <c r="K47" s="434"/>
      <c r="L47" s="439"/>
      <c r="M47" s="440"/>
      <c r="N47" s="434"/>
    </row>
    <row r="48" spans="2:14" x14ac:dyDescent="0.2">
      <c r="B48" s="509">
        <v>22</v>
      </c>
      <c r="C48" s="510"/>
      <c r="D48" s="474">
        <f t="shared" si="2"/>
        <v>44869</v>
      </c>
      <c r="E48" s="452" t="s">
        <v>129</v>
      </c>
      <c r="F48" s="192">
        <f t="shared" si="4"/>
        <v>49849.464</v>
      </c>
      <c r="G48" s="193">
        <f t="shared" si="4"/>
        <v>2225.4225000000001</v>
      </c>
      <c r="H48" s="190">
        <f t="shared" si="0"/>
        <v>52074.886500000001</v>
      </c>
      <c r="I48" s="191">
        <f t="shared" si="1"/>
        <v>5936537.0609999988</v>
      </c>
      <c r="J48" s="450"/>
      <c r="K48" s="434"/>
      <c r="L48" s="439"/>
      <c r="M48" s="440"/>
      <c r="N48" s="434"/>
    </row>
    <row r="49" spans="2:14" x14ac:dyDescent="0.2">
      <c r="B49" s="509">
        <v>23</v>
      </c>
      <c r="C49" s="510"/>
      <c r="D49" s="474">
        <f t="shared" si="2"/>
        <v>44899</v>
      </c>
      <c r="E49" s="452" t="s">
        <v>130</v>
      </c>
      <c r="F49" s="192">
        <f>F48</f>
        <v>49849.464</v>
      </c>
      <c r="G49" s="193">
        <f t="shared" si="4"/>
        <v>2225.4225000000001</v>
      </c>
      <c r="H49" s="190">
        <f t="shared" si="0"/>
        <v>52074.886500000001</v>
      </c>
      <c r="I49" s="191">
        <f t="shared" si="1"/>
        <v>5884462.1744999988</v>
      </c>
      <c r="J49" s="450"/>
      <c r="K49" s="434"/>
      <c r="L49" s="439"/>
      <c r="M49" s="440"/>
      <c r="N49" s="434"/>
    </row>
    <row r="50" spans="2:14" x14ac:dyDescent="0.2">
      <c r="B50" s="509">
        <v>24</v>
      </c>
      <c r="C50" s="510"/>
      <c r="D50" s="474">
        <f t="shared" si="2"/>
        <v>44930</v>
      </c>
      <c r="E50" s="452" t="s">
        <v>131</v>
      </c>
      <c r="F50" s="192">
        <f t="shared" si="4"/>
        <v>49849.464</v>
      </c>
      <c r="G50" s="193">
        <f t="shared" si="4"/>
        <v>2225.4225000000001</v>
      </c>
      <c r="H50" s="190">
        <f t="shared" si="0"/>
        <v>52074.886500000001</v>
      </c>
      <c r="I50" s="191">
        <f t="shared" si="1"/>
        <v>5832387.2879999988</v>
      </c>
      <c r="J50" s="450"/>
      <c r="K50" s="434"/>
      <c r="L50" s="439"/>
      <c r="M50" s="440"/>
      <c r="N50" s="434"/>
    </row>
    <row r="51" spans="2:14" x14ac:dyDescent="0.2">
      <c r="B51" s="509">
        <v>25</v>
      </c>
      <c r="C51" s="510"/>
      <c r="D51" s="474">
        <f t="shared" si="2"/>
        <v>44961</v>
      </c>
      <c r="E51" s="452" t="s">
        <v>132</v>
      </c>
      <c r="F51" s="192">
        <f t="shared" si="4"/>
        <v>49849.464</v>
      </c>
      <c r="G51" s="193">
        <f t="shared" si="4"/>
        <v>2225.4225000000001</v>
      </c>
      <c r="H51" s="190">
        <f t="shared" si="0"/>
        <v>52074.886500000001</v>
      </c>
      <c r="I51" s="191">
        <f t="shared" si="1"/>
        <v>5780312.4014999988</v>
      </c>
      <c r="J51" s="450"/>
      <c r="K51" s="434"/>
      <c r="L51" s="439"/>
      <c r="M51" s="440"/>
      <c r="N51" s="434"/>
    </row>
    <row r="52" spans="2:14" x14ac:dyDescent="0.2">
      <c r="B52" s="509">
        <v>26</v>
      </c>
      <c r="C52" s="510"/>
      <c r="D52" s="474">
        <f t="shared" si="2"/>
        <v>44989</v>
      </c>
      <c r="E52" s="452" t="s">
        <v>133</v>
      </c>
      <c r="F52" s="192">
        <f t="shared" si="4"/>
        <v>49849.464</v>
      </c>
      <c r="G52" s="193">
        <f t="shared" si="4"/>
        <v>2225.4225000000001</v>
      </c>
      <c r="H52" s="190">
        <f t="shared" si="0"/>
        <v>52074.886500000001</v>
      </c>
      <c r="I52" s="191">
        <f t="shared" si="1"/>
        <v>5728237.5149999987</v>
      </c>
      <c r="J52" s="450"/>
      <c r="K52" s="434"/>
      <c r="L52" s="439"/>
      <c r="M52" s="440"/>
      <c r="N52" s="434"/>
    </row>
    <row r="53" spans="2:14" x14ac:dyDescent="0.2">
      <c r="B53" s="509">
        <v>27</v>
      </c>
      <c r="C53" s="510"/>
      <c r="D53" s="474">
        <f t="shared" si="2"/>
        <v>45020</v>
      </c>
      <c r="E53" s="452" t="s">
        <v>134</v>
      </c>
      <c r="F53" s="192">
        <f t="shared" si="4"/>
        <v>49849.464</v>
      </c>
      <c r="G53" s="193">
        <f t="shared" si="4"/>
        <v>2225.4225000000001</v>
      </c>
      <c r="H53" s="190">
        <f t="shared" si="0"/>
        <v>52074.886500000001</v>
      </c>
      <c r="I53" s="191">
        <f t="shared" si="1"/>
        <v>5676162.6284999987</v>
      </c>
      <c r="J53" s="450"/>
      <c r="K53" s="434"/>
      <c r="L53" s="439"/>
      <c r="M53" s="440"/>
      <c r="N53" s="434"/>
    </row>
    <row r="54" spans="2:14" x14ac:dyDescent="0.2">
      <c r="B54" s="509">
        <v>28</v>
      </c>
      <c r="C54" s="510"/>
      <c r="D54" s="474">
        <f t="shared" si="2"/>
        <v>45050</v>
      </c>
      <c r="E54" s="452" t="s">
        <v>135</v>
      </c>
      <c r="F54" s="192">
        <f t="shared" si="4"/>
        <v>49849.464</v>
      </c>
      <c r="G54" s="193">
        <f t="shared" si="4"/>
        <v>2225.4225000000001</v>
      </c>
      <c r="H54" s="190">
        <f t="shared" si="0"/>
        <v>52074.886500000001</v>
      </c>
      <c r="I54" s="191">
        <f t="shared" si="1"/>
        <v>5624087.7419999987</v>
      </c>
      <c r="J54" s="450"/>
      <c r="K54" s="434"/>
      <c r="L54" s="439"/>
      <c r="M54" s="440"/>
      <c r="N54" s="434"/>
    </row>
    <row r="55" spans="2:14" x14ac:dyDescent="0.2">
      <c r="B55" s="509">
        <v>29</v>
      </c>
      <c r="C55" s="510"/>
      <c r="D55" s="474">
        <f t="shared" si="2"/>
        <v>45081</v>
      </c>
      <c r="E55" s="452" t="s">
        <v>136</v>
      </c>
      <c r="F55" s="192">
        <f t="shared" si="4"/>
        <v>49849.464</v>
      </c>
      <c r="G55" s="193">
        <f t="shared" si="4"/>
        <v>2225.4225000000001</v>
      </c>
      <c r="H55" s="190">
        <f t="shared" si="0"/>
        <v>52074.886500000001</v>
      </c>
      <c r="I55" s="191">
        <f t="shared" si="1"/>
        <v>5572012.8554999987</v>
      </c>
      <c r="J55" s="450"/>
      <c r="K55" s="434"/>
      <c r="L55" s="439"/>
      <c r="M55" s="440"/>
      <c r="N55" s="434"/>
    </row>
    <row r="56" spans="2:14" x14ac:dyDescent="0.2">
      <c r="B56" s="509">
        <v>30</v>
      </c>
      <c r="C56" s="510"/>
      <c r="D56" s="474">
        <f t="shared" si="2"/>
        <v>45111</v>
      </c>
      <c r="E56" s="452" t="s">
        <v>137</v>
      </c>
      <c r="F56" s="192">
        <f t="shared" si="4"/>
        <v>49849.464</v>
      </c>
      <c r="G56" s="193">
        <f t="shared" si="4"/>
        <v>2225.4225000000001</v>
      </c>
      <c r="H56" s="190">
        <f t="shared" si="0"/>
        <v>52074.886500000001</v>
      </c>
      <c r="I56" s="191">
        <f t="shared" si="1"/>
        <v>5519937.9689999986</v>
      </c>
      <c r="J56" s="450"/>
      <c r="K56" s="434"/>
      <c r="L56" s="439"/>
      <c r="M56" s="440"/>
      <c r="N56" s="434"/>
    </row>
    <row r="57" spans="2:14" x14ac:dyDescent="0.2">
      <c r="B57" s="509">
        <v>31</v>
      </c>
      <c r="C57" s="510"/>
      <c r="D57" s="474">
        <f t="shared" si="2"/>
        <v>45142</v>
      </c>
      <c r="E57" s="452" t="s">
        <v>138</v>
      </c>
      <c r="F57" s="192">
        <f t="shared" si="4"/>
        <v>49849.464</v>
      </c>
      <c r="G57" s="193">
        <f t="shared" si="4"/>
        <v>2225.4225000000001</v>
      </c>
      <c r="H57" s="190">
        <f t="shared" si="0"/>
        <v>52074.886500000001</v>
      </c>
      <c r="I57" s="191">
        <f t="shared" si="1"/>
        <v>5467863.0824999986</v>
      </c>
      <c r="J57" s="450"/>
      <c r="K57" s="434"/>
      <c r="L57" s="439"/>
      <c r="M57" s="440"/>
      <c r="N57" s="434"/>
    </row>
    <row r="58" spans="2:14" x14ac:dyDescent="0.2">
      <c r="B58" s="509">
        <v>32</v>
      </c>
      <c r="C58" s="510"/>
      <c r="D58" s="474">
        <f t="shared" si="2"/>
        <v>45173</v>
      </c>
      <c r="E58" s="452" t="s">
        <v>139</v>
      </c>
      <c r="F58" s="192">
        <f t="shared" si="4"/>
        <v>49849.464</v>
      </c>
      <c r="G58" s="193">
        <f t="shared" si="4"/>
        <v>2225.4225000000001</v>
      </c>
      <c r="H58" s="190">
        <f t="shared" si="0"/>
        <v>52074.886500000001</v>
      </c>
      <c r="I58" s="191">
        <f t="shared" si="1"/>
        <v>5415788.1959999986</v>
      </c>
      <c r="J58" s="450"/>
      <c r="K58" s="434"/>
      <c r="L58" s="439"/>
      <c r="M58" s="440"/>
      <c r="N58" s="434"/>
    </row>
    <row r="59" spans="2:14" x14ac:dyDescent="0.2">
      <c r="B59" s="509">
        <v>33</v>
      </c>
      <c r="C59" s="510"/>
      <c r="D59" s="474">
        <f t="shared" si="2"/>
        <v>45203</v>
      </c>
      <c r="E59" s="452" t="s">
        <v>140</v>
      </c>
      <c r="F59" s="192">
        <f t="shared" si="4"/>
        <v>49849.464</v>
      </c>
      <c r="G59" s="193">
        <f t="shared" si="4"/>
        <v>2225.4225000000001</v>
      </c>
      <c r="H59" s="190">
        <f t="shared" si="0"/>
        <v>52074.886500000001</v>
      </c>
      <c r="I59" s="191">
        <f t="shared" si="1"/>
        <v>5363713.3094999986</v>
      </c>
      <c r="J59" s="450"/>
      <c r="K59" s="434"/>
      <c r="L59" s="439"/>
      <c r="M59" s="440"/>
      <c r="N59" s="434"/>
    </row>
    <row r="60" spans="2:14" x14ac:dyDescent="0.2">
      <c r="B60" s="509">
        <v>34</v>
      </c>
      <c r="C60" s="510"/>
      <c r="D60" s="474">
        <f t="shared" si="2"/>
        <v>45234</v>
      </c>
      <c r="E60" s="452" t="s">
        <v>141</v>
      </c>
      <c r="F60" s="192">
        <f t="shared" si="4"/>
        <v>49849.464</v>
      </c>
      <c r="G60" s="193">
        <f t="shared" si="4"/>
        <v>2225.4225000000001</v>
      </c>
      <c r="H60" s="190">
        <f t="shared" si="0"/>
        <v>52074.886500000001</v>
      </c>
      <c r="I60" s="191">
        <f t="shared" si="1"/>
        <v>5311638.4229999986</v>
      </c>
      <c r="J60" s="450"/>
      <c r="K60" s="434"/>
      <c r="L60" s="439"/>
      <c r="M60" s="440"/>
      <c r="N60" s="434"/>
    </row>
    <row r="61" spans="2:14" x14ac:dyDescent="0.2">
      <c r="B61" s="509">
        <v>35</v>
      </c>
      <c r="C61" s="510"/>
      <c r="D61" s="474">
        <f t="shared" si="2"/>
        <v>45264</v>
      </c>
      <c r="E61" s="452" t="s">
        <v>142</v>
      </c>
      <c r="F61" s="192">
        <f t="shared" si="4"/>
        <v>49849.464</v>
      </c>
      <c r="G61" s="193">
        <f t="shared" si="4"/>
        <v>2225.4225000000001</v>
      </c>
      <c r="H61" s="190">
        <f t="shared" si="0"/>
        <v>52074.886500000001</v>
      </c>
      <c r="I61" s="191">
        <f t="shared" si="1"/>
        <v>5259563.5364999985</v>
      </c>
      <c r="J61" s="450"/>
      <c r="K61" s="434"/>
      <c r="L61" s="439"/>
      <c r="M61" s="440"/>
      <c r="N61" s="434"/>
    </row>
    <row r="62" spans="2:14" x14ac:dyDescent="0.2">
      <c r="B62" s="509">
        <v>36</v>
      </c>
      <c r="C62" s="510"/>
      <c r="D62" s="474">
        <f t="shared" si="2"/>
        <v>45295</v>
      </c>
      <c r="E62" s="452" t="s">
        <v>143</v>
      </c>
      <c r="F62" s="192">
        <f t="shared" ref="F62:G77" si="5">F61</f>
        <v>49849.464</v>
      </c>
      <c r="G62" s="193">
        <f t="shared" si="5"/>
        <v>2225.4225000000001</v>
      </c>
      <c r="H62" s="190">
        <f t="shared" si="0"/>
        <v>52074.886500000001</v>
      </c>
      <c r="I62" s="191">
        <f t="shared" si="1"/>
        <v>5207488.6499999985</v>
      </c>
      <c r="J62" s="450"/>
      <c r="K62" s="434"/>
      <c r="L62" s="439"/>
      <c r="M62" s="440"/>
      <c r="N62" s="434"/>
    </row>
    <row r="63" spans="2:14" x14ac:dyDescent="0.2">
      <c r="B63" s="509">
        <v>37</v>
      </c>
      <c r="C63" s="510"/>
      <c r="D63" s="474">
        <f t="shared" si="2"/>
        <v>45326</v>
      </c>
      <c r="E63" s="452" t="s">
        <v>144</v>
      </c>
      <c r="F63" s="192">
        <f t="shared" si="5"/>
        <v>49849.464</v>
      </c>
      <c r="G63" s="193">
        <f t="shared" si="5"/>
        <v>2225.4225000000001</v>
      </c>
      <c r="H63" s="190">
        <f t="shared" si="0"/>
        <v>52074.886500000001</v>
      </c>
      <c r="I63" s="191">
        <f t="shared" si="1"/>
        <v>5155413.7634999985</v>
      </c>
      <c r="J63" s="450"/>
      <c r="K63" s="434"/>
      <c r="L63" s="439"/>
      <c r="M63" s="440"/>
      <c r="N63" s="434"/>
    </row>
    <row r="64" spans="2:14" x14ac:dyDescent="0.2">
      <c r="B64" s="509">
        <v>38</v>
      </c>
      <c r="C64" s="510"/>
      <c r="D64" s="474">
        <f t="shared" si="2"/>
        <v>45355</v>
      </c>
      <c r="E64" s="452" t="s">
        <v>145</v>
      </c>
      <c r="F64" s="192">
        <f t="shared" si="5"/>
        <v>49849.464</v>
      </c>
      <c r="G64" s="193">
        <f t="shared" si="5"/>
        <v>2225.4225000000001</v>
      </c>
      <c r="H64" s="190">
        <f t="shared" si="0"/>
        <v>52074.886500000001</v>
      </c>
      <c r="I64" s="191">
        <f t="shared" si="1"/>
        <v>5103338.8769999985</v>
      </c>
      <c r="J64" s="450"/>
      <c r="K64" s="434"/>
      <c r="L64" s="439"/>
      <c r="M64" s="440"/>
      <c r="N64" s="434"/>
    </row>
    <row r="65" spans="2:14" x14ac:dyDescent="0.2">
      <c r="B65" s="509">
        <v>39</v>
      </c>
      <c r="C65" s="510"/>
      <c r="D65" s="474">
        <f t="shared" si="2"/>
        <v>45386</v>
      </c>
      <c r="E65" s="452" t="s">
        <v>146</v>
      </c>
      <c r="F65" s="192">
        <f t="shared" si="5"/>
        <v>49849.464</v>
      </c>
      <c r="G65" s="193">
        <f t="shared" si="5"/>
        <v>2225.4225000000001</v>
      </c>
      <c r="H65" s="190">
        <f t="shared" si="0"/>
        <v>52074.886500000001</v>
      </c>
      <c r="I65" s="191">
        <f t="shared" si="1"/>
        <v>5051263.9904999984</v>
      </c>
      <c r="J65" s="450"/>
      <c r="K65" s="434"/>
      <c r="L65" s="439"/>
      <c r="M65" s="440"/>
      <c r="N65" s="434"/>
    </row>
    <row r="66" spans="2:14" x14ac:dyDescent="0.2">
      <c r="B66" s="509">
        <v>40</v>
      </c>
      <c r="C66" s="510"/>
      <c r="D66" s="474">
        <f t="shared" si="2"/>
        <v>45416</v>
      </c>
      <c r="E66" s="452" t="s">
        <v>147</v>
      </c>
      <c r="F66" s="192">
        <f t="shared" si="5"/>
        <v>49849.464</v>
      </c>
      <c r="G66" s="193">
        <f t="shared" si="5"/>
        <v>2225.4225000000001</v>
      </c>
      <c r="H66" s="190">
        <f t="shared" si="0"/>
        <v>52074.886500000001</v>
      </c>
      <c r="I66" s="191">
        <f t="shared" si="1"/>
        <v>4999189.1039999984</v>
      </c>
      <c r="J66" s="450"/>
      <c r="K66" s="434"/>
      <c r="L66" s="439"/>
      <c r="M66" s="440"/>
      <c r="N66" s="434"/>
    </row>
    <row r="67" spans="2:14" x14ac:dyDescent="0.2">
      <c r="B67" s="509">
        <v>41</v>
      </c>
      <c r="C67" s="510"/>
      <c r="D67" s="474">
        <f t="shared" si="2"/>
        <v>45447</v>
      </c>
      <c r="E67" s="452" t="s">
        <v>148</v>
      </c>
      <c r="F67" s="192">
        <f t="shared" si="5"/>
        <v>49849.464</v>
      </c>
      <c r="G67" s="193">
        <f t="shared" si="5"/>
        <v>2225.4225000000001</v>
      </c>
      <c r="H67" s="190">
        <f t="shared" si="0"/>
        <v>52074.886500000001</v>
      </c>
      <c r="I67" s="191">
        <f t="shared" si="1"/>
        <v>4947114.2174999984</v>
      </c>
      <c r="J67" s="450"/>
      <c r="K67" s="434"/>
      <c r="L67" s="439"/>
      <c r="M67" s="440"/>
      <c r="N67" s="434"/>
    </row>
    <row r="68" spans="2:14" x14ac:dyDescent="0.2">
      <c r="B68" s="509">
        <v>42</v>
      </c>
      <c r="C68" s="510"/>
      <c r="D68" s="474">
        <f t="shared" si="2"/>
        <v>45477</v>
      </c>
      <c r="E68" s="452" t="s">
        <v>149</v>
      </c>
      <c r="F68" s="192">
        <f t="shared" si="5"/>
        <v>49849.464</v>
      </c>
      <c r="G68" s="193">
        <f t="shared" si="5"/>
        <v>2225.4225000000001</v>
      </c>
      <c r="H68" s="190">
        <f t="shared" si="0"/>
        <v>52074.886500000001</v>
      </c>
      <c r="I68" s="191">
        <f t="shared" si="1"/>
        <v>4895039.3309999984</v>
      </c>
      <c r="J68" s="450"/>
      <c r="K68" s="434"/>
      <c r="L68" s="439"/>
      <c r="M68" s="440"/>
      <c r="N68" s="434"/>
    </row>
    <row r="69" spans="2:14" x14ac:dyDescent="0.2">
      <c r="B69" s="509">
        <v>43</v>
      </c>
      <c r="C69" s="510"/>
      <c r="D69" s="474">
        <f t="shared" si="2"/>
        <v>45508</v>
      </c>
      <c r="E69" s="452" t="s">
        <v>150</v>
      </c>
      <c r="F69" s="192">
        <f t="shared" si="5"/>
        <v>49849.464</v>
      </c>
      <c r="G69" s="193">
        <f t="shared" si="5"/>
        <v>2225.4225000000001</v>
      </c>
      <c r="H69" s="190">
        <f t="shared" si="0"/>
        <v>52074.886500000001</v>
      </c>
      <c r="I69" s="191">
        <f t="shared" si="1"/>
        <v>4842964.4444999984</v>
      </c>
      <c r="J69" s="450"/>
      <c r="K69" s="434"/>
      <c r="L69" s="439"/>
      <c r="M69" s="440"/>
      <c r="N69" s="434"/>
    </row>
    <row r="70" spans="2:14" x14ac:dyDescent="0.2">
      <c r="B70" s="509">
        <v>44</v>
      </c>
      <c r="C70" s="510"/>
      <c r="D70" s="474">
        <f t="shared" si="2"/>
        <v>45539</v>
      </c>
      <c r="E70" s="452" t="s">
        <v>151</v>
      </c>
      <c r="F70" s="192">
        <f t="shared" si="5"/>
        <v>49849.464</v>
      </c>
      <c r="G70" s="193">
        <f t="shared" si="5"/>
        <v>2225.4225000000001</v>
      </c>
      <c r="H70" s="190">
        <f t="shared" si="0"/>
        <v>52074.886500000001</v>
      </c>
      <c r="I70" s="191">
        <f t="shared" si="1"/>
        <v>4790889.5579999983</v>
      </c>
      <c r="J70" s="450"/>
      <c r="K70" s="434"/>
      <c r="L70" s="439"/>
      <c r="M70" s="440"/>
      <c r="N70" s="434"/>
    </row>
    <row r="71" spans="2:14" x14ac:dyDescent="0.2">
      <c r="B71" s="509">
        <v>45</v>
      </c>
      <c r="C71" s="510"/>
      <c r="D71" s="474">
        <f t="shared" si="2"/>
        <v>45569</v>
      </c>
      <c r="E71" s="452" t="s">
        <v>152</v>
      </c>
      <c r="F71" s="192">
        <f t="shared" si="5"/>
        <v>49849.464</v>
      </c>
      <c r="G71" s="193">
        <f t="shared" si="5"/>
        <v>2225.4225000000001</v>
      </c>
      <c r="H71" s="190">
        <f t="shared" si="0"/>
        <v>52074.886500000001</v>
      </c>
      <c r="I71" s="191">
        <f t="shared" si="1"/>
        <v>4738814.6714999983</v>
      </c>
      <c r="J71" s="450"/>
      <c r="K71" s="434"/>
      <c r="L71" s="439"/>
      <c r="M71" s="440"/>
      <c r="N71" s="434"/>
    </row>
    <row r="72" spans="2:14" x14ac:dyDescent="0.2">
      <c r="B72" s="509">
        <v>46</v>
      </c>
      <c r="C72" s="510"/>
      <c r="D72" s="474">
        <f t="shared" si="2"/>
        <v>45600</v>
      </c>
      <c r="E72" s="452" t="s">
        <v>153</v>
      </c>
      <c r="F72" s="192">
        <f t="shared" si="5"/>
        <v>49849.464</v>
      </c>
      <c r="G72" s="193">
        <f t="shared" si="5"/>
        <v>2225.4225000000001</v>
      </c>
      <c r="H72" s="190">
        <f t="shared" si="0"/>
        <v>52074.886500000001</v>
      </c>
      <c r="I72" s="191">
        <f t="shared" si="1"/>
        <v>4686739.7849999983</v>
      </c>
      <c r="J72" s="450"/>
      <c r="K72" s="434"/>
      <c r="L72" s="439"/>
      <c r="M72" s="440"/>
      <c r="N72" s="434"/>
    </row>
    <row r="73" spans="2:14" x14ac:dyDescent="0.2">
      <c r="B73" s="509">
        <v>47</v>
      </c>
      <c r="C73" s="510"/>
      <c r="D73" s="474">
        <f t="shared" si="2"/>
        <v>45630</v>
      </c>
      <c r="E73" s="452" t="s">
        <v>154</v>
      </c>
      <c r="F73" s="192">
        <f t="shared" si="5"/>
        <v>49849.464</v>
      </c>
      <c r="G73" s="193">
        <f t="shared" si="5"/>
        <v>2225.4225000000001</v>
      </c>
      <c r="H73" s="190">
        <f t="shared" si="0"/>
        <v>52074.886500000001</v>
      </c>
      <c r="I73" s="191">
        <f t="shared" si="1"/>
        <v>4634664.8984999983</v>
      </c>
      <c r="J73" s="450"/>
      <c r="K73" s="434"/>
      <c r="L73" s="439"/>
      <c r="M73" s="440"/>
      <c r="N73" s="434"/>
    </row>
    <row r="74" spans="2:14" x14ac:dyDescent="0.2">
      <c r="B74" s="509">
        <v>48</v>
      </c>
      <c r="C74" s="510"/>
      <c r="D74" s="474">
        <f t="shared" si="2"/>
        <v>45661</v>
      </c>
      <c r="E74" s="452" t="s">
        <v>155</v>
      </c>
      <c r="F74" s="192">
        <f t="shared" si="5"/>
        <v>49849.464</v>
      </c>
      <c r="G74" s="193">
        <f t="shared" si="5"/>
        <v>2225.4225000000001</v>
      </c>
      <c r="H74" s="190">
        <f t="shared" si="0"/>
        <v>52074.886500000001</v>
      </c>
      <c r="I74" s="191">
        <f t="shared" si="1"/>
        <v>4582590.0119999982</v>
      </c>
      <c r="J74" s="450"/>
      <c r="K74" s="434"/>
      <c r="L74" s="439"/>
      <c r="M74" s="440"/>
      <c r="N74" s="434"/>
    </row>
    <row r="75" spans="2:14" x14ac:dyDescent="0.2">
      <c r="B75" s="509">
        <v>49</v>
      </c>
      <c r="C75" s="510"/>
      <c r="D75" s="474">
        <f t="shared" si="2"/>
        <v>45692</v>
      </c>
      <c r="E75" s="452" t="s">
        <v>156</v>
      </c>
      <c r="F75" s="192">
        <f t="shared" si="5"/>
        <v>49849.464</v>
      </c>
      <c r="G75" s="193">
        <f t="shared" si="5"/>
        <v>2225.4225000000001</v>
      </c>
      <c r="H75" s="190">
        <f t="shared" si="0"/>
        <v>52074.886500000001</v>
      </c>
      <c r="I75" s="191">
        <f t="shared" si="1"/>
        <v>4530515.1254999982</v>
      </c>
      <c r="J75" s="450"/>
      <c r="K75" s="434"/>
      <c r="L75" s="439"/>
      <c r="M75" s="440"/>
      <c r="N75" s="434"/>
    </row>
    <row r="76" spans="2:14" x14ac:dyDescent="0.2">
      <c r="B76" s="509">
        <v>50</v>
      </c>
      <c r="C76" s="510"/>
      <c r="D76" s="474">
        <f t="shared" si="2"/>
        <v>45720</v>
      </c>
      <c r="E76" s="452" t="s">
        <v>157</v>
      </c>
      <c r="F76" s="192">
        <f t="shared" si="5"/>
        <v>49849.464</v>
      </c>
      <c r="G76" s="193">
        <f t="shared" si="5"/>
        <v>2225.4225000000001</v>
      </c>
      <c r="H76" s="190">
        <f t="shared" si="0"/>
        <v>52074.886500000001</v>
      </c>
      <c r="I76" s="191">
        <f t="shared" si="1"/>
        <v>4478440.2389999982</v>
      </c>
      <c r="J76" s="450"/>
      <c r="K76" s="434"/>
      <c r="L76" s="439"/>
      <c r="M76" s="440"/>
      <c r="N76" s="434"/>
    </row>
    <row r="77" spans="2:14" x14ac:dyDescent="0.2">
      <c r="B77" s="509">
        <v>51</v>
      </c>
      <c r="C77" s="510"/>
      <c r="D77" s="474">
        <f t="shared" si="2"/>
        <v>45751</v>
      </c>
      <c r="E77" s="452" t="s">
        <v>158</v>
      </c>
      <c r="F77" s="192">
        <f t="shared" si="5"/>
        <v>49849.464</v>
      </c>
      <c r="G77" s="193">
        <f t="shared" si="5"/>
        <v>2225.4225000000001</v>
      </c>
      <c r="H77" s="190">
        <f t="shared" si="0"/>
        <v>52074.886500000001</v>
      </c>
      <c r="I77" s="191">
        <f t="shared" si="1"/>
        <v>4426365.3524999982</v>
      </c>
      <c r="J77" s="450"/>
      <c r="K77" s="434"/>
      <c r="L77" s="439"/>
      <c r="M77" s="440"/>
      <c r="N77" s="434"/>
    </row>
    <row r="78" spans="2:14" x14ac:dyDescent="0.2">
      <c r="B78" s="509">
        <v>52</v>
      </c>
      <c r="C78" s="510"/>
      <c r="D78" s="474">
        <f t="shared" si="2"/>
        <v>45781</v>
      </c>
      <c r="E78" s="452" t="s">
        <v>159</v>
      </c>
      <c r="F78" s="192">
        <f t="shared" ref="F78:G87" si="6">F77</f>
        <v>49849.464</v>
      </c>
      <c r="G78" s="193">
        <f t="shared" si="6"/>
        <v>2225.4225000000001</v>
      </c>
      <c r="H78" s="190">
        <f t="shared" si="0"/>
        <v>52074.886500000001</v>
      </c>
      <c r="I78" s="191">
        <f t="shared" si="1"/>
        <v>4374290.4659999982</v>
      </c>
      <c r="J78" s="450"/>
      <c r="K78" s="434"/>
      <c r="L78" s="439"/>
      <c r="M78" s="440"/>
      <c r="N78" s="434"/>
    </row>
    <row r="79" spans="2:14" x14ac:dyDescent="0.2">
      <c r="B79" s="509">
        <v>53</v>
      </c>
      <c r="C79" s="510"/>
      <c r="D79" s="474">
        <f t="shared" si="2"/>
        <v>45812</v>
      </c>
      <c r="E79" s="452" t="s">
        <v>160</v>
      </c>
      <c r="F79" s="192">
        <f t="shared" si="6"/>
        <v>49849.464</v>
      </c>
      <c r="G79" s="193">
        <f t="shared" si="6"/>
        <v>2225.4225000000001</v>
      </c>
      <c r="H79" s="190">
        <f t="shared" si="0"/>
        <v>52074.886500000001</v>
      </c>
      <c r="I79" s="191">
        <f t="shared" si="1"/>
        <v>4322215.5794999981</v>
      </c>
      <c r="J79" s="450"/>
      <c r="K79" s="434"/>
      <c r="L79" s="439"/>
      <c r="M79" s="440"/>
      <c r="N79" s="434"/>
    </row>
    <row r="80" spans="2:14" x14ac:dyDescent="0.2">
      <c r="B80" s="509">
        <v>54</v>
      </c>
      <c r="C80" s="510"/>
      <c r="D80" s="474">
        <f t="shared" si="2"/>
        <v>45842</v>
      </c>
      <c r="E80" s="452" t="s">
        <v>161</v>
      </c>
      <c r="F80" s="192">
        <f t="shared" si="6"/>
        <v>49849.464</v>
      </c>
      <c r="G80" s="193">
        <f t="shared" si="6"/>
        <v>2225.4225000000001</v>
      </c>
      <c r="H80" s="190">
        <f t="shared" si="0"/>
        <v>52074.886500000001</v>
      </c>
      <c r="I80" s="191">
        <f t="shared" si="1"/>
        <v>4270140.6929999981</v>
      </c>
      <c r="J80" s="450"/>
      <c r="K80" s="434"/>
      <c r="L80" s="439"/>
      <c r="M80" s="440"/>
      <c r="N80" s="434"/>
    </row>
    <row r="81" spans="2:14" x14ac:dyDescent="0.2">
      <c r="B81" s="509">
        <v>55</v>
      </c>
      <c r="C81" s="510"/>
      <c r="D81" s="474">
        <f t="shared" si="2"/>
        <v>45873</v>
      </c>
      <c r="E81" s="452" t="s">
        <v>162</v>
      </c>
      <c r="F81" s="192">
        <f t="shared" si="6"/>
        <v>49849.464</v>
      </c>
      <c r="G81" s="193">
        <f t="shared" si="6"/>
        <v>2225.4225000000001</v>
      </c>
      <c r="H81" s="190">
        <f t="shared" si="0"/>
        <v>52074.886500000001</v>
      </c>
      <c r="I81" s="191">
        <f t="shared" si="1"/>
        <v>4218065.8064999981</v>
      </c>
      <c r="J81" s="450"/>
      <c r="K81" s="434"/>
      <c r="L81" s="439"/>
      <c r="M81" s="440"/>
      <c r="N81" s="434"/>
    </row>
    <row r="82" spans="2:14" x14ac:dyDescent="0.2">
      <c r="B82" s="509">
        <v>56</v>
      </c>
      <c r="C82" s="510"/>
      <c r="D82" s="474">
        <f t="shared" si="2"/>
        <v>45904</v>
      </c>
      <c r="E82" s="452" t="s">
        <v>163</v>
      </c>
      <c r="F82" s="192">
        <f t="shared" si="6"/>
        <v>49849.464</v>
      </c>
      <c r="G82" s="193">
        <f t="shared" si="6"/>
        <v>2225.4225000000001</v>
      </c>
      <c r="H82" s="190">
        <f t="shared" si="0"/>
        <v>52074.886500000001</v>
      </c>
      <c r="I82" s="191">
        <f t="shared" si="1"/>
        <v>4165990.9199999981</v>
      </c>
      <c r="J82" s="450"/>
      <c r="K82" s="434"/>
      <c r="L82" s="439"/>
      <c r="M82" s="440"/>
      <c r="N82" s="434"/>
    </row>
    <row r="83" spans="2:14" x14ac:dyDescent="0.2">
      <c r="B83" s="509">
        <v>57</v>
      </c>
      <c r="C83" s="510"/>
      <c r="D83" s="474">
        <f t="shared" si="2"/>
        <v>45934</v>
      </c>
      <c r="E83" s="452" t="s">
        <v>164</v>
      </c>
      <c r="F83" s="192">
        <f t="shared" si="6"/>
        <v>49849.464</v>
      </c>
      <c r="G83" s="193">
        <f t="shared" si="6"/>
        <v>2225.4225000000001</v>
      </c>
      <c r="H83" s="190">
        <f t="shared" si="0"/>
        <v>52074.886500000001</v>
      </c>
      <c r="I83" s="191">
        <f t="shared" si="1"/>
        <v>4113916.033499998</v>
      </c>
      <c r="J83" s="450"/>
      <c r="K83" s="434"/>
      <c r="L83" s="439"/>
      <c r="M83" s="440"/>
      <c r="N83" s="434"/>
    </row>
    <row r="84" spans="2:14" x14ac:dyDescent="0.2">
      <c r="B84" s="509">
        <v>58</v>
      </c>
      <c r="C84" s="510"/>
      <c r="D84" s="474">
        <f t="shared" si="2"/>
        <v>45965</v>
      </c>
      <c r="E84" s="452" t="s">
        <v>165</v>
      </c>
      <c r="F84" s="192">
        <f t="shared" si="6"/>
        <v>49849.464</v>
      </c>
      <c r="G84" s="193">
        <f t="shared" si="6"/>
        <v>2225.4225000000001</v>
      </c>
      <c r="H84" s="190">
        <f t="shared" si="0"/>
        <v>52074.886500000001</v>
      </c>
      <c r="I84" s="191">
        <f t="shared" si="1"/>
        <v>4061841.146999998</v>
      </c>
      <c r="J84" s="450"/>
      <c r="K84" s="434"/>
      <c r="L84" s="439"/>
      <c r="M84" s="440"/>
      <c r="N84" s="434"/>
    </row>
    <row r="85" spans="2:14" x14ac:dyDescent="0.2">
      <c r="B85" s="509">
        <v>59</v>
      </c>
      <c r="C85" s="510"/>
      <c r="D85" s="474">
        <f t="shared" si="2"/>
        <v>45995</v>
      </c>
      <c r="E85" s="452" t="s">
        <v>166</v>
      </c>
      <c r="F85" s="192">
        <f t="shared" si="6"/>
        <v>49849.464</v>
      </c>
      <c r="G85" s="193">
        <f t="shared" si="6"/>
        <v>2225.4225000000001</v>
      </c>
      <c r="H85" s="190">
        <f t="shared" si="0"/>
        <v>52074.886500000001</v>
      </c>
      <c r="I85" s="191">
        <f t="shared" si="1"/>
        <v>4009766.260499998</v>
      </c>
      <c r="J85" s="450"/>
      <c r="K85" s="434"/>
      <c r="L85" s="439"/>
      <c r="M85" s="440"/>
      <c r="N85" s="434"/>
    </row>
    <row r="86" spans="2:14" x14ac:dyDescent="0.2">
      <c r="B86" s="509">
        <v>60</v>
      </c>
      <c r="C86" s="510"/>
      <c r="D86" s="474">
        <f t="shared" si="2"/>
        <v>46026</v>
      </c>
      <c r="E86" s="452" t="s">
        <v>167</v>
      </c>
      <c r="F86" s="192">
        <f>F85</f>
        <v>49849.464</v>
      </c>
      <c r="G86" s="193">
        <f t="shared" si="6"/>
        <v>2225.4225000000001</v>
      </c>
      <c r="H86" s="190">
        <f t="shared" si="0"/>
        <v>52074.886500000001</v>
      </c>
      <c r="I86" s="191">
        <f t="shared" si="1"/>
        <v>3957691.373999998</v>
      </c>
      <c r="J86" s="450"/>
      <c r="K86" s="434"/>
      <c r="L86" s="439"/>
      <c r="M86" s="440"/>
      <c r="N86" s="434"/>
    </row>
    <row r="87" spans="2:14" x14ac:dyDescent="0.2">
      <c r="B87" s="509">
        <v>61</v>
      </c>
      <c r="C87" s="510"/>
      <c r="D87" s="474">
        <f t="shared" si="2"/>
        <v>46057</v>
      </c>
      <c r="E87" s="452" t="s">
        <v>168</v>
      </c>
      <c r="F87" s="207">
        <f>F86</f>
        <v>49849.464</v>
      </c>
      <c r="G87" s="193">
        <f t="shared" si="6"/>
        <v>2225.4225000000001</v>
      </c>
      <c r="H87" s="190">
        <f t="shared" si="0"/>
        <v>52074.886500000001</v>
      </c>
      <c r="I87" s="191">
        <f t="shared" si="1"/>
        <v>3905616.487499998</v>
      </c>
      <c r="J87" s="450"/>
      <c r="K87" s="434"/>
      <c r="L87" s="439"/>
      <c r="M87" s="440"/>
      <c r="N87" s="434"/>
    </row>
    <row r="88" spans="2:14" ht="16" thickBot="1" x14ac:dyDescent="0.25">
      <c r="B88" s="531">
        <v>62</v>
      </c>
      <c r="C88" s="532"/>
      <c r="D88" s="474">
        <f t="shared" si="2"/>
        <v>46085</v>
      </c>
      <c r="E88" s="475" t="s">
        <v>175</v>
      </c>
      <c r="F88" s="194">
        <f>((D15-SUM(D16:D20))*50%)/1</f>
        <v>3738709.8</v>
      </c>
      <c r="G88" s="208">
        <f>(D22*50%)/1</f>
        <v>166906.6875</v>
      </c>
      <c r="H88" s="190">
        <f>SUM(F88:G88)</f>
        <v>3905616.4874999998</v>
      </c>
      <c r="I88" s="191">
        <f t="shared" si="1"/>
        <v>0</v>
      </c>
      <c r="J88" s="476">
        <v>1</v>
      </c>
      <c r="K88" s="434"/>
      <c r="L88" s="439">
        <f>(E23*J88)-L26</f>
        <v>-56000</v>
      </c>
      <c r="M88" s="440">
        <f>L88-F88</f>
        <v>-3794709.8</v>
      </c>
      <c r="N88" s="434"/>
    </row>
    <row r="89" spans="2:14" ht="16" thickBot="1" x14ac:dyDescent="0.25">
      <c r="B89" s="454"/>
      <c r="C89" s="455"/>
      <c r="D89" s="456"/>
      <c r="E89" s="457" t="s">
        <v>96</v>
      </c>
      <c r="F89" s="196">
        <f>SUM(F26:F88)</f>
        <v>7477419.6000000034</v>
      </c>
      <c r="G89" s="196">
        <f>SUM(G26:G88)</f>
        <v>333813.37499999977</v>
      </c>
      <c r="H89" s="196">
        <f>SUM(H26:H88)</f>
        <v>7811232.9750000015</v>
      </c>
      <c r="I89" s="197"/>
      <c r="J89" s="434"/>
      <c r="K89" s="434"/>
      <c r="L89" s="439">
        <f>SUM(L26:L88)</f>
        <v>0</v>
      </c>
      <c r="M89" s="440">
        <f>L89-F89</f>
        <v>-7477419.6000000034</v>
      </c>
      <c r="N89" s="434"/>
    </row>
    <row r="90" spans="2:14" x14ac:dyDescent="0.2">
      <c r="D90" s="458"/>
      <c r="L90" s="459"/>
    </row>
    <row r="91" spans="2:14" x14ac:dyDescent="0.2">
      <c r="B91" s="529" t="s">
        <v>195</v>
      </c>
      <c r="C91" s="535"/>
      <c r="D91" s="535"/>
      <c r="E91" s="535"/>
      <c r="F91" s="535"/>
      <c r="G91" s="535"/>
      <c r="H91" s="535"/>
      <c r="I91" s="535"/>
      <c r="L91" s="459"/>
    </row>
    <row r="92" spans="2:14" x14ac:dyDescent="0.2">
      <c r="B92" s="535"/>
      <c r="C92" s="535"/>
      <c r="D92" s="535"/>
      <c r="E92" s="535"/>
      <c r="F92" s="535"/>
      <c r="G92" s="535"/>
      <c r="H92" s="535"/>
      <c r="I92" s="535"/>
      <c r="L92" s="459"/>
    </row>
    <row r="93" spans="2:14" x14ac:dyDescent="0.2">
      <c r="B93" s="535"/>
      <c r="C93" s="535"/>
      <c r="D93" s="535"/>
      <c r="E93" s="535"/>
      <c r="F93" s="535"/>
      <c r="G93" s="535"/>
      <c r="H93" s="535"/>
      <c r="I93" s="535"/>
      <c r="L93" s="459"/>
    </row>
    <row r="94" spans="2:14" x14ac:dyDescent="0.2">
      <c r="B94" s="535"/>
      <c r="C94" s="535"/>
      <c r="D94" s="535"/>
      <c r="E94" s="535"/>
      <c r="F94" s="535"/>
      <c r="G94" s="535"/>
      <c r="H94" s="535"/>
      <c r="I94" s="535"/>
      <c r="L94" s="459"/>
    </row>
    <row r="95" spans="2:14" x14ac:dyDescent="0.2">
      <c r="B95" s="535"/>
      <c r="C95" s="535"/>
      <c r="D95" s="535"/>
      <c r="E95" s="535"/>
      <c r="F95" s="535"/>
      <c r="G95" s="535"/>
      <c r="H95" s="535"/>
      <c r="I95" s="535"/>
      <c r="L95" s="459"/>
    </row>
    <row r="96" spans="2:14" x14ac:dyDescent="0.2">
      <c r="B96" s="535"/>
      <c r="C96" s="535"/>
      <c r="D96" s="535"/>
      <c r="E96" s="535"/>
      <c r="F96" s="535"/>
      <c r="G96" s="535"/>
      <c r="H96" s="535"/>
      <c r="I96" s="535"/>
      <c r="L96" s="459"/>
    </row>
    <row r="97" spans="2:12" x14ac:dyDescent="0.2">
      <c r="B97" s="535"/>
      <c r="C97" s="535"/>
      <c r="D97" s="535"/>
      <c r="E97" s="535"/>
      <c r="F97" s="535"/>
      <c r="G97" s="535"/>
      <c r="H97" s="535"/>
      <c r="I97" s="535"/>
      <c r="L97" s="459"/>
    </row>
    <row r="98" spans="2:12" x14ac:dyDescent="0.2">
      <c r="B98" s="535"/>
      <c r="C98" s="535"/>
      <c r="D98" s="535"/>
      <c r="E98" s="535"/>
      <c r="F98" s="535"/>
      <c r="G98" s="535"/>
      <c r="H98" s="535"/>
      <c r="I98" s="535"/>
      <c r="L98" s="459"/>
    </row>
    <row r="99" spans="2:12" x14ac:dyDescent="0.2">
      <c r="B99" s="535"/>
      <c r="C99" s="535"/>
      <c r="D99" s="535"/>
      <c r="E99" s="535"/>
      <c r="F99" s="535"/>
      <c r="G99" s="535"/>
      <c r="H99" s="535"/>
      <c r="I99" s="535"/>
      <c r="L99" s="459"/>
    </row>
    <row r="100" spans="2:12" x14ac:dyDescent="0.2">
      <c r="B100" s="535"/>
      <c r="C100" s="535"/>
      <c r="D100" s="535"/>
      <c r="E100" s="535"/>
      <c r="F100" s="535"/>
      <c r="G100" s="535"/>
      <c r="H100" s="535"/>
      <c r="I100" s="535"/>
      <c r="L100" s="459"/>
    </row>
    <row r="101" spans="2:12" x14ac:dyDescent="0.2">
      <c r="B101" s="535"/>
      <c r="C101" s="535"/>
      <c r="D101" s="535"/>
      <c r="E101" s="535"/>
      <c r="F101" s="535"/>
      <c r="G101" s="535"/>
      <c r="H101" s="535"/>
      <c r="I101" s="535"/>
      <c r="L101" s="459"/>
    </row>
    <row r="102" spans="2:12" x14ac:dyDescent="0.2">
      <c r="B102" s="535"/>
      <c r="C102" s="535"/>
      <c r="D102" s="535"/>
      <c r="E102" s="535"/>
      <c r="F102" s="535"/>
      <c r="G102" s="535"/>
      <c r="H102" s="535"/>
      <c r="I102" s="535"/>
      <c r="L102" s="459"/>
    </row>
    <row r="103" spans="2:12" x14ac:dyDescent="0.2">
      <c r="B103" s="535"/>
      <c r="C103" s="535"/>
      <c r="D103" s="535"/>
      <c r="E103" s="535"/>
      <c r="F103" s="535"/>
      <c r="G103" s="535"/>
      <c r="H103" s="535"/>
      <c r="I103" s="535"/>
      <c r="L103" s="459"/>
    </row>
    <row r="104" spans="2:12" x14ac:dyDescent="0.2">
      <c r="B104" s="535"/>
      <c r="C104" s="535"/>
      <c r="D104" s="535"/>
      <c r="E104" s="535"/>
      <c r="F104" s="535"/>
      <c r="G104" s="535"/>
      <c r="H104" s="535"/>
      <c r="I104" s="535"/>
      <c r="L104" s="459"/>
    </row>
    <row r="105" spans="2:12" x14ac:dyDescent="0.2">
      <c r="B105" s="535"/>
      <c r="C105" s="535"/>
      <c r="D105" s="535"/>
      <c r="E105" s="535"/>
      <c r="F105" s="535"/>
      <c r="G105" s="535"/>
      <c r="H105" s="535"/>
      <c r="I105" s="535"/>
      <c r="L105" s="459"/>
    </row>
    <row r="106" spans="2:12" ht="102.5" customHeight="1" x14ac:dyDescent="0.2">
      <c r="B106" s="535"/>
      <c r="C106" s="535"/>
      <c r="D106" s="535"/>
      <c r="E106" s="535"/>
      <c r="F106" s="535"/>
      <c r="G106" s="535"/>
      <c r="H106" s="535"/>
      <c r="I106" s="535"/>
      <c r="L106" s="459"/>
    </row>
    <row r="107" spans="2:12" hidden="1" x14ac:dyDescent="0.2">
      <c r="B107" s="535"/>
      <c r="C107" s="535"/>
      <c r="D107" s="535"/>
      <c r="E107" s="535"/>
      <c r="F107" s="535"/>
      <c r="G107" s="535"/>
      <c r="H107" s="535"/>
      <c r="I107" s="535"/>
      <c r="L107" s="459"/>
    </row>
    <row r="108" spans="2:12" hidden="1" x14ac:dyDescent="0.2">
      <c r="D108" s="458"/>
      <c r="L108" s="459"/>
    </row>
    <row r="109" spans="2:12" hidden="1" x14ac:dyDescent="0.2">
      <c r="B109" s="460" t="s">
        <v>97</v>
      </c>
      <c r="C109" s="460"/>
    </row>
    <row r="110" spans="2:12" hidden="1" x14ac:dyDescent="0.2">
      <c r="B110" s="461" t="s">
        <v>98</v>
      </c>
      <c r="C110" s="461"/>
    </row>
    <row r="111" spans="2:12" hidden="1" x14ac:dyDescent="0.2">
      <c r="B111" s="461" t="s">
        <v>99</v>
      </c>
      <c r="C111" s="461"/>
    </row>
    <row r="112" spans="2:12" hidden="1" x14ac:dyDescent="0.2">
      <c r="B112" s="461" t="s">
        <v>100</v>
      </c>
      <c r="C112" s="461"/>
    </row>
    <row r="113" spans="2:9" hidden="1" x14ac:dyDescent="0.2">
      <c r="B113" s="461" t="s">
        <v>101</v>
      </c>
      <c r="C113" s="461"/>
    </row>
    <row r="114" spans="2:9" s="462" customFormat="1" hidden="1" x14ac:dyDescent="0.2">
      <c r="B114" s="461" t="s">
        <v>102</v>
      </c>
      <c r="C114" s="461"/>
    </row>
    <row r="116" spans="2:9" x14ac:dyDescent="0.2">
      <c r="B116" s="463" t="s">
        <v>103</v>
      </c>
      <c r="C116" s="463"/>
    </row>
    <row r="119" spans="2:9" x14ac:dyDescent="0.2">
      <c r="B119" s="530" t="s">
        <v>104</v>
      </c>
      <c r="C119" s="530"/>
      <c r="D119" s="530"/>
      <c r="F119" s="530" t="s">
        <v>105</v>
      </c>
      <c r="G119" s="530"/>
      <c r="H119" s="530"/>
      <c r="I119" s="530"/>
    </row>
  </sheetData>
  <sheetProtection algorithmName="SHA-512" hashValue="0DbT9rHkxcC+JY3ZNGRFSSoegTUmB/9lxQjv2Zgj04uC66cKpngbkIf9CqIdOJxF5kI45XoJKSpDEKWIws5gGg==" saltValue="+fwoS6XTLX0pVqiprUMysw==" spinCount="100000" sheet="1" objects="1" scenarios="1"/>
  <mergeCells count="76">
    <mergeCell ref="B88:C88"/>
    <mergeCell ref="B91:I107"/>
    <mergeCell ref="B119:D119"/>
    <mergeCell ref="F119:I119"/>
    <mergeCell ref="B82:C82"/>
    <mergeCell ref="B83:C83"/>
    <mergeCell ref="B84:C84"/>
    <mergeCell ref="B85:C85"/>
    <mergeCell ref="B86:C86"/>
    <mergeCell ref="B87:C87"/>
    <mergeCell ref="B81:C81"/>
    <mergeCell ref="B70:C70"/>
    <mergeCell ref="B71:C71"/>
    <mergeCell ref="B72:C72"/>
    <mergeCell ref="B73:C73"/>
    <mergeCell ref="B74:C74"/>
    <mergeCell ref="B75:C75"/>
    <mergeCell ref="B76:C76"/>
    <mergeCell ref="B77:C77"/>
    <mergeCell ref="B78:C78"/>
    <mergeCell ref="B79:C79"/>
    <mergeCell ref="B80:C80"/>
    <mergeCell ref="B69:C69"/>
    <mergeCell ref="B58:C58"/>
    <mergeCell ref="B59:C59"/>
    <mergeCell ref="B60:C60"/>
    <mergeCell ref="B61:C61"/>
    <mergeCell ref="B62:C62"/>
    <mergeCell ref="B63:C63"/>
    <mergeCell ref="B64:C64"/>
    <mergeCell ref="B65:C65"/>
    <mergeCell ref="B66:C66"/>
    <mergeCell ref="B67:C67"/>
    <mergeCell ref="B68:C68"/>
    <mergeCell ref="B57:C57"/>
    <mergeCell ref="B46:C46"/>
    <mergeCell ref="B47:C47"/>
    <mergeCell ref="B48:C48"/>
    <mergeCell ref="B49:C49"/>
    <mergeCell ref="B50:C50"/>
    <mergeCell ref="B51:C51"/>
    <mergeCell ref="B52:C52"/>
    <mergeCell ref="B53:C53"/>
    <mergeCell ref="B54:C54"/>
    <mergeCell ref="B55:C55"/>
    <mergeCell ref="B56:C56"/>
    <mergeCell ref="B45:C45"/>
    <mergeCell ref="B34:C34"/>
    <mergeCell ref="B35:C35"/>
    <mergeCell ref="B36:C36"/>
    <mergeCell ref="B37:C37"/>
    <mergeCell ref="B38:C38"/>
    <mergeCell ref="B39:C39"/>
    <mergeCell ref="B40:C40"/>
    <mergeCell ref="B41:C41"/>
    <mergeCell ref="B42:C42"/>
    <mergeCell ref="B43:C43"/>
    <mergeCell ref="B44:C44"/>
    <mergeCell ref="B33:C33"/>
    <mergeCell ref="C10:D10"/>
    <mergeCell ref="C11:D11"/>
    <mergeCell ref="C12:D12"/>
    <mergeCell ref="B25:C25"/>
    <mergeCell ref="B26:C26"/>
    <mergeCell ref="B27:C27"/>
    <mergeCell ref="B28:C28"/>
    <mergeCell ref="B29:C29"/>
    <mergeCell ref="B30:C30"/>
    <mergeCell ref="B31:C31"/>
    <mergeCell ref="B32:C32"/>
    <mergeCell ref="C9:D9"/>
    <mergeCell ref="L1:L3"/>
    <mergeCell ref="I2:I3"/>
    <mergeCell ref="C6:D6"/>
    <mergeCell ref="C7:D7"/>
    <mergeCell ref="C8:D8"/>
  </mergeCells>
  <hyperlinks>
    <hyperlink ref="O3" location="Input!A1" display="Return to Input" xr:uid="{00000000-0004-0000-0E00-000000000000}"/>
  </hyperlinks>
  <pageMargins left="0.7" right="0.7" top="0.75" bottom="0.75" header="0.3" footer="0.3"/>
  <pageSetup paperSize="5" scale="52"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00B050"/>
    <pageSetUpPr fitToPage="1"/>
  </sheetPr>
  <dimension ref="B1:O112"/>
  <sheetViews>
    <sheetView topLeftCell="A79" zoomScale="125" zoomScaleNormal="125" zoomScalePageLayoutView="125" workbookViewId="0">
      <selection activeCell="O21" sqref="O21"/>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18.33203125" style="212" customWidth="1"/>
    <col min="5" max="5" width="18.5" style="212" customWidth="1"/>
    <col min="6" max="7" width="17.5" style="212" hidden="1" customWidth="1"/>
    <col min="8" max="8" width="17.5" style="212" customWidth="1"/>
    <col min="9" max="9" width="20.83203125" style="212" customWidth="1"/>
    <col min="10" max="10" width="9.33203125" style="212" bestFit="1" customWidth="1"/>
    <col min="11" max="11" width="8.83203125" style="212"/>
    <col min="12" max="12" width="26.1640625" style="212" hidden="1" customWidth="1"/>
    <col min="13" max="13" width="15.83203125" style="212" hidden="1" customWidth="1"/>
    <col min="14" max="14" width="0" style="212" hidden="1" customWidth="1"/>
    <col min="15"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5" x14ac:dyDescent="0.2">
      <c r="L1" s="511"/>
    </row>
    <row r="2" spans="2:15" x14ac:dyDescent="0.2">
      <c r="B2" s="425" t="s">
        <v>81</v>
      </c>
      <c r="F2" s="426"/>
      <c r="G2" s="426"/>
      <c r="H2" s="426"/>
      <c r="I2" s="512" t="s">
        <v>82</v>
      </c>
      <c r="L2" s="511"/>
    </row>
    <row r="3" spans="2:15" x14ac:dyDescent="0.2">
      <c r="B3" s="425" t="s">
        <v>171</v>
      </c>
      <c r="F3" s="427"/>
      <c r="G3" s="427"/>
      <c r="H3" s="427"/>
      <c r="I3" s="512"/>
      <c r="L3" s="511"/>
    </row>
    <row r="4" spans="2:15" x14ac:dyDescent="0.2">
      <c r="B4" s="425" t="s">
        <v>83</v>
      </c>
      <c r="O4" s="464" t="s">
        <v>84</v>
      </c>
    </row>
    <row r="5" spans="2:15" ht="16" thickBot="1" x14ac:dyDescent="0.25"/>
    <row r="6" spans="2:15" ht="33" customHeight="1" thickBot="1" x14ac:dyDescent="0.25">
      <c r="B6" s="429" t="s">
        <v>71</v>
      </c>
      <c r="C6" s="513">
        <f>INPUT!C12</f>
        <v>0</v>
      </c>
      <c r="D6" s="514"/>
    </row>
    <row r="7" spans="2:15" x14ac:dyDescent="0.2">
      <c r="B7" s="430" t="s">
        <v>85</v>
      </c>
      <c r="C7" s="515" t="str">
        <f>INPUT!C11</f>
        <v>Block 5 Lot 11</v>
      </c>
      <c r="D7" s="516"/>
      <c r="E7" s="425"/>
      <c r="L7" s="431"/>
      <c r="M7" s="431"/>
      <c r="N7" s="431"/>
    </row>
    <row r="8" spans="2:15" x14ac:dyDescent="0.2">
      <c r="B8" s="432" t="s">
        <v>6</v>
      </c>
      <c r="C8" s="517">
        <f>INPUT!C17</f>
        <v>520</v>
      </c>
      <c r="D8" s="518"/>
      <c r="L8" s="431"/>
      <c r="M8" s="431"/>
      <c r="N8" s="431"/>
    </row>
    <row r="9" spans="2:15" x14ac:dyDescent="0.2">
      <c r="B9" s="432" t="s">
        <v>77</v>
      </c>
      <c r="C9" s="519">
        <f>INPUT!C18</f>
        <v>9574000</v>
      </c>
      <c r="D9" s="520"/>
      <c r="L9" s="431"/>
      <c r="M9" s="431"/>
      <c r="N9" s="431"/>
    </row>
    <row r="10" spans="2:15" x14ac:dyDescent="0.2">
      <c r="B10" s="432" t="s">
        <v>86</v>
      </c>
      <c r="C10" s="521" t="s">
        <v>259</v>
      </c>
      <c r="D10" s="522"/>
      <c r="L10" s="431"/>
      <c r="M10" s="431"/>
      <c r="N10" s="431"/>
    </row>
    <row r="11" spans="2:15" ht="16" thickBot="1" x14ac:dyDescent="0.25">
      <c r="B11" s="433"/>
      <c r="C11" s="533" t="s">
        <v>176</v>
      </c>
      <c r="D11" s="534"/>
      <c r="L11" s="434"/>
      <c r="M11" s="434"/>
      <c r="N11" s="434"/>
    </row>
    <row r="12" spans="2:15" x14ac:dyDescent="0.2">
      <c r="E12" s="434"/>
      <c r="F12" s="434"/>
      <c r="G12" s="434"/>
      <c r="H12" s="434"/>
      <c r="I12" s="434"/>
      <c r="J12" s="434"/>
      <c r="K12" s="434"/>
      <c r="L12" s="435" t="s">
        <v>87</v>
      </c>
      <c r="M12" s="436">
        <v>0.02</v>
      </c>
      <c r="N12" s="434"/>
    </row>
    <row r="13" spans="2:15" x14ac:dyDescent="0.2">
      <c r="B13" s="437" t="s">
        <v>88</v>
      </c>
      <c r="C13" s="437"/>
      <c r="E13" s="434"/>
      <c r="F13" s="434"/>
      <c r="G13" s="434"/>
      <c r="H13" s="434"/>
      <c r="I13" s="434"/>
      <c r="J13" s="434"/>
      <c r="K13" s="434"/>
      <c r="L13" s="434"/>
      <c r="M13" s="436">
        <v>0</v>
      </c>
      <c r="N13" s="434"/>
    </row>
    <row r="14" spans="2:15" x14ac:dyDescent="0.2">
      <c r="B14" s="438" t="s">
        <v>179</v>
      </c>
      <c r="C14" s="198"/>
      <c r="D14" s="199">
        <f>C9</f>
        <v>9574000</v>
      </c>
      <c r="E14" s="439">
        <f>C9</f>
        <v>9574000</v>
      </c>
      <c r="F14" s="440">
        <f t="shared" ref="F14" si="0">D14-E14</f>
        <v>0</v>
      </c>
      <c r="G14" s="440"/>
      <c r="H14" s="440"/>
      <c r="I14" s="434"/>
      <c r="J14" s="434"/>
      <c r="K14" s="434"/>
      <c r="L14" s="434"/>
      <c r="M14" s="434"/>
      <c r="N14" s="434"/>
    </row>
    <row r="15" spans="2:15" x14ac:dyDescent="0.2">
      <c r="B15" s="480" t="s">
        <v>191</v>
      </c>
      <c r="C15" s="198"/>
      <c r="D15" s="199">
        <v>650000</v>
      </c>
      <c r="E15" s="439"/>
      <c r="F15" s="440"/>
      <c r="G15" s="440"/>
      <c r="H15" s="440"/>
      <c r="I15" s="434"/>
      <c r="J15" s="434"/>
      <c r="K15" s="434"/>
      <c r="L15" s="434"/>
      <c r="M15" s="434"/>
      <c r="N15" s="434"/>
    </row>
    <row r="16" spans="2:15" x14ac:dyDescent="0.2">
      <c r="B16" s="480" t="s">
        <v>260</v>
      </c>
      <c r="C16" s="201">
        <f>INPUT!C22</f>
        <v>0.1</v>
      </c>
      <c r="D16" s="200">
        <f>IF(C16&gt;10%,"maximum of 10%",((D14-D15)*C16))</f>
        <v>892400</v>
      </c>
      <c r="E16" s="439"/>
      <c r="F16" s="440"/>
      <c r="G16" s="440"/>
      <c r="H16" s="440"/>
      <c r="I16" s="434"/>
      <c r="J16" s="434"/>
      <c r="K16" s="434"/>
      <c r="L16" s="434"/>
      <c r="M16" s="434"/>
      <c r="N16" s="434"/>
    </row>
    <row r="17" spans="2:14" x14ac:dyDescent="0.2">
      <c r="B17" s="480" t="s">
        <v>264</v>
      </c>
      <c r="C17" s="201" t="str">
        <f>IF(INPUT!C13="Repeat Buyer","2%",IF(INPUT!C13="New Buyer","0%"))</f>
        <v>0%</v>
      </c>
      <c r="D17" s="200">
        <f>IF(C17&gt;2%,((D14-SUM(D15:D16)))*C17, "maximum of 2%")</f>
        <v>0</v>
      </c>
      <c r="E17" s="439"/>
      <c r="F17" s="440"/>
      <c r="G17" s="440"/>
      <c r="H17" s="440"/>
      <c r="I17" s="434"/>
      <c r="J17" s="434"/>
      <c r="K17" s="434"/>
      <c r="L17" s="434"/>
      <c r="M17" s="434"/>
      <c r="N17" s="434"/>
    </row>
    <row r="18" spans="2:14" x14ac:dyDescent="0.2">
      <c r="B18" s="470" t="s">
        <v>183</v>
      </c>
      <c r="C18" s="201">
        <v>0.05</v>
      </c>
      <c r="D18" s="200">
        <f>(((D14-SUM(D15:D17))/1.12)*C18)</f>
        <v>358553.57142857142</v>
      </c>
      <c r="E18" s="439"/>
      <c r="F18" s="440"/>
      <c r="G18" s="440"/>
      <c r="H18" s="440"/>
      <c r="I18" s="434"/>
      <c r="J18" s="434"/>
      <c r="K18" s="434"/>
      <c r="L18" s="434"/>
      <c r="M18" s="434"/>
      <c r="N18" s="434"/>
    </row>
    <row r="19" spans="2:14" ht="16" thickBot="1" x14ac:dyDescent="0.25">
      <c r="B19" s="442" t="s">
        <v>90</v>
      </c>
      <c r="C19" s="201"/>
      <c r="D19" s="205">
        <f>((D14-SUM(D15:D17))+D18)</f>
        <v>8390153.5714285709</v>
      </c>
      <c r="E19" s="439"/>
      <c r="F19" s="440"/>
      <c r="G19" s="440"/>
      <c r="H19" s="440"/>
      <c r="I19" s="434"/>
      <c r="J19" s="434"/>
      <c r="K19" s="434"/>
      <c r="L19" s="434"/>
      <c r="M19" s="434"/>
      <c r="N19" s="434"/>
    </row>
    <row r="20" spans="2:14" ht="17" thickTop="1" thickBot="1" x14ac:dyDescent="0.25"/>
    <row r="21" spans="2:14" ht="31" thickBot="1" x14ac:dyDescent="0.25">
      <c r="B21" s="525" t="s">
        <v>91</v>
      </c>
      <c r="C21" s="526"/>
      <c r="D21" s="444" t="s">
        <v>92</v>
      </c>
      <c r="E21" s="444" t="s">
        <v>93</v>
      </c>
      <c r="F21" s="445" t="s">
        <v>201</v>
      </c>
      <c r="G21" s="446" t="s">
        <v>184</v>
      </c>
      <c r="H21" s="446" t="s">
        <v>202</v>
      </c>
      <c r="I21" s="448" t="s">
        <v>94</v>
      </c>
      <c r="J21" s="434"/>
      <c r="K21" s="434"/>
      <c r="L21" s="434"/>
      <c r="M21" s="434"/>
      <c r="N21" s="434"/>
    </row>
    <row r="22" spans="2:14" x14ac:dyDescent="0.2">
      <c r="B22" s="527">
        <v>0</v>
      </c>
      <c r="C22" s="528"/>
      <c r="D22" s="491"/>
      <c r="E22" s="473" t="s">
        <v>46</v>
      </c>
      <c r="F22" s="186">
        <v>50000</v>
      </c>
      <c r="G22" s="187">
        <v>0</v>
      </c>
      <c r="H22" s="187">
        <f>SUM(F22:G22)</f>
        <v>50000</v>
      </c>
      <c r="I22" s="188">
        <f>D19-H22</f>
        <v>8340153.5714285709</v>
      </c>
      <c r="J22" s="450" t="s">
        <v>95</v>
      </c>
      <c r="K22" s="434"/>
      <c r="L22" s="439">
        <v>56000</v>
      </c>
      <c r="M22" s="440">
        <f>L22-F22</f>
        <v>6000</v>
      </c>
      <c r="N22" s="434"/>
    </row>
    <row r="23" spans="2:14" x14ac:dyDescent="0.2">
      <c r="B23" s="509">
        <v>1</v>
      </c>
      <c r="C23" s="510"/>
      <c r="D23" s="468"/>
      <c r="E23" s="453" t="s">
        <v>170</v>
      </c>
      <c r="F23" s="189">
        <f>((((D14-SUM(D15:D17))*40%)-F22)/60)</f>
        <v>52710.666666666664</v>
      </c>
      <c r="G23" s="190">
        <f>(D18*40%)/60</f>
        <v>2390.3571428571431</v>
      </c>
      <c r="H23" s="190">
        <f>SUM(F23:G23)</f>
        <v>55101.023809523809</v>
      </c>
      <c r="I23" s="191">
        <f>I22-H23</f>
        <v>8285052.5476190466</v>
      </c>
      <c r="J23" s="450"/>
      <c r="K23" s="434"/>
      <c r="L23" s="439"/>
      <c r="M23" s="440"/>
      <c r="N23" s="434"/>
    </row>
    <row r="24" spans="2:14" x14ac:dyDescent="0.2">
      <c r="B24" s="509">
        <v>2</v>
      </c>
      <c r="C24" s="510"/>
      <c r="D24" s="466"/>
      <c r="E24" s="453" t="s">
        <v>110</v>
      </c>
      <c r="F24" s="192">
        <f>F23</f>
        <v>52710.666666666664</v>
      </c>
      <c r="G24" s="193">
        <f>G23</f>
        <v>2390.3571428571431</v>
      </c>
      <c r="H24" s="190">
        <f t="shared" ref="H24:H82" si="1">SUM(F24:G24)</f>
        <v>55101.023809523809</v>
      </c>
      <c r="I24" s="191">
        <f t="shared" ref="I24:I83" si="2">I23-H24</f>
        <v>8229951.5238095224</v>
      </c>
      <c r="J24" s="450"/>
      <c r="K24" s="434"/>
      <c r="L24" s="439"/>
      <c r="M24" s="440"/>
      <c r="N24" s="434"/>
    </row>
    <row r="25" spans="2:14" x14ac:dyDescent="0.2">
      <c r="B25" s="509">
        <v>3</v>
      </c>
      <c r="C25" s="510"/>
      <c r="D25" s="466"/>
      <c r="E25" s="453" t="s">
        <v>111</v>
      </c>
      <c r="F25" s="192">
        <f>F24</f>
        <v>52710.666666666664</v>
      </c>
      <c r="G25" s="193">
        <f t="shared" ref="G25:G82" si="3">G24</f>
        <v>2390.3571428571431</v>
      </c>
      <c r="H25" s="190">
        <f t="shared" si="1"/>
        <v>55101.023809523809</v>
      </c>
      <c r="I25" s="191">
        <f t="shared" si="2"/>
        <v>8174850.4999999981</v>
      </c>
      <c r="J25" s="450"/>
      <c r="K25" s="434"/>
      <c r="L25" s="439"/>
      <c r="M25" s="440"/>
      <c r="N25" s="434"/>
    </row>
    <row r="26" spans="2:14" x14ac:dyDescent="0.2">
      <c r="B26" s="509">
        <v>4</v>
      </c>
      <c r="C26" s="510"/>
      <c r="D26" s="466"/>
      <c r="E26" s="453" t="s">
        <v>112</v>
      </c>
      <c r="F26" s="192">
        <f t="shared" ref="F26:F81" si="4">F25</f>
        <v>52710.666666666664</v>
      </c>
      <c r="G26" s="193">
        <f t="shared" si="3"/>
        <v>2390.3571428571431</v>
      </c>
      <c r="H26" s="190">
        <f t="shared" si="1"/>
        <v>55101.023809523809</v>
      </c>
      <c r="I26" s="191">
        <f t="shared" si="2"/>
        <v>8119749.4761904739</v>
      </c>
      <c r="J26" s="450"/>
      <c r="K26" s="434"/>
      <c r="L26" s="439"/>
      <c r="M26" s="440"/>
      <c r="N26" s="434"/>
    </row>
    <row r="27" spans="2:14" x14ac:dyDescent="0.2">
      <c r="B27" s="509">
        <v>5</v>
      </c>
      <c r="C27" s="510"/>
      <c r="D27" s="466"/>
      <c r="E27" s="453" t="s">
        <v>113</v>
      </c>
      <c r="F27" s="192">
        <f t="shared" si="4"/>
        <v>52710.666666666664</v>
      </c>
      <c r="G27" s="193">
        <f t="shared" si="3"/>
        <v>2390.3571428571431</v>
      </c>
      <c r="H27" s="190">
        <f t="shared" si="1"/>
        <v>55101.023809523809</v>
      </c>
      <c r="I27" s="191">
        <f t="shared" si="2"/>
        <v>8064648.4523809496</v>
      </c>
      <c r="J27" s="450"/>
      <c r="K27" s="434"/>
      <c r="L27" s="439"/>
      <c r="M27" s="440"/>
      <c r="N27" s="434"/>
    </row>
    <row r="28" spans="2:14" x14ac:dyDescent="0.2">
      <c r="B28" s="509">
        <v>6</v>
      </c>
      <c r="C28" s="510"/>
      <c r="D28" s="466"/>
      <c r="E28" s="453" t="s">
        <v>114</v>
      </c>
      <c r="F28" s="192">
        <f t="shared" si="4"/>
        <v>52710.666666666664</v>
      </c>
      <c r="G28" s="193">
        <f t="shared" si="3"/>
        <v>2390.3571428571431</v>
      </c>
      <c r="H28" s="190">
        <f t="shared" si="1"/>
        <v>55101.023809523809</v>
      </c>
      <c r="I28" s="191">
        <f t="shared" si="2"/>
        <v>8009547.4285714254</v>
      </c>
      <c r="J28" s="450"/>
      <c r="K28" s="434"/>
      <c r="L28" s="439"/>
      <c r="M28" s="440"/>
      <c r="N28" s="434"/>
    </row>
    <row r="29" spans="2:14" x14ac:dyDescent="0.2">
      <c r="B29" s="509">
        <v>7</v>
      </c>
      <c r="C29" s="510"/>
      <c r="D29" s="466"/>
      <c r="E29" s="453" t="s">
        <v>115</v>
      </c>
      <c r="F29" s="192">
        <f t="shared" si="4"/>
        <v>52710.666666666664</v>
      </c>
      <c r="G29" s="193">
        <f t="shared" si="3"/>
        <v>2390.3571428571431</v>
      </c>
      <c r="H29" s="190">
        <f t="shared" si="1"/>
        <v>55101.023809523809</v>
      </c>
      <c r="I29" s="191">
        <f t="shared" si="2"/>
        <v>7954446.4047619011</v>
      </c>
      <c r="J29" s="450"/>
      <c r="K29" s="434"/>
      <c r="L29" s="439"/>
      <c r="M29" s="440"/>
      <c r="N29" s="434"/>
    </row>
    <row r="30" spans="2:14" x14ac:dyDescent="0.2">
      <c r="B30" s="509">
        <v>8</v>
      </c>
      <c r="C30" s="510"/>
      <c r="D30" s="466"/>
      <c r="E30" s="453" t="s">
        <v>116</v>
      </c>
      <c r="F30" s="192">
        <f t="shared" si="4"/>
        <v>52710.666666666664</v>
      </c>
      <c r="G30" s="193">
        <f t="shared" si="3"/>
        <v>2390.3571428571431</v>
      </c>
      <c r="H30" s="190">
        <f t="shared" si="1"/>
        <v>55101.023809523809</v>
      </c>
      <c r="I30" s="191">
        <f t="shared" si="2"/>
        <v>7899345.3809523769</v>
      </c>
      <c r="J30" s="450"/>
      <c r="K30" s="434"/>
      <c r="L30" s="439"/>
      <c r="M30" s="440"/>
      <c r="N30" s="434"/>
    </row>
    <row r="31" spans="2:14" x14ac:dyDescent="0.2">
      <c r="B31" s="509">
        <v>9</v>
      </c>
      <c r="C31" s="510"/>
      <c r="D31" s="466"/>
      <c r="E31" s="453" t="s">
        <v>117</v>
      </c>
      <c r="F31" s="192">
        <f t="shared" si="4"/>
        <v>52710.666666666664</v>
      </c>
      <c r="G31" s="193">
        <f t="shared" si="3"/>
        <v>2390.3571428571431</v>
      </c>
      <c r="H31" s="190">
        <f t="shared" si="1"/>
        <v>55101.023809523809</v>
      </c>
      <c r="I31" s="191">
        <f t="shared" si="2"/>
        <v>7844244.3571428526</v>
      </c>
      <c r="J31" s="450"/>
      <c r="K31" s="434"/>
      <c r="L31" s="439"/>
      <c r="M31" s="440"/>
      <c r="N31" s="434"/>
    </row>
    <row r="32" spans="2:14" x14ac:dyDescent="0.2">
      <c r="B32" s="509">
        <v>10</v>
      </c>
      <c r="C32" s="510"/>
      <c r="D32" s="466"/>
      <c r="E32" s="453" t="s">
        <v>118</v>
      </c>
      <c r="F32" s="192">
        <f t="shared" si="4"/>
        <v>52710.666666666664</v>
      </c>
      <c r="G32" s="193">
        <f t="shared" si="3"/>
        <v>2390.3571428571431</v>
      </c>
      <c r="H32" s="190">
        <f t="shared" si="1"/>
        <v>55101.023809523809</v>
      </c>
      <c r="I32" s="191">
        <f t="shared" si="2"/>
        <v>7789143.3333333284</v>
      </c>
      <c r="J32" s="450"/>
      <c r="K32" s="434"/>
      <c r="L32" s="439"/>
      <c r="M32" s="440"/>
      <c r="N32" s="434"/>
    </row>
    <row r="33" spans="2:14" x14ac:dyDescent="0.2">
      <c r="B33" s="509">
        <v>11</v>
      </c>
      <c r="C33" s="510"/>
      <c r="D33" s="466"/>
      <c r="E33" s="453" t="s">
        <v>119</v>
      </c>
      <c r="F33" s="192">
        <f t="shared" si="4"/>
        <v>52710.666666666664</v>
      </c>
      <c r="G33" s="193">
        <f t="shared" si="3"/>
        <v>2390.3571428571431</v>
      </c>
      <c r="H33" s="190">
        <f t="shared" si="1"/>
        <v>55101.023809523809</v>
      </c>
      <c r="I33" s="191">
        <f t="shared" si="2"/>
        <v>7734042.3095238041</v>
      </c>
      <c r="J33" s="450"/>
      <c r="K33" s="434"/>
      <c r="L33" s="439"/>
      <c r="M33" s="440"/>
      <c r="N33" s="434"/>
    </row>
    <row r="34" spans="2:14" x14ac:dyDescent="0.2">
      <c r="B34" s="509">
        <v>12</v>
      </c>
      <c r="C34" s="510"/>
      <c r="D34" s="466"/>
      <c r="E34" s="453" t="s">
        <v>120</v>
      </c>
      <c r="F34" s="192">
        <f t="shared" si="4"/>
        <v>52710.666666666664</v>
      </c>
      <c r="G34" s="193">
        <f t="shared" si="3"/>
        <v>2390.3571428571431</v>
      </c>
      <c r="H34" s="190">
        <f t="shared" si="1"/>
        <v>55101.023809523809</v>
      </c>
      <c r="I34" s="191">
        <f t="shared" si="2"/>
        <v>7678941.2857142799</v>
      </c>
      <c r="J34" s="450"/>
      <c r="K34" s="434"/>
      <c r="L34" s="439"/>
      <c r="M34" s="440"/>
      <c r="N34" s="434"/>
    </row>
    <row r="35" spans="2:14" x14ac:dyDescent="0.2">
      <c r="B35" s="509">
        <v>13</v>
      </c>
      <c r="C35" s="510"/>
      <c r="D35" s="466"/>
      <c r="E35" s="453" t="s">
        <v>121</v>
      </c>
      <c r="F35" s="192">
        <f>+F34</f>
        <v>52710.666666666664</v>
      </c>
      <c r="G35" s="193">
        <f t="shared" si="3"/>
        <v>2390.3571428571431</v>
      </c>
      <c r="H35" s="190">
        <f t="shared" si="1"/>
        <v>55101.023809523809</v>
      </c>
      <c r="I35" s="191">
        <f t="shared" si="2"/>
        <v>7623840.2619047556</v>
      </c>
      <c r="J35" s="450"/>
      <c r="K35" s="434"/>
      <c r="L35" s="439"/>
      <c r="M35" s="440"/>
      <c r="N35" s="434"/>
    </row>
    <row r="36" spans="2:14" x14ac:dyDescent="0.2">
      <c r="B36" s="509">
        <v>14</v>
      </c>
      <c r="C36" s="510"/>
      <c r="D36" s="466"/>
      <c r="E36" s="453" t="s">
        <v>122</v>
      </c>
      <c r="F36" s="192">
        <f t="shared" si="4"/>
        <v>52710.666666666664</v>
      </c>
      <c r="G36" s="193">
        <f t="shared" si="3"/>
        <v>2390.3571428571431</v>
      </c>
      <c r="H36" s="190">
        <f t="shared" si="1"/>
        <v>55101.023809523809</v>
      </c>
      <c r="I36" s="191">
        <f t="shared" si="2"/>
        <v>7568739.2380952314</v>
      </c>
      <c r="J36" s="450"/>
      <c r="K36" s="434"/>
      <c r="L36" s="439"/>
      <c r="M36" s="440"/>
      <c r="N36" s="434"/>
    </row>
    <row r="37" spans="2:14" x14ac:dyDescent="0.2">
      <c r="B37" s="509">
        <v>15</v>
      </c>
      <c r="C37" s="510"/>
      <c r="D37" s="466"/>
      <c r="E37" s="453" t="s">
        <v>123</v>
      </c>
      <c r="F37" s="192">
        <f t="shared" si="4"/>
        <v>52710.666666666664</v>
      </c>
      <c r="G37" s="193">
        <f t="shared" si="3"/>
        <v>2390.3571428571431</v>
      </c>
      <c r="H37" s="190">
        <f t="shared" si="1"/>
        <v>55101.023809523809</v>
      </c>
      <c r="I37" s="191">
        <f t="shared" si="2"/>
        <v>7513638.2142857071</v>
      </c>
      <c r="J37" s="450"/>
      <c r="K37" s="434"/>
      <c r="L37" s="439"/>
      <c r="M37" s="440"/>
      <c r="N37" s="434"/>
    </row>
    <row r="38" spans="2:14" x14ac:dyDescent="0.2">
      <c r="B38" s="509">
        <v>16</v>
      </c>
      <c r="C38" s="510"/>
      <c r="D38" s="466"/>
      <c r="E38" s="453" t="s">
        <v>124</v>
      </c>
      <c r="F38" s="192">
        <f t="shared" si="4"/>
        <v>52710.666666666664</v>
      </c>
      <c r="G38" s="193">
        <f t="shared" si="3"/>
        <v>2390.3571428571431</v>
      </c>
      <c r="H38" s="190">
        <f t="shared" si="1"/>
        <v>55101.023809523809</v>
      </c>
      <c r="I38" s="191">
        <f t="shared" si="2"/>
        <v>7458537.1904761828</v>
      </c>
      <c r="J38" s="450"/>
      <c r="K38" s="434"/>
      <c r="L38" s="439"/>
      <c r="M38" s="440"/>
      <c r="N38" s="434"/>
    </row>
    <row r="39" spans="2:14" x14ac:dyDescent="0.2">
      <c r="B39" s="509">
        <v>17</v>
      </c>
      <c r="C39" s="510"/>
      <c r="D39" s="466"/>
      <c r="E39" s="453" t="s">
        <v>125</v>
      </c>
      <c r="F39" s="192">
        <f t="shared" si="4"/>
        <v>52710.666666666664</v>
      </c>
      <c r="G39" s="193">
        <f t="shared" si="3"/>
        <v>2390.3571428571431</v>
      </c>
      <c r="H39" s="190">
        <f t="shared" si="1"/>
        <v>55101.023809523809</v>
      </c>
      <c r="I39" s="191">
        <f t="shared" si="2"/>
        <v>7403436.1666666586</v>
      </c>
      <c r="J39" s="450"/>
      <c r="K39" s="434"/>
      <c r="L39" s="439"/>
      <c r="M39" s="440"/>
      <c r="N39" s="434"/>
    </row>
    <row r="40" spans="2:14" x14ac:dyDescent="0.2">
      <c r="B40" s="509">
        <v>18</v>
      </c>
      <c r="C40" s="510"/>
      <c r="D40" s="466"/>
      <c r="E40" s="453" t="s">
        <v>126</v>
      </c>
      <c r="F40" s="192">
        <f t="shared" si="4"/>
        <v>52710.666666666664</v>
      </c>
      <c r="G40" s="193">
        <f t="shared" si="3"/>
        <v>2390.3571428571431</v>
      </c>
      <c r="H40" s="190">
        <f t="shared" si="1"/>
        <v>55101.023809523809</v>
      </c>
      <c r="I40" s="191">
        <f t="shared" si="2"/>
        <v>7348335.1428571343</v>
      </c>
      <c r="J40" s="450"/>
      <c r="K40" s="434"/>
      <c r="L40" s="439"/>
      <c r="M40" s="440"/>
      <c r="N40" s="434"/>
    </row>
    <row r="41" spans="2:14" x14ac:dyDescent="0.2">
      <c r="B41" s="509">
        <v>19</v>
      </c>
      <c r="C41" s="510"/>
      <c r="D41" s="466"/>
      <c r="E41" s="453" t="s">
        <v>127</v>
      </c>
      <c r="F41" s="192">
        <f t="shared" si="4"/>
        <v>52710.666666666664</v>
      </c>
      <c r="G41" s="193">
        <f t="shared" si="3"/>
        <v>2390.3571428571431</v>
      </c>
      <c r="H41" s="190">
        <f t="shared" si="1"/>
        <v>55101.023809523809</v>
      </c>
      <c r="I41" s="191">
        <f t="shared" si="2"/>
        <v>7293234.1190476101</v>
      </c>
      <c r="J41" s="450"/>
      <c r="K41" s="434"/>
      <c r="L41" s="439"/>
      <c r="M41" s="440"/>
      <c r="N41" s="434"/>
    </row>
    <row r="42" spans="2:14" x14ac:dyDescent="0.2">
      <c r="B42" s="509">
        <v>20</v>
      </c>
      <c r="C42" s="510"/>
      <c r="D42" s="466"/>
      <c r="E42" s="453" t="s">
        <v>128</v>
      </c>
      <c r="F42" s="192">
        <f t="shared" si="4"/>
        <v>52710.666666666664</v>
      </c>
      <c r="G42" s="193">
        <f t="shared" si="3"/>
        <v>2390.3571428571431</v>
      </c>
      <c r="H42" s="190">
        <f t="shared" si="1"/>
        <v>55101.023809523809</v>
      </c>
      <c r="I42" s="191">
        <f t="shared" si="2"/>
        <v>7238133.0952380858</v>
      </c>
      <c r="J42" s="450"/>
      <c r="K42" s="434"/>
      <c r="L42" s="439"/>
      <c r="M42" s="440"/>
      <c r="N42" s="434"/>
    </row>
    <row r="43" spans="2:14" x14ac:dyDescent="0.2">
      <c r="B43" s="509">
        <v>21</v>
      </c>
      <c r="C43" s="510"/>
      <c r="D43" s="466"/>
      <c r="E43" s="453" t="s">
        <v>129</v>
      </c>
      <c r="F43" s="192">
        <f t="shared" si="4"/>
        <v>52710.666666666664</v>
      </c>
      <c r="G43" s="193">
        <f t="shared" si="3"/>
        <v>2390.3571428571431</v>
      </c>
      <c r="H43" s="190">
        <f t="shared" si="1"/>
        <v>55101.023809523809</v>
      </c>
      <c r="I43" s="191">
        <f t="shared" si="2"/>
        <v>7183032.0714285616</v>
      </c>
      <c r="J43" s="450"/>
      <c r="K43" s="434"/>
      <c r="L43" s="439"/>
      <c r="M43" s="440"/>
      <c r="N43" s="434"/>
    </row>
    <row r="44" spans="2:14" x14ac:dyDescent="0.2">
      <c r="B44" s="509">
        <v>22</v>
      </c>
      <c r="C44" s="510"/>
      <c r="D44" s="466"/>
      <c r="E44" s="453" t="s">
        <v>130</v>
      </c>
      <c r="F44" s="192">
        <f t="shared" si="4"/>
        <v>52710.666666666664</v>
      </c>
      <c r="G44" s="193">
        <f t="shared" si="3"/>
        <v>2390.3571428571431</v>
      </c>
      <c r="H44" s="190">
        <f t="shared" si="1"/>
        <v>55101.023809523809</v>
      </c>
      <c r="I44" s="191">
        <f t="shared" si="2"/>
        <v>7127931.0476190373</v>
      </c>
      <c r="J44" s="450"/>
      <c r="K44" s="434"/>
      <c r="L44" s="439"/>
      <c r="M44" s="440"/>
      <c r="N44" s="434"/>
    </row>
    <row r="45" spans="2:14" x14ac:dyDescent="0.2">
      <c r="B45" s="509">
        <v>23</v>
      </c>
      <c r="C45" s="510"/>
      <c r="D45" s="466"/>
      <c r="E45" s="453" t="s">
        <v>131</v>
      </c>
      <c r="F45" s="192">
        <f t="shared" si="4"/>
        <v>52710.666666666664</v>
      </c>
      <c r="G45" s="193">
        <f t="shared" si="3"/>
        <v>2390.3571428571431</v>
      </c>
      <c r="H45" s="190">
        <f t="shared" si="1"/>
        <v>55101.023809523809</v>
      </c>
      <c r="I45" s="191">
        <f t="shared" si="2"/>
        <v>7072830.0238095131</v>
      </c>
      <c r="J45" s="450"/>
      <c r="K45" s="434"/>
      <c r="L45" s="439"/>
      <c r="M45" s="440"/>
      <c r="N45" s="434"/>
    </row>
    <row r="46" spans="2:14" x14ac:dyDescent="0.2">
      <c r="B46" s="509">
        <v>24</v>
      </c>
      <c r="C46" s="510"/>
      <c r="D46" s="466"/>
      <c r="E46" s="453" t="s">
        <v>132</v>
      </c>
      <c r="F46" s="192">
        <f t="shared" si="4"/>
        <v>52710.666666666664</v>
      </c>
      <c r="G46" s="193">
        <f t="shared" si="3"/>
        <v>2390.3571428571431</v>
      </c>
      <c r="H46" s="190">
        <f t="shared" si="1"/>
        <v>55101.023809523809</v>
      </c>
      <c r="I46" s="191">
        <f t="shared" si="2"/>
        <v>7017728.9999999888</v>
      </c>
      <c r="J46" s="450"/>
      <c r="K46" s="434"/>
      <c r="L46" s="439"/>
      <c r="M46" s="440"/>
      <c r="N46" s="434"/>
    </row>
    <row r="47" spans="2:14" x14ac:dyDescent="0.2">
      <c r="B47" s="509">
        <v>25</v>
      </c>
      <c r="C47" s="510"/>
      <c r="D47" s="466"/>
      <c r="E47" s="453" t="s">
        <v>133</v>
      </c>
      <c r="F47" s="192">
        <f t="shared" si="4"/>
        <v>52710.666666666664</v>
      </c>
      <c r="G47" s="193">
        <f t="shared" si="3"/>
        <v>2390.3571428571431</v>
      </c>
      <c r="H47" s="190">
        <f t="shared" si="1"/>
        <v>55101.023809523809</v>
      </c>
      <c r="I47" s="191">
        <f t="shared" si="2"/>
        <v>6962627.9761904646</v>
      </c>
      <c r="J47" s="450"/>
      <c r="K47" s="434"/>
      <c r="L47" s="439"/>
      <c r="M47" s="440"/>
      <c r="N47" s="434"/>
    </row>
    <row r="48" spans="2:14" x14ac:dyDescent="0.2">
      <c r="B48" s="509">
        <v>26</v>
      </c>
      <c r="C48" s="510"/>
      <c r="D48" s="466"/>
      <c r="E48" s="453" t="s">
        <v>134</v>
      </c>
      <c r="F48" s="192">
        <f t="shared" si="4"/>
        <v>52710.666666666664</v>
      </c>
      <c r="G48" s="193">
        <f t="shared" si="3"/>
        <v>2390.3571428571431</v>
      </c>
      <c r="H48" s="190">
        <f t="shared" si="1"/>
        <v>55101.023809523809</v>
      </c>
      <c r="I48" s="191">
        <f t="shared" si="2"/>
        <v>6907526.9523809403</v>
      </c>
      <c r="J48" s="450"/>
      <c r="K48" s="434"/>
      <c r="L48" s="439"/>
      <c r="M48" s="440"/>
      <c r="N48" s="434"/>
    </row>
    <row r="49" spans="2:14" x14ac:dyDescent="0.2">
      <c r="B49" s="509">
        <v>27</v>
      </c>
      <c r="C49" s="510"/>
      <c r="D49" s="466"/>
      <c r="E49" s="453" t="s">
        <v>135</v>
      </c>
      <c r="F49" s="192">
        <f t="shared" si="4"/>
        <v>52710.666666666664</v>
      </c>
      <c r="G49" s="193">
        <f t="shared" si="3"/>
        <v>2390.3571428571431</v>
      </c>
      <c r="H49" s="190">
        <f t="shared" si="1"/>
        <v>55101.023809523809</v>
      </c>
      <c r="I49" s="191">
        <f t="shared" si="2"/>
        <v>6852425.9285714161</v>
      </c>
      <c r="J49" s="450"/>
      <c r="K49" s="434"/>
      <c r="L49" s="439"/>
      <c r="M49" s="440"/>
      <c r="N49" s="434"/>
    </row>
    <row r="50" spans="2:14" x14ac:dyDescent="0.2">
      <c r="B50" s="509">
        <v>28</v>
      </c>
      <c r="C50" s="510"/>
      <c r="D50" s="466"/>
      <c r="E50" s="453" t="s">
        <v>136</v>
      </c>
      <c r="F50" s="192">
        <f t="shared" si="4"/>
        <v>52710.666666666664</v>
      </c>
      <c r="G50" s="193">
        <f t="shared" si="3"/>
        <v>2390.3571428571431</v>
      </c>
      <c r="H50" s="190">
        <f t="shared" si="1"/>
        <v>55101.023809523809</v>
      </c>
      <c r="I50" s="191">
        <f t="shared" si="2"/>
        <v>6797324.9047618918</v>
      </c>
      <c r="J50" s="450"/>
      <c r="K50" s="434"/>
      <c r="L50" s="439"/>
      <c r="M50" s="440"/>
      <c r="N50" s="434"/>
    </row>
    <row r="51" spans="2:14" x14ac:dyDescent="0.2">
      <c r="B51" s="509">
        <v>29</v>
      </c>
      <c r="C51" s="510"/>
      <c r="D51" s="466"/>
      <c r="E51" s="453" t="s">
        <v>137</v>
      </c>
      <c r="F51" s="192">
        <f t="shared" si="4"/>
        <v>52710.666666666664</v>
      </c>
      <c r="G51" s="193">
        <f t="shared" si="3"/>
        <v>2390.3571428571431</v>
      </c>
      <c r="H51" s="190">
        <f t="shared" si="1"/>
        <v>55101.023809523809</v>
      </c>
      <c r="I51" s="191">
        <f t="shared" si="2"/>
        <v>6742223.8809523676</v>
      </c>
      <c r="J51" s="450"/>
      <c r="K51" s="434"/>
      <c r="L51" s="439"/>
      <c r="M51" s="440"/>
      <c r="N51" s="434"/>
    </row>
    <row r="52" spans="2:14" x14ac:dyDescent="0.2">
      <c r="B52" s="509">
        <v>30</v>
      </c>
      <c r="C52" s="510"/>
      <c r="D52" s="466"/>
      <c r="E52" s="453" t="s">
        <v>138</v>
      </c>
      <c r="F52" s="192">
        <f t="shared" si="4"/>
        <v>52710.666666666664</v>
      </c>
      <c r="G52" s="193">
        <f t="shared" si="3"/>
        <v>2390.3571428571431</v>
      </c>
      <c r="H52" s="190">
        <f t="shared" si="1"/>
        <v>55101.023809523809</v>
      </c>
      <c r="I52" s="191">
        <f t="shared" si="2"/>
        <v>6687122.8571428433</v>
      </c>
      <c r="J52" s="450"/>
      <c r="K52" s="434"/>
      <c r="L52" s="439"/>
      <c r="M52" s="440"/>
      <c r="N52" s="434"/>
    </row>
    <row r="53" spans="2:14" x14ac:dyDescent="0.2">
      <c r="B53" s="509">
        <v>31</v>
      </c>
      <c r="C53" s="510"/>
      <c r="D53" s="466"/>
      <c r="E53" s="453" t="s">
        <v>139</v>
      </c>
      <c r="F53" s="192">
        <f t="shared" si="4"/>
        <v>52710.666666666664</v>
      </c>
      <c r="G53" s="193">
        <f t="shared" si="3"/>
        <v>2390.3571428571431</v>
      </c>
      <c r="H53" s="190">
        <f t="shared" si="1"/>
        <v>55101.023809523809</v>
      </c>
      <c r="I53" s="191">
        <f t="shared" si="2"/>
        <v>6632021.8333333191</v>
      </c>
      <c r="J53" s="450"/>
      <c r="K53" s="434"/>
      <c r="L53" s="439"/>
      <c r="M53" s="440"/>
      <c r="N53" s="434"/>
    </row>
    <row r="54" spans="2:14" x14ac:dyDescent="0.2">
      <c r="B54" s="509">
        <v>32</v>
      </c>
      <c r="C54" s="510"/>
      <c r="D54" s="466"/>
      <c r="E54" s="453" t="s">
        <v>140</v>
      </c>
      <c r="F54" s="192">
        <f t="shared" si="4"/>
        <v>52710.666666666664</v>
      </c>
      <c r="G54" s="193">
        <f t="shared" si="3"/>
        <v>2390.3571428571431</v>
      </c>
      <c r="H54" s="190">
        <f t="shared" si="1"/>
        <v>55101.023809523809</v>
      </c>
      <c r="I54" s="191">
        <f t="shared" si="2"/>
        <v>6576920.8095237948</v>
      </c>
      <c r="J54" s="450"/>
      <c r="K54" s="434"/>
      <c r="L54" s="439"/>
      <c r="M54" s="440"/>
      <c r="N54" s="434"/>
    </row>
    <row r="55" spans="2:14" x14ac:dyDescent="0.2">
      <c r="B55" s="509">
        <v>33</v>
      </c>
      <c r="C55" s="510"/>
      <c r="D55" s="466"/>
      <c r="E55" s="453" t="s">
        <v>141</v>
      </c>
      <c r="F55" s="192">
        <f t="shared" si="4"/>
        <v>52710.666666666664</v>
      </c>
      <c r="G55" s="193">
        <f t="shared" si="3"/>
        <v>2390.3571428571431</v>
      </c>
      <c r="H55" s="190">
        <f t="shared" si="1"/>
        <v>55101.023809523809</v>
      </c>
      <c r="I55" s="191">
        <f t="shared" si="2"/>
        <v>6521819.7857142705</v>
      </c>
      <c r="J55" s="450"/>
      <c r="K55" s="434"/>
      <c r="L55" s="439"/>
      <c r="M55" s="440"/>
      <c r="N55" s="434"/>
    </row>
    <row r="56" spans="2:14" x14ac:dyDescent="0.2">
      <c r="B56" s="509">
        <v>34</v>
      </c>
      <c r="C56" s="510"/>
      <c r="D56" s="466"/>
      <c r="E56" s="453" t="s">
        <v>142</v>
      </c>
      <c r="F56" s="192">
        <f t="shared" si="4"/>
        <v>52710.666666666664</v>
      </c>
      <c r="G56" s="193">
        <f t="shared" si="3"/>
        <v>2390.3571428571431</v>
      </c>
      <c r="H56" s="190">
        <f t="shared" si="1"/>
        <v>55101.023809523809</v>
      </c>
      <c r="I56" s="191">
        <f t="shared" si="2"/>
        <v>6466718.7619047463</v>
      </c>
      <c r="J56" s="450"/>
      <c r="K56" s="434"/>
      <c r="L56" s="439"/>
      <c r="M56" s="440"/>
      <c r="N56" s="434"/>
    </row>
    <row r="57" spans="2:14" x14ac:dyDescent="0.2">
      <c r="B57" s="509">
        <v>35</v>
      </c>
      <c r="C57" s="510"/>
      <c r="D57" s="466"/>
      <c r="E57" s="453" t="s">
        <v>143</v>
      </c>
      <c r="F57" s="192">
        <f t="shared" si="4"/>
        <v>52710.666666666664</v>
      </c>
      <c r="G57" s="193">
        <f t="shared" si="3"/>
        <v>2390.3571428571431</v>
      </c>
      <c r="H57" s="190">
        <f t="shared" si="1"/>
        <v>55101.023809523809</v>
      </c>
      <c r="I57" s="191">
        <f t="shared" si="2"/>
        <v>6411617.738095222</v>
      </c>
      <c r="J57" s="450"/>
      <c r="K57" s="434"/>
      <c r="L57" s="439"/>
      <c r="M57" s="440"/>
      <c r="N57" s="434"/>
    </row>
    <row r="58" spans="2:14" x14ac:dyDescent="0.2">
      <c r="B58" s="509">
        <v>36</v>
      </c>
      <c r="C58" s="510"/>
      <c r="D58" s="466"/>
      <c r="E58" s="453" t="s">
        <v>144</v>
      </c>
      <c r="F58" s="192">
        <f t="shared" si="4"/>
        <v>52710.666666666664</v>
      </c>
      <c r="G58" s="193">
        <f t="shared" si="3"/>
        <v>2390.3571428571431</v>
      </c>
      <c r="H58" s="190">
        <f t="shared" si="1"/>
        <v>55101.023809523809</v>
      </c>
      <c r="I58" s="191">
        <f t="shared" si="2"/>
        <v>6356516.7142856978</v>
      </c>
      <c r="J58" s="450"/>
      <c r="K58" s="434"/>
      <c r="L58" s="439"/>
      <c r="M58" s="440"/>
      <c r="N58" s="434"/>
    </row>
    <row r="59" spans="2:14" x14ac:dyDescent="0.2">
      <c r="B59" s="509">
        <v>37</v>
      </c>
      <c r="C59" s="510"/>
      <c r="D59" s="466"/>
      <c r="E59" s="453" t="s">
        <v>145</v>
      </c>
      <c r="F59" s="192">
        <f t="shared" si="4"/>
        <v>52710.666666666664</v>
      </c>
      <c r="G59" s="193">
        <f t="shared" si="3"/>
        <v>2390.3571428571431</v>
      </c>
      <c r="H59" s="190">
        <f t="shared" si="1"/>
        <v>55101.023809523809</v>
      </c>
      <c r="I59" s="191">
        <f t="shared" si="2"/>
        <v>6301415.6904761735</v>
      </c>
      <c r="J59" s="450"/>
      <c r="K59" s="434"/>
      <c r="L59" s="439"/>
      <c r="M59" s="440"/>
      <c r="N59" s="434"/>
    </row>
    <row r="60" spans="2:14" x14ac:dyDescent="0.2">
      <c r="B60" s="509">
        <v>38</v>
      </c>
      <c r="C60" s="510"/>
      <c r="D60" s="466"/>
      <c r="E60" s="453" t="s">
        <v>146</v>
      </c>
      <c r="F60" s="192">
        <f t="shared" si="4"/>
        <v>52710.666666666664</v>
      </c>
      <c r="G60" s="193">
        <f t="shared" si="3"/>
        <v>2390.3571428571431</v>
      </c>
      <c r="H60" s="190">
        <f t="shared" si="1"/>
        <v>55101.023809523809</v>
      </c>
      <c r="I60" s="191">
        <f t="shared" si="2"/>
        <v>6246314.6666666493</v>
      </c>
      <c r="J60" s="450"/>
      <c r="K60" s="434"/>
      <c r="L60" s="439"/>
      <c r="M60" s="440"/>
      <c r="N60" s="434"/>
    </row>
    <row r="61" spans="2:14" x14ac:dyDescent="0.2">
      <c r="B61" s="509">
        <v>39</v>
      </c>
      <c r="C61" s="510"/>
      <c r="D61" s="466"/>
      <c r="E61" s="453" t="s">
        <v>147</v>
      </c>
      <c r="F61" s="192">
        <f t="shared" si="4"/>
        <v>52710.666666666664</v>
      </c>
      <c r="G61" s="193">
        <f t="shared" si="3"/>
        <v>2390.3571428571431</v>
      </c>
      <c r="H61" s="190">
        <f t="shared" si="1"/>
        <v>55101.023809523809</v>
      </c>
      <c r="I61" s="191">
        <f t="shared" si="2"/>
        <v>6191213.642857125</v>
      </c>
      <c r="J61" s="450"/>
      <c r="K61" s="434"/>
      <c r="L61" s="439"/>
      <c r="M61" s="440"/>
      <c r="N61" s="434"/>
    </row>
    <row r="62" spans="2:14" x14ac:dyDescent="0.2">
      <c r="B62" s="509">
        <v>40</v>
      </c>
      <c r="C62" s="510"/>
      <c r="D62" s="466"/>
      <c r="E62" s="453" t="s">
        <v>148</v>
      </c>
      <c r="F62" s="192">
        <f t="shared" si="4"/>
        <v>52710.666666666664</v>
      </c>
      <c r="G62" s="193">
        <f t="shared" si="3"/>
        <v>2390.3571428571431</v>
      </c>
      <c r="H62" s="190">
        <f t="shared" si="1"/>
        <v>55101.023809523809</v>
      </c>
      <c r="I62" s="191">
        <f t="shared" si="2"/>
        <v>6136112.6190476008</v>
      </c>
      <c r="J62" s="450"/>
      <c r="K62" s="434"/>
      <c r="L62" s="439"/>
      <c r="M62" s="440"/>
      <c r="N62" s="434"/>
    </row>
    <row r="63" spans="2:14" x14ac:dyDescent="0.2">
      <c r="B63" s="509">
        <v>41</v>
      </c>
      <c r="C63" s="510"/>
      <c r="D63" s="466"/>
      <c r="E63" s="453" t="s">
        <v>149</v>
      </c>
      <c r="F63" s="192">
        <f t="shared" si="4"/>
        <v>52710.666666666664</v>
      </c>
      <c r="G63" s="193">
        <f t="shared" si="3"/>
        <v>2390.3571428571431</v>
      </c>
      <c r="H63" s="190">
        <f t="shared" si="1"/>
        <v>55101.023809523809</v>
      </c>
      <c r="I63" s="191">
        <f t="shared" si="2"/>
        <v>6081011.5952380765</v>
      </c>
      <c r="J63" s="450"/>
      <c r="K63" s="434"/>
      <c r="L63" s="439"/>
      <c r="M63" s="440"/>
      <c r="N63" s="434"/>
    </row>
    <row r="64" spans="2:14" x14ac:dyDescent="0.2">
      <c r="B64" s="509">
        <v>42</v>
      </c>
      <c r="C64" s="510"/>
      <c r="D64" s="466"/>
      <c r="E64" s="453" t="s">
        <v>150</v>
      </c>
      <c r="F64" s="192">
        <f t="shared" si="4"/>
        <v>52710.666666666664</v>
      </c>
      <c r="G64" s="193">
        <f t="shared" si="3"/>
        <v>2390.3571428571431</v>
      </c>
      <c r="H64" s="190">
        <f t="shared" si="1"/>
        <v>55101.023809523809</v>
      </c>
      <c r="I64" s="191">
        <f t="shared" si="2"/>
        <v>6025910.5714285523</v>
      </c>
      <c r="J64" s="450"/>
      <c r="K64" s="434"/>
      <c r="L64" s="439"/>
      <c r="M64" s="440"/>
      <c r="N64" s="434"/>
    </row>
    <row r="65" spans="2:14" x14ac:dyDescent="0.2">
      <c r="B65" s="509">
        <v>43</v>
      </c>
      <c r="C65" s="510"/>
      <c r="D65" s="466"/>
      <c r="E65" s="453" t="s">
        <v>151</v>
      </c>
      <c r="F65" s="192">
        <f t="shared" si="4"/>
        <v>52710.666666666664</v>
      </c>
      <c r="G65" s="193">
        <f t="shared" si="3"/>
        <v>2390.3571428571431</v>
      </c>
      <c r="H65" s="190">
        <f t="shared" si="1"/>
        <v>55101.023809523809</v>
      </c>
      <c r="I65" s="191">
        <f t="shared" si="2"/>
        <v>5970809.547619028</v>
      </c>
      <c r="J65" s="450"/>
      <c r="K65" s="434"/>
      <c r="L65" s="439"/>
      <c r="M65" s="440"/>
      <c r="N65" s="434"/>
    </row>
    <row r="66" spans="2:14" x14ac:dyDescent="0.2">
      <c r="B66" s="509">
        <v>44</v>
      </c>
      <c r="C66" s="510"/>
      <c r="D66" s="466"/>
      <c r="E66" s="453" t="s">
        <v>152</v>
      </c>
      <c r="F66" s="192">
        <f t="shared" si="4"/>
        <v>52710.666666666664</v>
      </c>
      <c r="G66" s="193">
        <f t="shared" si="3"/>
        <v>2390.3571428571431</v>
      </c>
      <c r="H66" s="190">
        <f t="shared" si="1"/>
        <v>55101.023809523809</v>
      </c>
      <c r="I66" s="191">
        <f t="shared" si="2"/>
        <v>5915708.5238095038</v>
      </c>
      <c r="J66" s="450"/>
      <c r="K66" s="434"/>
      <c r="L66" s="439"/>
      <c r="M66" s="440"/>
      <c r="N66" s="434"/>
    </row>
    <row r="67" spans="2:14" x14ac:dyDescent="0.2">
      <c r="B67" s="509">
        <v>45</v>
      </c>
      <c r="C67" s="510"/>
      <c r="D67" s="466"/>
      <c r="E67" s="453" t="s">
        <v>153</v>
      </c>
      <c r="F67" s="192">
        <f t="shared" si="4"/>
        <v>52710.666666666664</v>
      </c>
      <c r="G67" s="193">
        <f t="shared" si="3"/>
        <v>2390.3571428571431</v>
      </c>
      <c r="H67" s="190">
        <f t="shared" si="1"/>
        <v>55101.023809523809</v>
      </c>
      <c r="I67" s="191">
        <f t="shared" si="2"/>
        <v>5860607.4999999795</v>
      </c>
      <c r="J67" s="450"/>
      <c r="K67" s="434"/>
      <c r="L67" s="439"/>
      <c r="M67" s="440"/>
      <c r="N67" s="434"/>
    </row>
    <row r="68" spans="2:14" x14ac:dyDescent="0.2">
      <c r="B68" s="509">
        <v>46</v>
      </c>
      <c r="C68" s="510"/>
      <c r="D68" s="466"/>
      <c r="E68" s="453" t="s">
        <v>154</v>
      </c>
      <c r="F68" s="192">
        <f t="shared" si="4"/>
        <v>52710.666666666664</v>
      </c>
      <c r="G68" s="193">
        <f t="shared" si="3"/>
        <v>2390.3571428571431</v>
      </c>
      <c r="H68" s="190">
        <f t="shared" si="1"/>
        <v>55101.023809523809</v>
      </c>
      <c r="I68" s="191">
        <f t="shared" si="2"/>
        <v>5805506.4761904553</v>
      </c>
      <c r="J68" s="450"/>
      <c r="K68" s="434"/>
      <c r="L68" s="439"/>
      <c r="M68" s="440"/>
      <c r="N68" s="434"/>
    </row>
    <row r="69" spans="2:14" x14ac:dyDescent="0.2">
      <c r="B69" s="509">
        <v>47</v>
      </c>
      <c r="C69" s="510"/>
      <c r="D69" s="466"/>
      <c r="E69" s="453" t="s">
        <v>155</v>
      </c>
      <c r="F69" s="192">
        <f t="shared" si="4"/>
        <v>52710.666666666664</v>
      </c>
      <c r="G69" s="193">
        <f t="shared" si="3"/>
        <v>2390.3571428571431</v>
      </c>
      <c r="H69" s="190">
        <f t="shared" si="1"/>
        <v>55101.023809523809</v>
      </c>
      <c r="I69" s="191">
        <f t="shared" si="2"/>
        <v>5750405.452380931</v>
      </c>
      <c r="J69" s="450"/>
      <c r="K69" s="434"/>
      <c r="L69" s="439"/>
      <c r="M69" s="440"/>
      <c r="N69" s="434"/>
    </row>
    <row r="70" spans="2:14" x14ac:dyDescent="0.2">
      <c r="B70" s="509">
        <v>48</v>
      </c>
      <c r="C70" s="510"/>
      <c r="D70" s="466"/>
      <c r="E70" s="453" t="s">
        <v>156</v>
      </c>
      <c r="F70" s="192">
        <f t="shared" si="4"/>
        <v>52710.666666666664</v>
      </c>
      <c r="G70" s="193">
        <f t="shared" si="3"/>
        <v>2390.3571428571431</v>
      </c>
      <c r="H70" s="190">
        <f t="shared" si="1"/>
        <v>55101.023809523809</v>
      </c>
      <c r="I70" s="191">
        <f t="shared" si="2"/>
        <v>5695304.4285714068</v>
      </c>
      <c r="J70" s="450"/>
      <c r="K70" s="434"/>
      <c r="L70" s="439"/>
      <c r="M70" s="440"/>
      <c r="N70" s="434"/>
    </row>
    <row r="71" spans="2:14" x14ac:dyDescent="0.2">
      <c r="B71" s="509">
        <v>49</v>
      </c>
      <c r="C71" s="510"/>
      <c r="D71" s="466"/>
      <c r="E71" s="453" t="s">
        <v>157</v>
      </c>
      <c r="F71" s="192">
        <f t="shared" si="4"/>
        <v>52710.666666666664</v>
      </c>
      <c r="G71" s="193">
        <f t="shared" si="3"/>
        <v>2390.3571428571431</v>
      </c>
      <c r="H71" s="190">
        <f t="shared" si="1"/>
        <v>55101.023809523809</v>
      </c>
      <c r="I71" s="191">
        <f t="shared" si="2"/>
        <v>5640203.4047618825</v>
      </c>
      <c r="J71" s="450"/>
      <c r="K71" s="434"/>
      <c r="L71" s="439"/>
      <c r="M71" s="440"/>
      <c r="N71" s="434"/>
    </row>
    <row r="72" spans="2:14" x14ac:dyDescent="0.2">
      <c r="B72" s="509">
        <v>50</v>
      </c>
      <c r="C72" s="510"/>
      <c r="D72" s="466"/>
      <c r="E72" s="453" t="s">
        <v>158</v>
      </c>
      <c r="F72" s="192">
        <f t="shared" si="4"/>
        <v>52710.666666666664</v>
      </c>
      <c r="G72" s="193">
        <f t="shared" si="3"/>
        <v>2390.3571428571431</v>
      </c>
      <c r="H72" s="190">
        <f t="shared" si="1"/>
        <v>55101.023809523809</v>
      </c>
      <c r="I72" s="191">
        <f t="shared" si="2"/>
        <v>5585102.3809523582</v>
      </c>
      <c r="J72" s="450"/>
      <c r="K72" s="434"/>
      <c r="L72" s="439"/>
      <c r="M72" s="440"/>
      <c r="N72" s="434"/>
    </row>
    <row r="73" spans="2:14" x14ac:dyDescent="0.2">
      <c r="B73" s="509">
        <v>51</v>
      </c>
      <c r="C73" s="510"/>
      <c r="D73" s="466"/>
      <c r="E73" s="453" t="s">
        <v>159</v>
      </c>
      <c r="F73" s="192">
        <f t="shared" si="4"/>
        <v>52710.666666666664</v>
      </c>
      <c r="G73" s="193">
        <f t="shared" si="3"/>
        <v>2390.3571428571431</v>
      </c>
      <c r="H73" s="190">
        <f t="shared" si="1"/>
        <v>55101.023809523809</v>
      </c>
      <c r="I73" s="191">
        <f t="shared" si="2"/>
        <v>5530001.357142834</v>
      </c>
      <c r="J73" s="450"/>
      <c r="K73" s="434"/>
      <c r="L73" s="439"/>
      <c r="M73" s="440"/>
      <c r="N73" s="434"/>
    </row>
    <row r="74" spans="2:14" x14ac:dyDescent="0.2">
      <c r="B74" s="509">
        <v>52</v>
      </c>
      <c r="C74" s="510"/>
      <c r="D74" s="466"/>
      <c r="E74" s="453" t="s">
        <v>160</v>
      </c>
      <c r="F74" s="192">
        <f t="shared" si="4"/>
        <v>52710.666666666664</v>
      </c>
      <c r="G74" s="193">
        <f t="shared" si="3"/>
        <v>2390.3571428571431</v>
      </c>
      <c r="H74" s="190">
        <f t="shared" si="1"/>
        <v>55101.023809523809</v>
      </c>
      <c r="I74" s="191">
        <f t="shared" si="2"/>
        <v>5474900.3333333097</v>
      </c>
      <c r="J74" s="450"/>
      <c r="K74" s="434"/>
      <c r="L74" s="439"/>
      <c r="M74" s="440"/>
      <c r="N74" s="434"/>
    </row>
    <row r="75" spans="2:14" x14ac:dyDescent="0.2">
      <c r="B75" s="509">
        <v>53</v>
      </c>
      <c r="C75" s="510"/>
      <c r="D75" s="466"/>
      <c r="E75" s="453" t="s">
        <v>161</v>
      </c>
      <c r="F75" s="192">
        <f t="shared" si="4"/>
        <v>52710.666666666664</v>
      </c>
      <c r="G75" s="193">
        <f t="shared" si="3"/>
        <v>2390.3571428571431</v>
      </c>
      <c r="H75" s="190">
        <f t="shared" si="1"/>
        <v>55101.023809523809</v>
      </c>
      <c r="I75" s="191">
        <f t="shared" si="2"/>
        <v>5419799.3095237855</v>
      </c>
      <c r="J75" s="450"/>
      <c r="K75" s="434"/>
      <c r="L75" s="439"/>
      <c r="M75" s="440"/>
      <c r="N75" s="434"/>
    </row>
    <row r="76" spans="2:14" x14ac:dyDescent="0.2">
      <c r="B76" s="509">
        <v>54</v>
      </c>
      <c r="C76" s="510"/>
      <c r="D76" s="466"/>
      <c r="E76" s="453" t="s">
        <v>162</v>
      </c>
      <c r="F76" s="192">
        <f t="shared" si="4"/>
        <v>52710.666666666664</v>
      </c>
      <c r="G76" s="193">
        <f t="shared" si="3"/>
        <v>2390.3571428571431</v>
      </c>
      <c r="H76" s="190">
        <f t="shared" si="1"/>
        <v>55101.023809523809</v>
      </c>
      <c r="I76" s="191">
        <f t="shared" si="2"/>
        <v>5364698.2857142612</v>
      </c>
      <c r="J76" s="450"/>
      <c r="K76" s="434"/>
      <c r="L76" s="439"/>
      <c r="M76" s="440"/>
      <c r="N76" s="434"/>
    </row>
    <row r="77" spans="2:14" x14ac:dyDescent="0.2">
      <c r="B77" s="509">
        <v>55</v>
      </c>
      <c r="C77" s="510"/>
      <c r="D77" s="466"/>
      <c r="E77" s="453" t="s">
        <v>163</v>
      </c>
      <c r="F77" s="192">
        <f t="shared" si="4"/>
        <v>52710.666666666664</v>
      </c>
      <c r="G77" s="193">
        <f t="shared" si="3"/>
        <v>2390.3571428571431</v>
      </c>
      <c r="H77" s="190">
        <f t="shared" si="1"/>
        <v>55101.023809523809</v>
      </c>
      <c r="I77" s="191">
        <f t="shared" si="2"/>
        <v>5309597.261904737</v>
      </c>
      <c r="J77" s="450"/>
      <c r="K77" s="434"/>
      <c r="L77" s="439"/>
      <c r="M77" s="440"/>
      <c r="N77" s="434"/>
    </row>
    <row r="78" spans="2:14" x14ac:dyDescent="0.2">
      <c r="B78" s="509">
        <v>56</v>
      </c>
      <c r="C78" s="510"/>
      <c r="D78" s="466"/>
      <c r="E78" s="453" t="s">
        <v>164</v>
      </c>
      <c r="F78" s="192">
        <f t="shared" si="4"/>
        <v>52710.666666666664</v>
      </c>
      <c r="G78" s="193">
        <f t="shared" si="3"/>
        <v>2390.3571428571431</v>
      </c>
      <c r="H78" s="190">
        <f t="shared" si="1"/>
        <v>55101.023809523809</v>
      </c>
      <c r="I78" s="191">
        <f t="shared" si="2"/>
        <v>5254496.2380952127</v>
      </c>
      <c r="J78" s="450"/>
      <c r="K78" s="434"/>
      <c r="L78" s="439"/>
      <c r="M78" s="440"/>
      <c r="N78" s="434"/>
    </row>
    <row r="79" spans="2:14" x14ac:dyDescent="0.2">
      <c r="B79" s="509">
        <v>57</v>
      </c>
      <c r="C79" s="510"/>
      <c r="D79" s="466"/>
      <c r="E79" s="453" t="s">
        <v>165</v>
      </c>
      <c r="F79" s="192">
        <f t="shared" si="4"/>
        <v>52710.666666666664</v>
      </c>
      <c r="G79" s="193">
        <f t="shared" si="3"/>
        <v>2390.3571428571431</v>
      </c>
      <c r="H79" s="190">
        <f t="shared" si="1"/>
        <v>55101.023809523809</v>
      </c>
      <c r="I79" s="191">
        <f t="shared" si="2"/>
        <v>5199395.2142856885</v>
      </c>
      <c r="J79" s="450"/>
      <c r="K79" s="434"/>
      <c r="L79" s="439"/>
      <c r="M79" s="440"/>
      <c r="N79" s="434"/>
    </row>
    <row r="80" spans="2:14" x14ac:dyDescent="0.2">
      <c r="B80" s="509">
        <v>58</v>
      </c>
      <c r="C80" s="510"/>
      <c r="D80" s="466"/>
      <c r="E80" s="453" t="s">
        <v>166</v>
      </c>
      <c r="F80" s="192">
        <f t="shared" si="4"/>
        <v>52710.666666666664</v>
      </c>
      <c r="G80" s="193">
        <f t="shared" si="3"/>
        <v>2390.3571428571431</v>
      </c>
      <c r="H80" s="190">
        <f t="shared" si="1"/>
        <v>55101.023809523809</v>
      </c>
      <c r="I80" s="191">
        <f t="shared" si="2"/>
        <v>5144294.1904761642</v>
      </c>
      <c r="J80" s="450"/>
      <c r="K80" s="434"/>
      <c r="L80" s="439"/>
      <c r="M80" s="440"/>
      <c r="N80" s="434"/>
    </row>
    <row r="81" spans="2:14" x14ac:dyDescent="0.2">
      <c r="B81" s="509">
        <v>59</v>
      </c>
      <c r="C81" s="510"/>
      <c r="D81" s="466"/>
      <c r="E81" s="453" t="s">
        <v>167</v>
      </c>
      <c r="F81" s="192">
        <f t="shared" si="4"/>
        <v>52710.666666666664</v>
      </c>
      <c r="G81" s="193">
        <f t="shared" si="3"/>
        <v>2390.3571428571431</v>
      </c>
      <c r="H81" s="190">
        <f t="shared" si="1"/>
        <v>55101.023809523809</v>
      </c>
      <c r="I81" s="191">
        <f t="shared" si="2"/>
        <v>5089193.16666664</v>
      </c>
      <c r="J81" s="450"/>
      <c r="K81" s="434"/>
      <c r="L81" s="439"/>
      <c r="M81" s="440"/>
      <c r="N81" s="434"/>
    </row>
    <row r="82" spans="2:14" x14ac:dyDescent="0.2">
      <c r="B82" s="509">
        <v>60</v>
      </c>
      <c r="C82" s="510"/>
      <c r="D82" s="466"/>
      <c r="E82" s="453" t="s">
        <v>168</v>
      </c>
      <c r="F82" s="192">
        <f>F81</f>
        <v>52710.666666666664</v>
      </c>
      <c r="G82" s="193">
        <f t="shared" si="3"/>
        <v>2390.3571428571431</v>
      </c>
      <c r="H82" s="190">
        <f t="shared" si="1"/>
        <v>55101.023809523809</v>
      </c>
      <c r="I82" s="191">
        <f t="shared" si="2"/>
        <v>5034092.1428571157</v>
      </c>
      <c r="J82" s="450"/>
      <c r="K82" s="434"/>
      <c r="L82" s="439"/>
      <c r="M82" s="440"/>
      <c r="N82" s="434"/>
    </row>
    <row r="83" spans="2:14" ht="16" thickBot="1" x14ac:dyDescent="0.25">
      <c r="B83" s="509">
        <v>61</v>
      </c>
      <c r="C83" s="510"/>
      <c r="D83" s="466"/>
      <c r="E83" s="452" t="s">
        <v>175</v>
      </c>
      <c r="F83" s="192">
        <f>(((D14-SUM(D15:D17))*60%)/1)</f>
        <v>4818960</v>
      </c>
      <c r="G83" s="193">
        <f>(D18*60%)/1</f>
        <v>215132.14285714284</v>
      </c>
      <c r="H83" s="190">
        <f>SUM(F83:G83)</f>
        <v>5034092.1428571427</v>
      </c>
      <c r="I83" s="191">
        <f t="shared" si="2"/>
        <v>-2.7008354663848877E-8</v>
      </c>
      <c r="J83" s="450"/>
      <c r="K83" s="434"/>
      <c r="L83" s="439"/>
      <c r="M83" s="440"/>
      <c r="N83" s="434"/>
    </row>
    <row r="84" spans="2:14" ht="16" thickBot="1" x14ac:dyDescent="0.25">
      <c r="B84" s="454"/>
      <c r="C84" s="455"/>
      <c r="D84" s="456"/>
      <c r="E84" s="457" t="s">
        <v>96</v>
      </c>
      <c r="F84" s="196">
        <f>SUM(F22:F83)</f>
        <v>8031599.9999999981</v>
      </c>
      <c r="G84" s="196">
        <f>SUM(G22:G83)</f>
        <v>358553.57142857148</v>
      </c>
      <c r="H84" s="196">
        <f>SUM(H22:H83)</f>
        <v>8390153.5714285709</v>
      </c>
      <c r="I84" s="197"/>
      <c r="J84" s="434"/>
      <c r="K84" s="434"/>
      <c r="L84" s="439">
        <f>SUM(L22:L82)</f>
        <v>56000</v>
      </c>
      <c r="M84" s="440">
        <f>L84-F84</f>
        <v>-7975599.9999999981</v>
      </c>
      <c r="N84" s="434"/>
    </row>
    <row r="85" spans="2:14" x14ac:dyDescent="0.2">
      <c r="D85" s="458"/>
      <c r="L85" s="459"/>
    </row>
    <row r="86" spans="2:14" ht="15" customHeight="1" x14ac:dyDescent="0.2">
      <c r="B86" s="529" t="s">
        <v>198</v>
      </c>
      <c r="C86" s="529"/>
      <c r="D86" s="529"/>
      <c r="E86" s="529"/>
      <c r="F86" s="529"/>
      <c r="G86" s="529"/>
      <c r="H86" s="529"/>
      <c r="I86" s="529"/>
      <c r="L86" s="459"/>
    </row>
    <row r="87" spans="2:14" x14ac:dyDescent="0.2">
      <c r="B87" s="529"/>
      <c r="C87" s="529"/>
      <c r="D87" s="529"/>
      <c r="E87" s="529"/>
      <c r="F87" s="529"/>
      <c r="G87" s="529"/>
      <c r="H87" s="529"/>
      <c r="I87" s="529"/>
      <c r="L87" s="459"/>
    </row>
    <row r="88" spans="2:14" x14ac:dyDescent="0.2">
      <c r="B88" s="529"/>
      <c r="C88" s="529"/>
      <c r="D88" s="529"/>
      <c r="E88" s="529"/>
      <c r="F88" s="529"/>
      <c r="G88" s="529"/>
      <c r="H88" s="529"/>
      <c r="I88" s="529"/>
      <c r="L88" s="459"/>
    </row>
    <row r="89" spans="2:14" x14ac:dyDescent="0.2">
      <c r="B89" s="529"/>
      <c r="C89" s="529"/>
      <c r="D89" s="529"/>
      <c r="E89" s="529"/>
      <c r="F89" s="529"/>
      <c r="G89" s="529"/>
      <c r="H89" s="529"/>
      <c r="I89" s="529"/>
      <c r="L89" s="459"/>
    </row>
    <row r="90" spans="2:14" x14ac:dyDescent="0.2">
      <c r="B90" s="529"/>
      <c r="C90" s="529"/>
      <c r="D90" s="529"/>
      <c r="E90" s="529"/>
      <c r="F90" s="529"/>
      <c r="G90" s="529"/>
      <c r="H90" s="529"/>
      <c r="I90" s="529"/>
      <c r="L90" s="459"/>
    </row>
    <row r="91" spans="2:14" x14ac:dyDescent="0.2">
      <c r="B91" s="529"/>
      <c r="C91" s="529"/>
      <c r="D91" s="529"/>
      <c r="E91" s="529"/>
      <c r="F91" s="529"/>
      <c r="G91" s="529"/>
      <c r="H91" s="529"/>
      <c r="I91" s="529"/>
      <c r="L91" s="459"/>
    </row>
    <row r="92" spans="2:14" x14ac:dyDescent="0.2">
      <c r="B92" s="529"/>
      <c r="C92" s="529"/>
      <c r="D92" s="529"/>
      <c r="E92" s="529"/>
      <c r="F92" s="529"/>
      <c r="G92" s="529"/>
      <c r="H92" s="529"/>
      <c r="I92" s="529"/>
      <c r="L92" s="459"/>
    </row>
    <row r="93" spans="2:14" x14ac:dyDescent="0.2">
      <c r="B93" s="529"/>
      <c r="C93" s="529"/>
      <c r="D93" s="529"/>
      <c r="E93" s="529"/>
      <c r="F93" s="529"/>
      <c r="G93" s="529"/>
      <c r="H93" s="529"/>
      <c r="I93" s="529"/>
      <c r="L93" s="459"/>
    </row>
    <row r="94" spans="2:14" x14ac:dyDescent="0.2">
      <c r="B94" s="529"/>
      <c r="C94" s="529"/>
      <c r="D94" s="529"/>
      <c r="E94" s="529"/>
      <c r="F94" s="529"/>
      <c r="G94" s="529"/>
      <c r="H94" s="529"/>
      <c r="I94" s="529"/>
      <c r="L94" s="459"/>
    </row>
    <row r="95" spans="2:14" x14ac:dyDescent="0.2">
      <c r="B95" s="529"/>
      <c r="C95" s="529"/>
      <c r="D95" s="529"/>
      <c r="E95" s="529"/>
      <c r="F95" s="529"/>
      <c r="G95" s="529"/>
      <c r="H95" s="529"/>
      <c r="I95" s="529"/>
      <c r="L95" s="459"/>
    </row>
    <row r="96" spans="2:14" x14ac:dyDescent="0.2">
      <c r="B96" s="529"/>
      <c r="C96" s="529"/>
      <c r="D96" s="529"/>
      <c r="E96" s="529"/>
      <c r="F96" s="529"/>
      <c r="G96" s="529"/>
      <c r="H96" s="529"/>
      <c r="I96" s="529"/>
      <c r="L96" s="459"/>
    </row>
    <row r="97" spans="2:12" x14ac:dyDescent="0.2">
      <c r="B97" s="529"/>
      <c r="C97" s="529"/>
      <c r="D97" s="529"/>
      <c r="E97" s="529"/>
      <c r="F97" s="529"/>
      <c r="G97" s="529"/>
      <c r="H97" s="529"/>
      <c r="I97" s="529"/>
      <c r="L97" s="459"/>
    </row>
    <row r="98" spans="2:12" x14ac:dyDescent="0.2">
      <c r="B98" s="529"/>
      <c r="C98" s="529"/>
      <c r="D98" s="529"/>
      <c r="E98" s="529"/>
      <c r="F98" s="529"/>
      <c r="G98" s="529"/>
      <c r="H98" s="529"/>
      <c r="I98" s="529"/>
      <c r="L98" s="459"/>
    </row>
    <row r="99" spans="2:12" x14ac:dyDescent="0.2">
      <c r="B99" s="529"/>
      <c r="C99" s="529"/>
      <c r="D99" s="529"/>
      <c r="E99" s="529"/>
      <c r="F99" s="529"/>
      <c r="G99" s="529"/>
      <c r="H99" s="529"/>
      <c r="I99" s="529"/>
      <c r="L99" s="459"/>
    </row>
    <row r="100" spans="2:12" x14ac:dyDescent="0.2">
      <c r="B100" s="529"/>
      <c r="C100" s="529"/>
      <c r="D100" s="529"/>
      <c r="E100" s="529"/>
      <c r="F100" s="529"/>
      <c r="G100" s="529"/>
      <c r="H100" s="529"/>
      <c r="I100" s="529"/>
      <c r="L100" s="459"/>
    </row>
    <row r="101" spans="2:12" ht="88.25" customHeight="1" x14ac:dyDescent="0.2">
      <c r="B101" s="529"/>
      <c r="C101" s="529"/>
      <c r="D101" s="529"/>
      <c r="E101" s="529"/>
      <c r="F101" s="529"/>
      <c r="G101" s="529"/>
      <c r="H101" s="529"/>
      <c r="I101" s="529"/>
      <c r="L101" s="459"/>
    </row>
    <row r="102" spans="2:12" hidden="1" x14ac:dyDescent="0.2">
      <c r="B102" s="460" t="s">
        <v>97</v>
      </c>
      <c r="C102" s="460"/>
    </row>
    <row r="103" spans="2:12" hidden="1" x14ac:dyDescent="0.2">
      <c r="B103" s="461" t="s">
        <v>98</v>
      </c>
      <c r="C103" s="461"/>
    </row>
    <row r="104" spans="2:12" hidden="1" x14ac:dyDescent="0.2">
      <c r="B104" s="461" t="s">
        <v>99</v>
      </c>
      <c r="C104" s="461"/>
    </row>
    <row r="105" spans="2:12" hidden="1" x14ac:dyDescent="0.2">
      <c r="B105" s="461" t="s">
        <v>100</v>
      </c>
      <c r="C105" s="461"/>
    </row>
    <row r="106" spans="2:12" hidden="1" x14ac:dyDescent="0.2">
      <c r="B106" s="461" t="s">
        <v>101</v>
      </c>
      <c r="C106" s="461"/>
    </row>
    <row r="107" spans="2:12" s="462" customFormat="1" ht="4.75" hidden="1" customHeight="1" x14ac:dyDescent="0.2">
      <c r="B107" s="461" t="s">
        <v>102</v>
      </c>
      <c r="C107" s="461"/>
    </row>
    <row r="108" spans="2:12" ht="16.25" customHeight="1" x14ac:dyDescent="0.2"/>
    <row r="109" spans="2:12" x14ac:dyDescent="0.2">
      <c r="B109" s="463" t="s">
        <v>103</v>
      </c>
      <c r="C109" s="463"/>
    </row>
    <row r="112" spans="2:12" x14ac:dyDescent="0.2">
      <c r="B112" s="530" t="s">
        <v>104</v>
      </c>
      <c r="C112" s="530"/>
      <c r="D112" s="530"/>
      <c r="F112" s="530" t="s">
        <v>105</v>
      </c>
      <c r="G112" s="530"/>
      <c r="H112" s="530"/>
      <c r="I112" s="530"/>
    </row>
  </sheetData>
  <sheetProtection algorithmName="SHA-512" hashValue="nKUGajMHHNg2nEhxbkYAkPeY9l71/oDeOjMDrCrvqB3a8+s/+mgBl7qrOK2eaCtS9RIUxkJrs0KMFTHQZLAhSQ==" saltValue="SlZ+jtr0k1xAxCU9CVD++g==" spinCount="100000" sheet="1" objects="1" scenarios="1"/>
  <mergeCells count="74">
    <mergeCell ref="B112:D112"/>
    <mergeCell ref="F112:I112"/>
    <mergeCell ref="B83:C83"/>
    <mergeCell ref="B72:C72"/>
    <mergeCell ref="B73:C73"/>
    <mergeCell ref="B74:C74"/>
    <mergeCell ref="B75:C75"/>
    <mergeCell ref="B76:C76"/>
    <mergeCell ref="B77:C77"/>
    <mergeCell ref="B78:C78"/>
    <mergeCell ref="B79:C79"/>
    <mergeCell ref="B80:C80"/>
    <mergeCell ref="B81:C81"/>
    <mergeCell ref="B82:C82"/>
    <mergeCell ref="B86:I101"/>
    <mergeCell ref="B71:C71"/>
    <mergeCell ref="B60:C60"/>
    <mergeCell ref="B61:C61"/>
    <mergeCell ref="B62:C62"/>
    <mergeCell ref="B63:C63"/>
    <mergeCell ref="B64:C64"/>
    <mergeCell ref="B65:C65"/>
    <mergeCell ref="B66:C66"/>
    <mergeCell ref="B67:C67"/>
    <mergeCell ref="B68:C68"/>
    <mergeCell ref="B69:C69"/>
    <mergeCell ref="B70:C70"/>
    <mergeCell ref="B59:C59"/>
    <mergeCell ref="B48:C48"/>
    <mergeCell ref="B49:C49"/>
    <mergeCell ref="B50:C50"/>
    <mergeCell ref="B51:C51"/>
    <mergeCell ref="B52:C52"/>
    <mergeCell ref="B53:C53"/>
    <mergeCell ref="B54:C54"/>
    <mergeCell ref="B55:C55"/>
    <mergeCell ref="B56:C56"/>
    <mergeCell ref="B57:C57"/>
    <mergeCell ref="B58:C58"/>
    <mergeCell ref="B32:C32"/>
    <mergeCell ref="B33:C33"/>
    <mergeCell ref="B34:C34"/>
    <mergeCell ref="B47:C47"/>
    <mergeCell ref="B36:C36"/>
    <mergeCell ref="B37:C37"/>
    <mergeCell ref="B38:C38"/>
    <mergeCell ref="B39:C39"/>
    <mergeCell ref="B40:C40"/>
    <mergeCell ref="B41:C41"/>
    <mergeCell ref="B42:C42"/>
    <mergeCell ref="B43:C43"/>
    <mergeCell ref="B44:C44"/>
    <mergeCell ref="B45:C45"/>
    <mergeCell ref="B46:C46"/>
    <mergeCell ref="B35:C35"/>
    <mergeCell ref="B27:C27"/>
    <mergeCell ref="B28:C28"/>
    <mergeCell ref="B29:C29"/>
    <mergeCell ref="B30:C30"/>
    <mergeCell ref="B31:C31"/>
    <mergeCell ref="C9:D9"/>
    <mergeCell ref="L1:L3"/>
    <mergeCell ref="I2:I3"/>
    <mergeCell ref="C6:D6"/>
    <mergeCell ref="C7:D7"/>
    <mergeCell ref="C8:D8"/>
    <mergeCell ref="B24:C24"/>
    <mergeCell ref="B25:C25"/>
    <mergeCell ref="B26:C26"/>
    <mergeCell ref="C10:D10"/>
    <mergeCell ref="C11:D11"/>
    <mergeCell ref="B21:C21"/>
    <mergeCell ref="B22:C22"/>
    <mergeCell ref="B23:C23"/>
  </mergeCells>
  <phoneticPr fontId="45" type="noConversion"/>
  <hyperlinks>
    <hyperlink ref="O4" location="Input!A1" display="Return to Input" xr:uid="{00000000-0004-0000-0F00-000000000000}"/>
  </hyperlinks>
  <pageMargins left="0.7" right="0.7" top="0.75" bottom="0.75" header="0.3" footer="0.3"/>
  <pageSetup paperSize="5" scale="54" orientation="portrait"/>
  <ignoredErrors>
    <ignoredError sqref="C16" unlockedFormula="1"/>
    <ignoredError sqref="F35" formula="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rgb="FF00B050"/>
    <pageSetUpPr fitToPage="1"/>
  </sheetPr>
  <dimension ref="B1:N114"/>
  <sheetViews>
    <sheetView zoomScale="110" zoomScaleNormal="110" zoomScaleSheetLayoutView="37" zoomScalePageLayoutView="110" workbookViewId="0">
      <selection activeCell="C6" sqref="C6:D6"/>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18.33203125" style="212" customWidth="1"/>
    <col min="5" max="5" width="18.5" style="212" customWidth="1"/>
    <col min="6" max="7" width="17.5" style="212" hidden="1" customWidth="1"/>
    <col min="8" max="8" width="17.5" style="212" customWidth="1"/>
    <col min="9" max="9" width="22.5" style="212" customWidth="1"/>
    <col min="10" max="10" width="9.33203125" style="212" bestFit="1" customWidth="1"/>
    <col min="11" max="11" width="8.83203125" style="212"/>
    <col min="12" max="12" width="26.1640625" style="212" hidden="1" customWidth="1"/>
    <col min="13" max="13" width="15.83203125" style="212" hidden="1" customWidth="1"/>
    <col min="14" max="14" width="0" style="212" hidden="1" customWidth="1"/>
    <col min="15"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4" x14ac:dyDescent="0.2">
      <c r="L1" s="511"/>
    </row>
    <row r="2" spans="2:14" x14ac:dyDescent="0.2">
      <c r="B2" s="425" t="s">
        <v>81</v>
      </c>
      <c r="F2" s="426"/>
      <c r="G2" s="426"/>
      <c r="H2" s="426"/>
      <c r="I2" s="512" t="s">
        <v>82</v>
      </c>
      <c r="L2" s="511"/>
    </row>
    <row r="3" spans="2:14" x14ac:dyDescent="0.2">
      <c r="B3" s="425" t="s">
        <v>171</v>
      </c>
      <c r="F3" s="427"/>
      <c r="G3" s="427"/>
      <c r="H3" s="427"/>
      <c r="I3" s="512"/>
      <c r="L3" s="511"/>
    </row>
    <row r="4" spans="2:14" x14ac:dyDescent="0.2">
      <c r="B4" s="425" t="s">
        <v>83</v>
      </c>
      <c r="K4" s="464" t="s">
        <v>84</v>
      </c>
    </row>
    <row r="5" spans="2:14" ht="16" thickBot="1" x14ac:dyDescent="0.25"/>
    <row r="6" spans="2:14" ht="33" customHeight="1" thickBot="1" x14ac:dyDescent="0.25">
      <c r="B6" s="429" t="s">
        <v>71</v>
      </c>
      <c r="C6" s="513">
        <f>INPUT!C12</f>
        <v>0</v>
      </c>
      <c r="D6" s="514"/>
    </row>
    <row r="7" spans="2:14" x14ac:dyDescent="0.2">
      <c r="B7" s="430" t="s">
        <v>85</v>
      </c>
      <c r="C7" s="515" t="str">
        <f>INPUT!C11</f>
        <v>Block 5 Lot 11</v>
      </c>
      <c r="D7" s="516"/>
      <c r="E7" s="425"/>
      <c r="L7" s="431"/>
      <c r="M7" s="431"/>
      <c r="N7" s="431"/>
    </row>
    <row r="8" spans="2:14" x14ac:dyDescent="0.2">
      <c r="B8" s="432" t="s">
        <v>6</v>
      </c>
      <c r="C8" s="517">
        <f>INPUT!C17</f>
        <v>520</v>
      </c>
      <c r="D8" s="518"/>
      <c r="L8" s="431"/>
      <c r="M8" s="431"/>
      <c r="N8" s="431"/>
    </row>
    <row r="9" spans="2:14" x14ac:dyDescent="0.2">
      <c r="B9" s="432" t="s">
        <v>77</v>
      </c>
      <c r="C9" s="519">
        <f>INPUT!C18</f>
        <v>9574000</v>
      </c>
      <c r="D9" s="520"/>
      <c r="L9" s="431"/>
      <c r="M9" s="431"/>
      <c r="N9" s="431"/>
    </row>
    <row r="10" spans="2:14" x14ac:dyDescent="0.2">
      <c r="B10" s="432" t="s">
        <v>86</v>
      </c>
      <c r="C10" s="521" t="s">
        <v>272</v>
      </c>
      <c r="D10" s="522"/>
      <c r="L10" s="431"/>
      <c r="M10" s="431"/>
      <c r="N10" s="431"/>
    </row>
    <row r="11" spans="2:14" x14ac:dyDescent="0.2">
      <c r="B11" s="432"/>
      <c r="C11" s="483" t="s">
        <v>278</v>
      </c>
      <c r="D11" s="484"/>
      <c r="L11" s="431"/>
      <c r="M11" s="431"/>
      <c r="N11" s="431"/>
    </row>
    <row r="12" spans="2:14" x14ac:dyDescent="0.2">
      <c r="B12" s="432"/>
      <c r="C12" s="483" t="s">
        <v>279</v>
      </c>
      <c r="D12" s="484"/>
      <c r="L12" s="431"/>
      <c r="M12" s="431"/>
      <c r="N12" s="431"/>
    </row>
    <row r="13" spans="2:14" ht="16" thickBot="1" x14ac:dyDescent="0.25">
      <c r="B13" s="433"/>
      <c r="C13" s="533" t="s">
        <v>174</v>
      </c>
      <c r="D13" s="534"/>
      <c r="L13" s="434"/>
      <c r="M13" s="434"/>
      <c r="N13" s="434"/>
    </row>
    <row r="14" spans="2:14" x14ac:dyDescent="0.2">
      <c r="E14" s="434"/>
      <c r="F14" s="434"/>
      <c r="G14" s="434"/>
      <c r="H14" s="434"/>
      <c r="I14" s="434"/>
      <c r="J14" s="434"/>
      <c r="K14" s="434"/>
      <c r="L14" s="435" t="s">
        <v>87</v>
      </c>
      <c r="M14" s="436">
        <v>0.02</v>
      </c>
      <c r="N14" s="434"/>
    </row>
    <row r="15" spans="2:14" x14ac:dyDescent="0.2">
      <c r="B15" s="437" t="s">
        <v>88</v>
      </c>
      <c r="C15" s="437"/>
      <c r="E15" s="434"/>
      <c r="F15" s="434"/>
      <c r="G15" s="434"/>
      <c r="H15" s="434"/>
      <c r="I15" s="434"/>
      <c r="J15" s="434"/>
      <c r="K15" s="434"/>
      <c r="L15" s="434"/>
      <c r="M15" s="436">
        <v>0</v>
      </c>
      <c r="N15" s="434"/>
    </row>
    <row r="16" spans="2:14" x14ac:dyDescent="0.2">
      <c r="B16" s="438" t="s">
        <v>179</v>
      </c>
      <c r="C16" s="198"/>
      <c r="D16" s="199">
        <f>C9</f>
        <v>9574000</v>
      </c>
      <c r="E16" s="439"/>
      <c r="F16" s="440"/>
      <c r="G16" s="440"/>
      <c r="H16" s="440"/>
      <c r="I16" s="434"/>
      <c r="J16" s="434"/>
      <c r="K16" s="434"/>
      <c r="L16" s="434"/>
      <c r="M16" s="434"/>
      <c r="N16" s="434"/>
    </row>
    <row r="17" spans="2:14" x14ac:dyDescent="0.2">
      <c r="B17" s="480" t="s">
        <v>191</v>
      </c>
      <c r="C17" s="198"/>
      <c r="D17" s="199">
        <v>650000</v>
      </c>
      <c r="E17" s="439"/>
      <c r="F17" s="440"/>
      <c r="G17" s="440"/>
      <c r="H17" s="440"/>
      <c r="I17" s="434"/>
      <c r="J17" s="434"/>
      <c r="K17" s="434"/>
      <c r="L17" s="434"/>
      <c r="M17" s="434"/>
      <c r="N17" s="434"/>
    </row>
    <row r="18" spans="2:14" x14ac:dyDescent="0.2">
      <c r="B18" s="480" t="s">
        <v>260</v>
      </c>
      <c r="C18" s="201">
        <f>INPUT!C22</f>
        <v>0.1</v>
      </c>
      <c r="D18" s="200">
        <f>IF(C18&gt;10%,"maximum of 10%",((D16-D17)*C18))</f>
        <v>892400</v>
      </c>
      <c r="E18" s="439"/>
      <c r="F18" s="440"/>
      <c r="G18" s="440"/>
      <c r="H18" s="440" t="s">
        <v>203</v>
      </c>
      <c r="I18" s="434"/>
      <c r="J18" s="434"/>
      <c r="K18" s="434"/>
      <c r="L18" s="434"/>
      <c r="M18" s="434"/>
      <c r="N18" s="434"/>
    </row>
    <row r="19" spans="2:14" x14ac:dyDescent="0.2">
      <c r="B19" s="441" t="s">
        <v>273</v>
      </c>
      <c r="C19" s="206">
        <v>0.01</v>
      </c>
      <c r="D19" s="200">
        <f>IF(C19&gt;1%,"maximum of 1%",(D16-D17-D18)*C19)</f>
        <v>80316</v>
      </c>
      <c r="E19" s="439"/>
      <c r="F19" s="440"/>
      <c r="G19" s="440"/>
      <c r="H19" s="440"/>
      <c r="I19" s="434"/>
      <c r="J19" s="434"/>
      <c r="K19" s="434"/>
      <c r="L19" s="434"/>
      <c r="M19" s="434"/>
      <c r="N19" s="434"/>
    </row>
    <row r="20" spans="2:14" x14ac:dyDescent="0.2">
      <c r="B20" s="480" t="s">
        <v>264</v>
      </c>
      <c r="C20" s="201" t="str">
        <f>IF(INPUT!C13="Repeat Buyer","2%",IF(INPUT!C13="New Buyer","0%"))</f>
        <v>0%</v>
      </c>
      <c r="D20" s="200">
        <f>IF(C20&gt;2%,((D16-SUM(D17:D19)))*C20, "maximum of 2%")</f>
        <v>0</v>
      </c>
      <c r="E20" s="439"/>
      <c r="F20" s="440"/>
      <c r="G20" s="440"/>
      <c r="H20" s="440"/>
      <c r="I20" s="434"/>
      <c r="J20" s="434"/>
      <c r="K20" s="434"/>
      <c r="L20" s="434"/>
      <c r="M20" s="434"/>
      <c r="N20" s="434"/>
    </row>
    <row r="21" spans="2:14" x14ac:dyDescent="0.2">
      <c r="B21" s="470" t="s">
        <v>183</v>
      </c>
      <c r="C21" s="201">
        <v>0.05</v>
      </c>
      <c r="D21" s="200">
        <f>(((D16-SUM(D17:D20))/1.12)*C21)</f>
        <v>354968.03571428568</v>
      </c>
      <c r="E21" s="439"/>
      <c r="F21" s="440"/>
      <c r="G21" s="440"/>
      <c r="H21" s="440"/>
      <c r="I21" s="434"/>
      <c r="J21" s="434"/>
      <c r="K21" s="434"/>
      <c r="L21" s="434"/>
      <c r="M21" s="434"/>
      <c r="N21" s="434"/>
    </row>
    <row r="22" spans="2:14" ht="16" thickBot="1" x14ac:dyDescent="0.25">
      <c r="B22" s="442" t="s">
        <v>90</v>
      </c>
      <c r="C22" s="201"/>
      <c r="D22" s="205">
        <f>((D16-SUM(D17:D20))+D21)</f>
        <v>8306252.0357142854</v>
      </c>
      <c r="E22" s="439"/>
      <c r="F22" s="440"/>
      <c r="G22" s="440"/>
      <c r="H22" s="440"/>
      <c r="I22" s="434"/>
      <c r="J22" s="434"/>
      <c r="K22" s="434"/>
      <c r="L22" s="434"/>
      <c r="M22" s="434"/>
      <c r="N22" s="434"/>
    </row>
    <row r="23" spans="2:14" ht="17" thickTop="1" thickBot="1" x14ac:dyDescent="0.25">
      <c r="D23" s="485"/>
    </row>
    <row r="24" spans="2:14" ht="31" thickBot="1" x14ac:dyDescent="0.25">
      <c r="B24" s="525" t="s">
        <v>91</v>
      </c>
      <c r="C24" s="526"/>
      <c r="D24" s="444" t="s">
        <v>92</v>
      </c>
      <c r="E24" s="444" t="s">
        <v>93</v>
      </c>
      <c r="F24" s="445" t="s">
        <v>201</v>
      </c>
      <c r="G24" s="446" t="s">
        <v>184</v>
      </c>
      <c r="H24" s="446" t="s">
        <v>202</v>
      </c>
      <c r="I24" s="448" t="s">
        <v>94</v>
      </c>
      <c r="J24" s="434"/>
      <c r="K24" s="434"/>
      <c r="L24" s="434"/>
      <c r="M24" s="434"/>
      <c r="N24" s="434"/>
    </row>
    <row r="25" spans="2:14" x14ac:dyDescent="0.2">
      <c r="B25" s="542">
        <v>0</v>
      </c>
      <c r="C25" s="543"/>
      <c r="D25" s="492"/>
      <c r="E25" s="486" t="s">
        <v>46</v>
      </c>
      <c r="F25" s="213">
        <v>50000</v>
      </c>
      <c r="G25" s="214">
        <v>0</v>
      </c>
      <c r="H25" s="214">
        <f>SUM(F25:G25)</f>
        <v>50000</v>
      </c>
      <c r="I25" s="215">
        <f>D22-H25</f>
        <v>8256252.0357142854</v>
      </c>
      <c r="J25" s="450" t="s">
        <v>95</v>
      </c>
      <c r="K25" s="434"/>
      <c r="L25" s="439">
        <v>56000</v>
      </c>
      <c r="M25" s="440">
        <f>L25-F25</f>
        <v>6000</v>
      </c>
      <c r="N25" s="434"/>
    </row>
    <row r="26" spans="2:14" x14ac:dyDescent="0.2">
      <c r="B26" s="540">
        <v>1</v>
      </c>
      <c r="C26" s="541"/>
      <c r="D26" s="493"/>
      <c r="E26" s="487" t="s">
        <v>39</v>
      </c>
      <c r="F26" s="422">
        <f>((D16-SUM(D17:D20))*5%)-F25</f>
        <v>347564.2</v>
      </c>
      <c r="G26" s="422">
        <f>D21*5%</f>
        <v>17748.401785714286</v>
      </c>
      <c r="H26" s="422">
        <f>SUM(F26:G26)</f>
        <v>365312.60178571427</v>
      </c>
      <c r="I26" s="421">
        <f>I25-H26</f>
        <v>7890939.4339285716</v>
      </c>
      <c r="J26" s="450"/>
      <c r="K26" s="434"/>
      <c r="L26" s="439"/>
      <c r="M26" s="440"/>
      <c r="N26" s="434"/>
    </row>
    <row r="27" spans="2:14" x14ac:dyDescent="0.2">
      <c r="B27" s="540">
        <v>2</v>
      </c>
      <c r="C27" s="541"/>
      <c r="D27" s="493"/>
      <c r="E27" s="487" t="s">
        <v>170</v>
      </c>
      <c r="F27" s="422">
        <f>(((D16-SUM(D17:D20))*10%)/12)</f>
        <v>66260.7</v>
      </c>
      <c r="G27" s="422">
        <f>((D21*10%)/12)</f>
        <v>2958.0669642857142</v>
      </c>
      <c r="H27" s="422">
        <f>SUM(F27:G27)</f>
        <v>69218.766964285707</v>
      </c>
      <c r="I27" s="421">
        <f t="shared" ref="I27:I87" si="0">I26-H27</f>
        <v>7821720.666964286</v>
      </c>
      <c r="J27" s="450"/>
      <c r="K27" s="434"/>
      <c r="L27" s="439"/>
      <c r="M27" s="440"/>
      <c r="N27" s="434"/>
    </row>
    <row r="28" spans="2:14" x14ac:dyDescent="0.2">
      <c r="B28" s="540">
        <v>3</v>
      </c>
      <c r="C28" s="541"/>
      <c r="D28" s="493"/>
      <c r="E28" s="487" t="s">
        <v>110</v>
      </c>
      <c r="F28" s="422">
        <f>+F27</f>
        <v>66260.7</v>
      </c>
      <c r="G28" s="422">
        <f>+G27</f>
        <v>2958.0669642857142</v>
      </c>
      <c r="H28" s="422">
        <f>SUM(F28:G28)</f>
        <v>69218.766964285707</v>
      </c>
      <c r="I28" s="421">
        <f t="shared" si="0"/>
        <v>7752501.9000000004</v>
      </c>
      <c r="J28" s="450"/>
      <c r="K28" s="434"/>
      <c r="L28" s="439"/>
      <c r="M28" s="440"/>
      <c r="N28" s="434"/>
    </row>
    <row r="29" spans="2:14" x14ac:dyDescent="0.2">
      <c r="B29" s="540">
        <v>4</v>
      </c>
      <c r="C29" s="541"/>
      <c r="D29" s="493"/>
      <c r="E29" s="487" t="s">
        <v>111</v>
      </c>
      <c r="F29" s="422">
        <f>F28</f>
        <v>66260.7</v>
      </c>
      <c r="G29" s="422">
        <f>G28</f>
        <v>2958.0669642857142</v>
      </c>
      <c r="H29" s="422">
        <f t="shared" ref="H29:H87" si="1">SUM(F29:G29)</f>
        <v>69218.766964285707</v>
      </c>
      <c r="I29" s="421">
        <f t="shared" si="0"/>
        <v>7683283.1330357147</v>
      </c>
      <c r="J29" s="450"/>
      <c r="K29" s="434"/>
      <c r="L29" s="439"/>
      <c r="M29" s="440"/>
      <c r="N29" s="434"/>
    </row>
    <row r="30" spans="2:14" x14ac:dyDescent="0.2">
      <c r="B30" s="540">
        <v>5</v>
      </c>
      <c r="C30" s="541"/>
      <c r="D30" s="494"/>
      <c r="E30" s="488" t="s">
        <v>112</v>
      </c>
      <c r="F30" s="217">
        <f t="shared" ref="F30:F86" si="2">F29</f>
        <v>66260.7</v>
      </c>
      <c r="G30" s="218">
        <f t="shared" ref="G30:G86" si="3">G29</f>
        <v>2958.0669642857142</v>
      </c>
      <c r="H30" s="218">
        <f t="shared" si="1"/>
        <v>69218.766964285707</v>
      </c>
      <c r="I30" s="421">
        <f t="shared" si="0"/>
        <v>7614064.3660714291</v>
      </c>
      <c r="J30" s="450"/>
      <c r="K30" s="434"/>
      <c r="L30" s="439"/>
      <c r="M30" s="440"/>
      <c r="N30" s="434"/>
    </row>
    <row r="31" spans="2:14" x14ac:dyDescent="0.2">
      <c r="B31" s="540">
        <v>6</v>
      </c>
      <c r="C31" s="541"/>
      <c r="D31" s="494"/>
      <c r="E31" s="489" t="s">
        <v>113</v>
      </c>
      <c r="F31" s="217">
        <f t="shared" si="2"/>
        <v>66260.7</v>
      </c>
      <c r="G31" s="218">
        <f t="shared" si="3"/>
        <v>2958.0669642857142</v>
      </c>
      <c r="H31" s="216">
        <f t="shared" si="1"/>
        <v>69218.766964285707</v>
      </c>
      <c r="I31" s="421">
        <f t="shared" si="0"/>
        <v>7544845.5991071435</v>
      </c>
      <c r="J31" s="450"/>
      <c r="K31" s="434"/>
      <c r="L31" s="439"/>
      <c r="M31" s="440"/>
      <c r="N31" s="434"/>
    </row>
    <row r="32" spans="2:14" x14ac:dyDescent="0.2">
      <c r="B32" s="540">
        <v>7</v>
      </c>
      <c r="C32" s="541"/>
      <c r="D32" s="494"/>
      <c r="E32" s="489" t="s">
        <v>114</v>
      </c>
      <c r="F32" s="217">
        <f t="shared" si="2"/>
        <v>66260.7</v>
      </c>
      <c r="G32" s="218">
        <f t="shared" si="3"/>
        <v>2958.0669642857142</v>
      </c>
      <c r="H32" s="216">
        <f t="shared" si="1"/>
        <v>69218.766964285707</v>
      </c>
      <c r="I32" s="421">
        <f t="shared" si="0"/>
        <v>7475626.8321428578</v>
      </c>
      <c r="J32" s="450"/>
      <c r="K32" s="434"/>
      <c r="L32" s="439"/>
      <c r="M32" s="440"/>
      <c r="N32" s="434"/>
    </row>
    <row r="33" spans="2:14" x14ac:dyDescent="0.2">
      <c r="B33" s="540">
        <v>8</v>
      </c>
      <c r="C33" s="541"/>
      <c r="D33" s="494"/>
      <c r="E33" s="489" t="s">
        <v>115</v>
      </c>
      <c r="F33" s="217">
        <f t="shared" si="2"/>
        <v>66260.7</v>
      </c>
      <c r="G33" s="218">
        <f t="shared" si="3"/>
        <v>2958.0669642857142</v>
      </c>
      <c r="H33" s="216">
        <f t="shared" si="1"/>
        <v>69218.766964285707</v>
      </c>
      <c r="I33" s="421">
        <f t="shared" si="0"/>
        <v>7406408.0651785722</v>
      </c>
      <c r="J33" s="450"/>
      <c r="K33" s="434"/>
      <c r="L33" s="439"/>
      <c r="M33" s="440"/>
      <c r="N33" s="434"/>
    </row>
    <row r="34" spans="2:14" x14ac:dyDescent="0.2">
      <c r="B34" s="540">
        <v>9</v>
      </c>
      <c r="C34" s="541"/>
      <c r="D34" s="494"/>
      <c r="E34" s="489" t="s">
        <v>116</v>
      </c>
      <c r="F34" s="217">
        <f t="shared" si="2"/>
        <v>66260.7</v>
      </c>
      <c r="G34" s="218">
        <f t="shared" si="3"/>
        <v>2958.0669642857142</v>
      </c>
      <c r="H34" s="216">
        <f t="shared" si="1"/>
        <v>69218.766964285707</v>
      </c>
      <c r="I34" s="421">
        <f t="shared" si="0"/>
        <v>7337189.2982142866</v>
      </c>
      <c r="J34" s="450"/>
      <c r="K34" s="434"/>
      <c r="L34" s="439"/>
      <c r="M34" s="440"/>
      <c r="N34" s="434"/>
    </row>
    <row r="35" spans="2:14" x14ac:dyDescent="0.2">
      <c r="B35" s="540">
        <v>10</v>
      </c>
      <c r="C35" s="541"/>
      <c r="D35" s="494"/>
      <c r="E35" s="489" t="s">
        <v>117</v>
      </c>
      <c r="F35" s="217">
        <f t="shared" si="2"/>
        <v>66260.7</v>
      </c>
      <c r="G35" s="218">
        <f t="shared" si="3"/>
        <v>2958.0669642857142</v>
      </c>
      <c r="H35" s="216">
        <f t="shared" si="1"/>
        <v>69218.766964285707</v>
      </c>
      <c r="I35" s="421">
        <f t="shared" si="0"/>
        <v>7267970.5312500009</v>
      </c>
      <c r="J35" s="450"/>
      <c r="K35" s="434"/>
      <c r="L35" s="439"/>
      <c r="M35" s="440"/>
      <c r="N35" s="434"/>
    </row>
    <row r="36" spans="2:14" x14ac:dyDescent="0.2">
      <c r="B36" s="540">
        <v>11</v>
      </c>
      <c r="C36" s="541"/>
      <c r="D36" s="494"/>
      <c r="E36" s="489" t="s">
        <v>118</v>
      </c>
      <c r="F36" s="217">
        <f t="shared" si="2"/>
        <v>66260.7</v>
      </c>
      <c r="G36" s="218">
        <f t="shared" si="3"/>
        <v>2958.0669642857142</v>
      </c>
      <c r="H36" s="216">
        <f t="shared" si="1"/>
        <v>69218.766964285707</v>
      </c>
      <c r="I36" s="421">
        <f t="shared" si="0"/>
        <v>7198751.7642857153</v>
      </c>
      <c r="J36" s="450"/>
      <c r="K36" s="434"/>
      <c r="L36" s="439"/>
      <c r="M36" s="440"/>
      <c r="N36" s="434"/>
    </row>
    <row r="37" spans="2:14" x14ac:dyDescent="0.2">
      <c r="B37" s="540">
        <v>12</v>
      </c>
      <c r="C37" s="541"/>
      <c r="D37" s="494"/>
      <c r="E37" s="489" t="s">
        <v>119</v>
      </c>
      <c r="F37" s="217">
        <f t="shared" si="2"/>
        <v>66260.7</v>
      </c>
      <c r="G37" s="218">
        <f t="shared" si="3"/>
        <v>2958.0669642857142</v>
      </c>
      <c r="H37" s="216">
        <f t="shared" si="1"/>
        <v>69218.766964285707</v>
      </c>
      <c r="I37" s="421">
        <f t="shared" si="0"/>
        <v>7129532.9973214297</v>
      </c>
      <c r="J37" s="450"/>
      <c r="K37" s="434"/>
      <c r="L37" s="439"/>
      <c r="M37" s="440"/>
      <c r="N37" s="434"/>
    </row>
    <row r="38" spans="2:14" x14ac:dyDescent="0.2">
      <c r="B38" s="540">
        <v>13</v>
      </c>
      <c r="C38" s="541"/>
      <c r="D38" s="494"/>
      <c r="E38" s="489" t="s">
        <v>120</v>
      </c>
      <c r="F38" s="217">
        <f t="shared" si="2"/>
        <v>66260.7</v>
      </c>
      <c r="G38" s="218">
        <f t="shared" si="3"/>
        <v>2958.0669642857142</v>
      </c>
      <c r="H38" s="216">
        <f t="shared" si="1"/>
        <v>69218.766964285707</v>
      </c>
      <c r="I38" s="421">
        <f t="shared" si="0"/>
        <v>7060314.230357144</v>
      </c>
      <c r="J38" s="450"/>
      <c r="K38" s="434"/>
      <c r="L38" s="439"/>
      <c r="M38" s="440"/>
      <c r="N38" s="434"/>
    </row>
    <row r="39" spans="2:14" x14ac:dyDescent="0.2">
      <c r="B39" s="540">
        <v>14</v>
      </c>
      <c r="C39" s="541"/>
      <c r="D39" s="494"/>
      <c r="E39" s="489" t="s">
        <v>280</v>
      </c>
      <c r="F39" s="422">
        <f>(((D16-SUM(D17:D20))*35%)/48)</f>
        <v>57978.112499999996</v>
      </c>
      <c r="G39" s="422">
        <f>((D21*35%)/48)</f>
        <v>2588.3085937499995</v>
      </c>
      <c r="H39" s="216">
        <f t="shared" si="1"/>
        <v>60566.421093749996</v>
      </c>
      <c r="I39" s="421">
        <f t="shared" si="0"/>
        <v>6999747.8092633942</v>
      </c>
      <c r="J39" s="450"/>
      <c r="K39" s="434"/>
      <c r="L39" s="439"/>
      <c r="M39" s="440"/>
      <c r="N39" s="434"/>
    </row>
    <row r="40" spans="2:14" x14ac:dyDescent="0.2">
      <c r="B40" s="540">
        <v>15</v>
      </c>
      <c r="C40" s="541"/>
      <c r="D40" s="494"/>
      <c r="E40" s="489" t="s">
        <v>281</v>
      </c>
      <c r="F40" s="217">
        <f t="shared" si="2"/>
        <v>57978.112499999996</v>
      </c>
      <c r="G40" s="218">
        <f t="shared" si="3"/>
        <v>2588.3085937499995</v>
      </c>
      <c r="H40" s="216">
        <f t="shared" si="1"/>
        <v>60566.421093749996</v>
      </c>
      <c r="I40" s="421">
        <f t="shared" si="0"/>
        <v>6939181.3881696444</v>
      </c>
      <c r="J40" s="450"/>
      <c r="K40" s="434"/>
      <c r="L40" s="439"/>
      <c r="M40" s="440"/>
      <c r="N40" s="434"/>
    </row>
    <row r="41" spans="2:14" x14ac:dyDescent="0.2">
      <c r="B41" s="540">
        <v>16</v>
      </c>
      <c r="C41" s="541"/>
      <c r="D41" s="494"/>
      <c r="E41" s="489" t="s">
        <v>282</v>
      </c>
      <c r="F41" s="217">
        <f t="shared" si="2"/>
        <v>57978.112499999996</v>
      </c>
      <c r="G41" s="218">
        <f t="shared" si="3"/>
        <v>2588.3085937499995</v>
      </c>
      <c r="H41" s="216">
        <f t="shared" si="1"/>
        <v>60566.421093749996</v>
      </c>
      <c r="I41" s="421">
        <f t="shared" si="0"/>
        <v>6878614.9670758946</v>
      </c>
      <c r="J41" s="450"/>
      <c r="K41" s="434"/>
      <c r="L41" s="439"/>
      <c r="M41" s="440"/>
      <c r="N41" s="434"/>
    </row>
    <row r="42" spans="2:14" x14ac:dyDescent="0.2">
      <c r="B42" s="540">
        <v>17</v>
      </c>
      <c r="C42" s="541"/>
      <c r="D42" s="494"/>
      <c r="E42" s="489" t="s">
        <v>283</v>
      </c>
      <c r="F42" s="217">
        <f t="shared" si="2"/>
        <v>57978.112499999996</v>
      </c>
      <c r="G42" s="218">
        <f t="shared" si="3"/>
        <v>2588.3085937499995</v>
      </c>
      <c r="H42" s="216">
        <f t="shared" si="1"/>
        <v>60566.421093749996</v>
      </c>
      <c r="I42" s="421">
        <f t="shared" si="0"/>
        <v>6818048.5459821448</v>
      </c>
      <c r="J42" s="450"/>
      <c r="K42" s="434"/>
      <c r="L42" s="439"/>
      <c r="M42" s="440"/>
      <c r="N42" s="434"/>
    </row>
    <row r="43" spans="2:14" x14ac:dyDescent="0.2">
      <c r="B43" s="540">
        <v>18</v>
      </c>
      <c r="C43" s="541"/>
      <c r="D43" s="494"/>
      <c r="E43" s="489" t="s">
        <v>284</v>
      </c>
      <c r="F43" s="217">
        <f t="shared" si="2"/>
        <v>57978.112499999996</v>
      </c>
      <c r="G43" s="218">
        <f t="shared" si="3"/>
        <v>2588.3085937499995</v>
      </c>
      <c r="H43" s="216">
        <f t="shared" si="1"/>
        <v>60566.421093749996</v>
      </c>
      <c r="I43" s="421">
        <f t="shared" si="0"/>
        <v>6757482.124888395</v>
      </c>
      <c r="J43" s="450"/>
      <c r="K43" s="434"/>
      <c r="L43" s="439"/>
      <c r="M43" s="440"/>
      <c r="N43" s="434"/>
    </row>
    <row r="44" spans="2:14" x14ac:dyDescent="0.2">
      <c r="B44" s="540">
        <v>19</v>
      </c>
      <c r="C44" s="541"/>
      <c r="D44" s="494"/>
      <c r="E44" s="489" t="s">
        <v>285</v>
      </c>
      <c r="F44" s="217">
        <f t="shared" si="2"/>
        <v>57978.112499999996</v>
      </c>
      <c r="G44" s="218">
        <f t="shared" si="3"/>
        <v>2588.3085937499995</v>
      </c>
      <c r="H44" s="216">
        <f t="shared" si="1"/>
        <v>60566.421093749996</v>
      </c>
      <c r="I44" s="421">
        <f t="shared" si="0"/>
        <v>6696915.7037946451</v>
      </c>
      <c r="J44" s="450"/>
      <c r="K44" s="434"/>
      <c r="L44" s="439"/>
      <c r="M44" s="440"/>
      <c r="N44" s="434"/>
    </row>
    <row r="45" spans="2:14" x14ac:dyDescent="0.2">
      <c r="B45" s="540">
        <v>20</v>
      </c>
      <c r="C45" s="541"/>
      <c r="D45" s="494"/>
      <c r="E45" s="489" t="s">
        <v>286</v>
      </c>
      <c r="F45" s="217">
        <f t="shared" si="2"/>
        <v>57978.112499999996</v>
      </c>
      <c r="G45" s="218">
        <f t="shared" si="3"/>
        <v>2588.3085937499995</v>
      </c>
      <c r="H45" s="216">
        <f t="shared" si="1"/>
        <v>60566.421093749996</v>
      </c>
      <c r="I45" s="421">
        <f t="shared" si="0"/>
        <v>6636349.2827008953</v>
      </c>
      <c r="J45" s="450"/>
      <c r="K45" s="434"/>
      <c r="L45" s="439"/>
      <c r="M45" s="440"/>
      <c r="N45" s="434"/>
    </row>
    <row r="46" spans="2:14" x14ac:dyDescent="0.2">
      <c r="B46" s="540">
        <v>21</v>
      </c>
      <c r="C46" s="541"/>
      <c r="D46" s="494"/>
      <c r="E46" s="489" t="s">
        <v>287</v>
      </c>
      <c r="F46" s="217">
        <f t="shared" si="2"/>
        <v>57978.112499999996</v>
      </c>
      <c r="G46" s="218">
        <f t="shared" si="3"/>
        <v>2588.3085937499995</v>
      </c>
      <c r="H46" s="216">
        <f t="shared" si="1"/>
        <v>60566.421093749996</v>
      </c>
      <c r="I46" s="421">
        <f t="shared" si="0"/>
        <v>6575782.8616071455</v>
      </c>
      <c r="J46" s="450"/>
      <c r="K46" s="434"/>
      <c r="L46" s="439"/>
      <c r="M46" s="440"/>
      <c r="N46" s="434"/>
    </row>
    <row r="47" spans="2:14" x14ac:dyDescent="0.2">
      <c r="B47" s="540">
        <v>22</v>
      </c>
      <c r="C47" s="541"/>
      <c r="D47" s="494"/>
      <c r="E47" s="489" t="s">
        <v>288</v>
      </c>
      <c r="F47" s="217">
        <f t="shared" si="2"/>
        <v>57978.112499999996</v>
      </c>
      <c r="G47" s="218">
        <f t="shared" si="3"/>
        <v>2588.3085937499995</v>
      </c>
      <c r="H47" s="216">
        <f t="shared" si="1"/>
        <v>60566.421093749996</v>
      </c>
      <c r="I47" s="421">
        <f t="shared" si="0"/>
        <v>6515216.4405133957</v>
      </c>
      <c r="J47" s="450"/>
      <c r="K47" s="434"/>
      <c r="L47" s="439"/>
      <c r="M47" s="440"/>
      <c r="N47" s="434"/>
    </row>
    <row r="48" spans="2:14" x14ac:dyDescent="0.2">
      <c r="B48" s="540">
        <v>23</v>
      </c>
      <c r="C48" s="541"/>
      <c r="D48" s="494"/>
      <c r="E48" s="489" t="s">
        <v>289</v>
      </c>
      <c r="F48" s="217">
        <f t="shared" si="2"/>
        <v>57978.112499999996</v>
      </c>
      <c r="G48" s="218">
        <f t="shared" si="3"/>
        <v>2588.3085937499995</v>
      </c>
      <c r="H48" s="216">
        <f t="shared" si="1"/>
        <v>60566.421093749996</v>
      </c>
      <c r="I48" s="421">
        <f t="shared" si="0"/>
        <v>6454650.0194196459</v>
      </c>
      <c r="J48" s="450"/>
      <c r="K48" s="434"/>
      <c r="L48" s="439"/>
      <c r="M48" s="440"/>
      <c r="N48" s="434"/>
    </row>
    <row r="49" spans="2:14" x14ac:dyDescent="0.2">
      <c r="B49" s="540">
        <v>24</v>
      </c>
      <c r="C49" s="541"/>
      <c r="D49" s="494"/>
      <c r="E49" s="489" t="s">
        <v>290</v>
      </c>
      <c r="F49" s="217">
        <f t="shared" si="2"/>
        <v>57978.112499999996</v>
      </c>
      <c r="G49" s="218">
        <f t="shared" si="3"/>
        <v>2588.3085937499995</v>
      </c>
      <c r="H49" s="216">
        <f t="shared" si="1"/>
        <v>60566.421093749996</v>
      </c>
      <c r="I49" s="421">
        <f t="shared" si="0"/>
        <v>6394083.5983258961</v>
      </c>
      <c r="J49" s="450"/>
      <c r="K49" s="434"/>
      <c r="L49" s="439"/>
      <c r="M49" s="440"/>
      <c r="N49" s="434"/>
    </row>
    <row r="50" spans="2:14" x14ac:dyDescent="0.2">
      <c r="B50" s="540">
        <v>25</v>
      </c>
      <c r="C50" s="541"/>
      <c r="D50" s="494"/>
      <c r="E50" s="489" t="s">
        <v>291</v>
      </c>
      <c r="F50" s="217">
        <f t="shared" si="2"/>
        <v>57978.112499999996</v>
      </c>
      <c r="G50" s="218">
        <f t="shared" si="3"/>
        <v>2588.3085937499995</v>
      </c>
      <c r="H50" s="216">
        <f t="shared" si="1"/>
        <v>60566.421093749996</v>
      </c>
      <c r="I50" s="421">
        <f t="shared" si="0"/>
        <v>6333517.1772321463</v>
      </c>
      <c r="J50" s="450"/>
      <c r="K50" s="434"/>
      <c r="L50" s="439"/>
      <c r="M50" s="440"/>
      <c r="N50" s="434"/>
    </row>
    <row r="51" spans="2:14" x14ac:dyDescent="0.2">
      <c r="B51" s="540">
        <v>26</v>
      </c>
      <c r="C51" s="541"/>
      <c r="D51" s="494"/>
      <c r="E51" s="489" t="s">
        <v>292</v>
      </c>
      <c r="F51" s="217">
        <f t="shared" si="2"/>
        <v>57978.112499999996</v>
      </c>
      <c r="G51" s="218">
        <f t="shared" si="3"/>
        <v>2588.3085937499995</v>
      </c>
      <c r="H51" s="216">
        <f t="shared" si="1"/>
        <v>60566.421093749996</v>
      </c>
      <c r="I51" s="421">
        <f t="shared" si="0"/>
        <v>6272950.7561383964</v>
      </c>
      <c r="J51" s="450"/>
      <c r="K51" s="434"/>
      <c r="L51" s="439"/>
      <c r="M51" s="440"/>
      <c r="N51" s="434"/>
    </row>
    <row r="52" spans="2:14" x14ac:dyDescent="0.2">
      <c r="B52" s="540">
        <v>27</v>
      </c>
      <c r="C52" s="541"/>
      <c r="D52" s="494"/>
      <c r="E52" s="489" t="s">
        <v>293</v>
      </c>
      <c r="F52" s="217">
        <f t="shared" si="2"/>
        <v>57978.112499999996</v>
      </c>
      <c r="G52" s="218">
        <f t="shared" si="3"/>
        <v>2588.3085937499995</v>
      </c>
      <c r="H52" s="216">
        <f t="shared" si="1"/>
        <v>60566.421093749996</v>
      </c>
      <c r="I52" s="421">
        <f t="shared" si="0"/>
        <v>6212384.3350446466</v>
      </c>
      <c r="J52" s="450"/>
      <c r="K52" s="434"/>
      <c r="L52" s="439"/>
      <c r="M52" s="440"/>
      <c r="N52" s="434"/>
    </row>
    <row r="53" spans="2:14" x14ac:dyDescent="0.2">
      <c r="B53" s="540">
        <v>28</v>
      </c>
      <c r="C53" s="541"/>
      <c r="D53" s="494"/>
      <c r="E53" s="489" t="s">
        <v>294</v>
      </c>
      <c r="F53" s="217">
        <f t="shared" si="2"/>
        <v>57978.112499999996</v>
      </c>
      <c r="G53" s="218">
        <f t="shared" si="3"/>
        <v>2588.3085937499995</v>
      </c>
      <c r="H53" s="216">
        <f t="shared" si="1"/>
        <v>60566.421093749996</v>
      </c>
      <c r="I53" s="421">
        <f t="shared" si="0"/>
        <v>6151817.9139508968</v>
      </c>
      <c r="J53" s="450"/>
      <c r="K53" s="434"/>
      <c r="L53" s="439"/>
      <c r="M53" s="440"/>
      <c r="N53" s="434"/>
    </row>
    <row r="54" spans="2:14" x14ac:dyDescent="0.2">
      <c r="B54" s="540">
        <v>29</v>
      </c>
      <c r="C54" s="541"/>
      <c r="D54" s="494"/>
      <c r="E54" s="489" t="s">
        <v>295</v>
      </c>
      <c r="F54" s="217">
        <f t="shared" si="2"/>
        <v>57978.112499999996</v>
      </c>
      <c r="G54" s="218">
        <f t="shared" si="3"/>
        <v>2588.3085937499995</v>
      </c>
      <c r="H54" s="216">
        <f t="shared" si="1"/>
        <v>60566.421093749996</v>
      </c>
      <c r="I54" s="421">
        <f t="shared" si="0"/>
        <v>6091251.492857147</v>
      </c>
      <c r="J54" s="450"/>
      <c r="K54" s="434"/>
      <c r="L54" s="439"/>
      <c r="M54" s="440"/>
      <c r="N54" s="434"/>
    </row>
    <row r="55" spans="2:14" x14ac:dyDescent="0.2">
      <c r="B55" s="540">
        <v>30</v>
      </c>
      <c r="C55" s="541"/>
      <c r="D55" s="494"/>
      <c r="E55" s="489" t="s">
        <v>296</v>
      </c>
      <c r="F55" s="217">
        <f t="shared" si="2"/>
        <v>57978.112499999996</v>
      </c>
      <c r="G55" s="218">
        <f t="shared" si="3"/>
        <v>2588.3085937499995</v>
      </c>
      <c r="H55" s="216">
        <f t="shared" si="1"/>
        <v>60566.421093749996</v>
      </c>
      <c r="I55" s="421">
        <f t="shared" si="0"/>
        <v>6030685.0717633972</v>
      </c>
      <c r="J55" s="450"/>
      <c r="K55" s="434"/>
      <c r="L55" s="439"/>
      <c r="M55" s="440"/>
      <c r="N55" s="434"/>
    </row>
    <row r="56" spans="2:14" x14ac:dyDescent="0.2">
      <c r="B56" s="540">
        <v>31</v>
      </c>
      <c r="C56" s="541"/>
      <c r="D56" s="494"/>
      <c r="E56" s="489" t="s">
        <v>297</v>
      </c>
      <c r="F56" s="217">
        <f t="shared" si="2"/>
        <v>57978.112499999996</v>
      </c>
      <c r="G56" s="218">
        <f t="shared" si="3"/>
        <v>2588.3085937499995</v>
      </c>
      <c r="H56" s="216">
        <f t="shared" si="1"/>
        <v>60566.421093749996</v>
      </c>
      <c r="I56" s="421">
        <f t="shared" si="0"/>
        <v>5970118.6506696474</v>
      </c>
      <c r="J56" s="450"/>
      <c r="K56" s="434"/>
      <c r="L56" s="439"/>
      <c r="M56" s="440"/>
      <c r="N56" s="434"/>
    </row>
    <row r="57" spans="2:14" x14ac:dyDescent="0.2">
      <c r="B57" s="540">
        <v>32</v>
      </c>
      <c r="C57" s="541"/>
      <c r="D57" s="494"/>
      <c r="E57" s="489" t="s">
        <v>298</v>
      </c>
      <c r="F57" s="217">
        <f t="shared" si="2"/>
        <v>57978.112499999996</v>
      </c>
      <c r="G57" s="218">
        <f t="shared" si="3"/>
        <v>2588.3085937499995</v>
      </c>
      <c r="H57" s="216">
        <f t="shared" si="1"/>
        <v>60566.421093749996</v>
      </c>
      <c r="I57" s="421">
        <f t="shared" si="0"/>
        <v>5909552.2295758976</v>
      </c>
      <c r="J57" s="450"/>
      <c r="K57" s="434"/>
      <c r="L57" s="439"/>
      <c r="M57" s="440"/>
      <c r="N57" s="434"/>
    </row>
    <row r="58" spans="2:14" x14ac:dyDescent="0.2">
      <c r="B58" s="540">
        <v>33</v>
      </c>
      <c r="C58" s="541"/>
      <c r="D58" s="494"/>
      <c r="E58" s="489" t="s">
        <v>299</v>
      </c>
      <c r="F58" s="217">
        <f t="shared" si="2"/>
        <v>57978.112499999996</v>
      </c>
      <c r="G58" s="218">
        <f t="shared" si="3"/>
        <v>2588.3085937499995</v>
      </c>
      <c r="H58" s="216">
        <f t="shared" si="1"/>
        <v>60566.421093749996</v>
      </c>
      <c r="I58" s="421">
        <f t="shared" si="0"/>
        <v>5848985.8084821478</v>
      </c>
      <c r="J58" s="450"/>
      <c r="K58" s="434"/>
      <c r="L58" s="439"/>
      <c r="M58" s="440"/>
      <c r="N58" s="434"/>
    </row>
    <row r="59" spans="2:14" x14ac:dyDescent="0.2">
      <c r="B59" s="540">
        <v>34</v>
      </c>
      <c r="C59" s="541"/>
      <c r="D59" s="494"/>
      <c r="E59" s="489" t="s">
        <v>300</v>
      </c>
      <c r="F59" s="217">
        <f t="shared" si="2"/>
        <v>57978.112499999996</v>
      </c>
      <c r="G59" s="218">
        <f t="shared" si="3"/>
        <v>2588.3085937499995</v>
      </c>
      <c r="H59" s="216">
        <f t="shared" si="1"/>
        <v>60566.421093749996</v>
      </c>
      <c r="I59" s="421">
        <f t="shared" si="0"/>
        <v>5788419.3873883979</v>
      </c>
      <c r="J59" s="450"/>
      <c r="K59" s="434"/>
      <c r="L59" s="439"/>
      <c r="M59" s="440"/>
      <c r="N59" s="434"/>
    </row>
    <row r="60" spans="2:14" x14ac:dyDescent="0.2">
      <c r="B60" s="540">
        <v>35</v>
      </c>
      <c r="C60" s="541"/>
      <c r="D60" s="494"/>
      <c r="E60" s="489" t="s">
        <v>301</v>
      </c>
      <c r="F60" s="217">
        <f t="shared" si="2"/>
        <v>57978.112499999996</v>
      </c>
      <c r="G60" s="218">
        <f t="shared" si="3"/>
        <v>2588.3085937499995</v>
      </c>
      <c r="H60" s="216">
        <f t="shared" si="1"/>
        <v>60566.421093749996</v>
      </c>
      <c r="I60" s="421">
        <f t="shared" si="0"/>
        <v>5727852.9662946481</v>
      </c>
      <c r="J60" s="450"/>
      <c r="K60" s="434"/>
      <c r="L60" s="439"/>
      <c r="M60" s="440"/>
      <c r="N60" s="434"/>
    </row>
    <row r="61" spans="2:14" x14ac:dyDescent="0.2">
      <c r="B61" s="540">
        <v>36</v>
      </c>
      <c r="C61" s="541"/>
      <c r="D61" s="494"/>
      <c r="E61" s="489" t="s">
        <v>302</v>
      </c>
      <c r="F61" s="217">
        <f t="shared" si="2"/>
        <v>57978.112499999996</v>
      </c>
      <c r="G61" s="218">
        <f t="shared" si="3"/>
        <v>2588.3085937499995</v>
      </c>
      <c r="H61" s="216">
        <f t="shared" si="1"/>
        <v>60566.421093749996</v>
      </c>
      <c r="I61" s="421">
        <f t="shared" si="0"/>
        <v>5667286.5452008983</v>
      </c>
      <c r="J61" s="450"/>
      <c r="K61" s="434"/>
      <c r="L61" s="439"/>
      <c r="M61" s="440"/>
      <c r="N61" s="434"/>
    </row>
    <row r="62" spans="2:14" x14ac:dyDescent="0.2">
      <c r="B62" s="540">
        <v>37</v>
      </c>
      <c r="C62" s="541"/>
      <c r="D62" s="494"/>
      <c r="E62" s="489" t="s">
        <v>303</v>
      </c>
      <c r="F62" s="217">
        <f t="shared" si="2"/>
        <v>57978.112499999996</v>
      </c>
      <c r="G62" s="218">
        <f t="shared" si="3"/>
        <v>2588.3085937499995</v>
      </c>
      <c r="H62" s="216">
        <f t="shared" si="1"/>
        <v>60566.421093749996</v>
      </c>
      <c r="I62" s="421">
        <f t="shared" si="0"/>
        <v>5606720.1241071485</v>
      </c>
      <c r="J62" s="450"/>
      <c r="K62" s="434"/>
      <c r="L62" s="439"/>
      <c r="M62" s="440"/>
      <c r="N62" s="434"/>
    </row>
    <row r="63" spans="2:14" x14ac:dyDescent="0.2">
      <c r="B63" s="540">
        <v>38</v>
      </c>
      <c r="C63" s="541"/>
      <c r="D63" s="494"/>
      <c r="E63" s="489" t="s">
        <v>304</v>
      </c>
      <c r="F63" s="217">
        <f t="shared" si="2"/>
        <v>57978.112499999996</v>
      </c>
      <c r="G63" s="218">
        <f t="shared" si="3"/>
        <v>2588.3085937499995</v>
      </c>
      <c r="H63" s="216">
        <f t="shared" si="1"/>
        <v>60566.421093749996</v>
      </c>
      <c r="I63" s="421">
        <f t="shared" si="0"/>
        <v>5546153.7030133987</v>
      </c>
      <c r="J63" s="450"/>
      <c r="K63" s="434"/>
      <c r="L63" s="439"/>
      <c r="M63" s="440"/>
      <c r="N63" s="434"/>
    </row>
    <row r="64" spans="2:14" x14ac:dyDescent="0.2">
      <c r="B64" s="540">
        <v>39</v>
      </c>
      <c r="C64" s="541"/>
      <c r="D64" s="494"/>
      <c r="E64" s="489" t="s">
        <v>305</v>
      </c>
      <c r="F64" s="217">
        <f t="shared" si="2"/>
        <v>57978.112499999996</v>
      </c>
      <c r="G64" s="218">
        <f t="shared" si="3"/>
        <v>2588.3085937499995</v>
      </c>
      <c r="H64" s="216">
        <f t="shared" si="1"/>
        <v>60566.421093749996</v>
      </c>
      <c r="I64" s="421">
        <f t="shared" si="0"/>
        <v>5485587.2819196489</v>
      </c>
      <c r="J64" s="450"/>
      <c r="K64" s="434"/>
      <c r="L64" s="439"/>
      <c r="M64" s="440"/>
      <c r="N64" s="434"/>
    </row>
    <row r="65" spans="2:14" x14ac:dyDescent="0.2">
      <c r="B65" s="540">
        <v>40</v>
      </c>
      <c r="C65" s="541"/>
      <c r="D65" s="494"/>
      <c r="E65" s="489" t="s">
        <v>306</v>
      </c>
      <c r="F65" s="217">
        <f t="shared" si="2"/>
        <v>57978.112499999996</v>
      </c>
      <c r="G65" s="218">
        <f t="shared" si="3"/>
        <v>2588.3085937499995</v>
      </c>
      <c r="H65" s="216">
        <f t="shared" si="1"/>
        <v>60566.421093749996</v>
      </c>
      <c r="I65" s="421">
        <f t="shared" si="0"/>
        <v>5425020.8608258991</v>
      </c>
      <c r="J65" s="450"/>
      <c r="K65" s="434"/>
      <c r="L65" s="439"/>
      <c r="M65" s="440"/>
      <c r="N65" s="434"/>
    </row>
    <row r="66" spans="2:14" x14ac:dyDescent="0.2">
      <c r="B66" s="540">
        <v>41</v>
      </c>
      <c r="C66" s="541"/>
      <c r="D66" s="494"/>
      <c r="E66" s="489" t="s">
        <v>307</v>
      </c>
      <c r="F66" s="217">
        <f t="shared" si="2"/>
        <v>57978.112499999996</v>
      </c>
      <c r="G66" s="218">
        <f t="shared" si="3"/>
        <v>2588.3085937499995</v>
      </c>
      <c r="H66" s="216">
        <f t="shared" si="1"/>
        <v>60566.421093749996</v>
      </c>
      <c r="I66" s="421">
        <f t="shared" si="0"/>
        <v>5364454.4397321492</v>
      </c>
      <c r="J66" s="450"/>
      <c r="K66" s="434"/>
      <c r="L66" s="439"/>
      <c r="M66" s="440"/>
      <c r="N66" s="434"/>
    </row>
    <row r="67" spans="2:14" x14ac:dyDescent="0.2">
      <c r="B67" s="540">
        <v>42</v>
      </c>
      <c r="C67" s="541"/>
      <c r="D67" s="494"/>
      <c r="E67" s="489" t="s">
        <v>308</v>
      </c>
      <c r="F67" s="217">
        <f t="shared" si="2"/>
        <v>57978.112499999996</v>
      </c>
      <c r="G67" s="218">
        <f t="shared" si="3"/>
        <v>2588.3085937499995</v>
      </c>
      <c r="H67" s="216">
        <f t="shared" si="1"/>
        <v>60566.421093749996</v>
      </c>
      <c r="I67" s="421">
        <f t="shared" si="0"/>
        <v>5303888.0186383994</v>
      </c>
      <c r="J67" s="450"/>
      <c r="K67" s="434"/>
      <c r="L67" s="439"/>
      <c r="M67" s="440"/>
      <c r="N67" s="434"/>
    </row>
    <row r="68" spans="2:14" x14ac:dyDescent="0.2">
      <c r="B68" s="540">
        <v>43</v>
      </c>
      <c r="C68" s="541"/>
      <c r="D68" s="494"/>
      <c r="E68" s="489" t="s">
        <v>309</v>
      </c>
      <c r="F68" s="217">
        <f t="shared" si="2"/>
        <v>57978.112499999996</v>
      </c>
      <c r="G68" s="218">
        <f t="shared" si="3"/>
        <v>2588.3085937499995</v>
      </c>
      <c r="H68" s="216">
        <f t="shared" si="1"/>
        <v>60566.421093749996</v>
      </c>
      <c r="I68" s="421">
        <f t="shared" si="0"/>
        <v>5243321.5975446496</v>
      </c>
      <c r="J68" s="450"/>
      <c r="K68" s="434"/>
      <c r="L68" s="439"/>
      <c r="M68" s="440"/>
      <c r="N68" s="434"/>
    </row>
    <row r="69" spans="2:14" x14ac:dyDescent="0.2">
      <c r="B69" s="540">
        <v>44</v>
      </c>
      <c r="C69" s="541"/>
      <c r="D69" s="494"/>
      <c r="E69" s="489" t="s">
        <v>310</v>
      </c>
      <c r="F69" s="217">
        <f t="shared" si="2"/>
        <v>57978.112499999996</v>
      </c>
      <c r="G69" s="218">
        <f t="shared" si="3"/>
        <v>2588.3085937499995</v>
      </c>
      <c r="H69" s="216">
        <f t="shared" si="1"/>
        <v>60566.421093749996</v>
      </c>
      <c r="I69" s="421">
        <f t="shared" si="0"/>
        <v>5182755.1764508998</v>
      </c>
      <c r="J69" s="450"/>
      <c r="K69" s="434"/>
      <c r="L69" s="439"/>
      <c r="M69" s="440"/>
      <c r="N69" s="434"/>
    </row>
    <row r="70" spans="2:14" x14ac:dyDescent="0.2">
      <c r="B70" s="540">
        <v>45</v>
      </c>
      <c r="C70" s="541"/>
      <c r="D70" s="494"/>
      <c r="E70" s="489" t="s">
        <v>311</v>
      </c>
      <c r="F70" s="217">
        <f t="shared" si="2"/>
        <v>57978.112499999996</v>
      </c>
      <c r="G70" s="218">
        <f t="shared" si="3"/>
        <v>2588.3085937499995</v>
      </c>
      <c r="H70" s="216">
        <f t="shared" si="1"/>
        <v>60566.421093749996</v>
      </c>
      <c r="I70" s="421">
        <f t="shared" si="0"/>
        <v>5122188.75535715</v>
      </c>
      <c r="J70" s="450"/>
      <c r="K70" s="434"/>
      <c r="L70" s="439"/>
      <c r="M70" s="440"/>
      <c r="N70" s="434"/>
    </row>
    <row r="71" spans="2:14" x14ac:dyDescent="0.2">
      <c r="B71" s="540">
        <v>46</v>
      </c>
      <c r="C71" s="541"/>
      <c r="D71" s="494"/>
      <c r="E71" s="489" t="s">
        <v>312</v>
      </c>
      <c r="F71" s="217">
        <f t="shared" si="2"/>
        <v>57978.112499999996</v>
      </c>
      <c r="G71" s="218">
        <f t="shared" si="3"/>
        <v>2588.3085937499995</v>
      </c>
      <c r="H71" s="216">
        <f t="shared" si="1"/>
        <v>60566.421093749996</v>
      </c>
      <c r="I71" s="421">
        <f t="shared" si="0"/>
        <v>5061622.3342634002</v>
      </c>
      <c r="J71" s="450"/>
      <c r="K71" s="434"/>
      <c r="L71" s="439"/>
      <c r="M71" s="440"/>
      <c r="N71" s="434"/>
    </row>
    <row r="72" spans="2:14" x14ac:dyDescent="0.2">
      <c r="B72" s="540">
        <v>47</v>
      </c>
      <c r="C72" s="541"/>
      <c r="D72" s="494"/>
      <c r="E72" s="489" t="s">
        <v>313</v>
      </c>
      <c r="F72" s="217">
        <f t="shared" si="2"/>
        <v>57978.112499999996</v>
      </c>
      <c r="G72" s="218">
        <f t="shared" si="3"/>
        <v>2588.3085937499995</v>
      </c>
      <c r="H72" s="216">
        <f t="shared" si="1"/>
        <v>60566.421093749996</v>
      </c>
      <c r="I72" s="421">
        <f t="shared" si="0"/>
        <v>5001055.9131696504</v>
      </c>
      <c r="J72" s="450"/>
      <c r="K72" s="434"/>
      <c r="L72" s="439"/>
      <c r="M72" s="440"/>
      <c r="N72" s="434"/>
    </row>
    <row r="73" spans="2:14" x14ac:dyDescent="0.2">
      <c r="B73" s="540">
        <v>48</v>
      </c>
      <c r="C73" s="541"/>
      <c r="D73" s="494"/>
      <c r="E73" s="489" t="s">
        <v>314</v>
      </c>
      <c r="F73" s="217">
        <f t="shared" si="2"/>
        <v>57978.112499999996</v>
      </c>
      <c r="G73" s="218">
        <f t="shared" si="3"/>
        <v>2588.3085937499995</v>
      </c>
      <c r="H73" s="216">
        <f t="shared" si="1"/>
        <v>60566.421093749996</v>
      </c>
      <c r="I73" s="421">
        <f t="shared" si="0"/>
        <v>4940489.4920759005</v>
      </c>
      <c r="J73" s="450"/>
      <c r="K73" s="434"/>
      <c r="L73" s="439"/>
      <c r="M73" s="440"/>
      <c r="N73" s="434"/>
    </row>
    <row r="74" spans="2:14" x14ac:dyDescent="0.2">
      <c r="B74" s="540">
        <v>49</v>
      </c>
      <c r="C74" s="541"/>
      <c r="D74" s="494"/>
      <c r="E74" s="489" t="s">
        <v>315</v>
      </c>
      <c r="F74" s="217">
        <f t="shared" si="2"/>
        <v>57978.112499999996</v>
      </c>
      <c r="G74" s="218">
        <f t="shared" si="3"/>
        <v>2588.3085937499995</v>
      </c>
      <c r="H74" s="216">
        <f t="shared" si="1"/>
        <v>60566.421093749996</v>
      </c>
      <c r="I74" s="421">
        <f t="shared" si="0"/>
        <v>4879923.0709821507</v>
      </c>
      <c r="J74" s="450"/>
      <c r="K74" s="434"/>
      <c r="L74" s="439"/>
      <c r="M74" s="440"/>
      <c r="N74" s="434"/>
    </row>
    <row r="75" spans="2:14" x14ac:dyDescent="0.2">
      <c r="B75" s="540">
        <v>50</v>
      </c>
      <c r="C75" s="541"/>
      <c r="D75" s="494"/>
      <c r="E75" s="489" t="s">
        <v>316</v>
      </c>
      <c r="F75" s="217">
        <f t="shared" si="2"/>
        <v>57978.112499999996</v>
      </c>
      <c r="G75" s="218">
        <f t="shared" si="3"/>
        <v>2588.3085937499995</v>
      </c>
      <c r="H75" s="216">
        <f t="shared" si="1"/>
        <v>60566.421093749996</v>
      </c>
      <c r="I75" s="421">
        <f t="shared" si="0"/>
        <v>4819356.6498884009</v>
      </c>
      <c r="J75" s="450"/>
      <c r="K75" s="434"/>
      <c r="L75" s="439"/>
      <c r="M75" s="440"/>
      <c r="N75" s="434"/>
    </row>
    <row r="76" spans="2:14" x14ac:dyDescent="0.2">
      <c r="B76" s="540">
        <v>51</v>
      </c>
      <c r="C76" s="541"/>
      <c r="D76" s="494"/>
      <c r="E76" s="489" t="s">
        <v>317</v>
      </c>
      <c r="F76" s="217">
        <f t="shared" si="2"/>
        <v>57978.112499999996</v>
      </c>
      <c r="G76" s="218">
        <f t="shared" si="3"/>
        <v>2588.3085937499995</v>
      </c>
      <c r="H76" s="216">
        <f t="shared" si="1"/>
        <v>60566.421093749996</v>
      </c>
      <c r="I76" s="421">
        <f t="shared" si="0"/>
        <v>4758790.2287946511</v>
      </c>
      <c r="J76" s="450"/>
      <c r="K76" s="434"/>
      <c r="L76" s="439"/>
      <c r="M76" s="440"/>
      <c r="N76" s="434"/>
    </row>
    <row r="77" spans="2:14" x14ac:dyDescent="0.2">
      <c r="B77" s="540">
        <v>52</v>
      </c>
      <c r="C77" s="541"/>
      <c r="D77" s="494"/>
      <c r="E77" s="489" t="s">
        <v>318</v>
      </c>
      <c r="F77" s="217">
        <f t="shared" si="2"/>
        <v>57978.112499999996</v>
      </c>
      <c r="G77" s="218">
        <f t="shared" si="3"/>
        <v>2588.3085937499995</v>
      </c>
      <c r="H77" s="216">
        <f t="shared" si="1"/>
        <v>60566.421093749996</v>
      </c>
      <c r="I77" s="421">
        <f t="shared" si="0"/>
        <v>4698223.8077009013</v>
      </c>
      <c r="J77" s="450"/>
      <c r="K77" s="434"/>
      <c r="L77" s="439"/>
      <c r="M77" s="440"/>
      <c r="N77" s="434"/>
    </row>
    <row r="78" spans="2:14" x14ac:dyDescent="0.2">
      <c r="B78" s="540">
        <v>53</v>
      </c>
      <c r="C78" s="541"/>
      <c r="D78" s="494"/>
      <c r="E78" s="489" t="s">
        <v>319</v>
      </c>
      <c r="F78" s="217">
        <f t="shared" si="2"/>
        <v>57978.112499999996</v>
      </c>
      <c r="G78" s="218">
        <f t="shared" si="3"/>
        <v>2588.3085937499995</v>
      </c>
      <c r="H78" s="216">
        <f t="shared" si="1"/>
        <v>60566.421093749996</v>
      </c>
      <c r="I78" s="421">
        <f t="shared" si="0"/>
        <v>4637657.3866071515</v>
      </c>
      <c r="J78" s="450"/>
      <c r="K78" s="434"/>
      <c r="L78" s="439"/>
      <c r="M78" s="440"/>
      <c r="N78" s="434"/>
    </row>
    <row r="79" spans="2:14" x14ac:dyDescent="0.2">
      <c r="B79" s="540">
        <v>54</v>
      </c>
      <c r="C79" s="541"/>
      <c r="D79" s="494"/>
      <c r="E79" s="489" t="s">
        <v>320</v>
      </c>
      <c r="F79" s="217">
        <f t="shared" si="2"/>
        <v>57978.112499999996</v>
      </c>
      <c r="G79" s="218">
        <f t="shared" si="3"/>
        <v>2588.3085937499995</v>
      </c>
      <c r="H79" s="216">
        <f t="shared" si="1"/>
        <v>60566.421093749996</v>
      </c>
      <c r="I79" s="421">
        <f t="shared" si="0"/>
        <v>4577090.9655134017</v>
      </c>
      <c r="J79" s="450"/>
      <c r="K79" s="434"/>
      <c r="L79" s="439"/>
      <c r="M79" s="440"/>
      <c r="N79" s="434"/>
    </row>
    <row r="80" spans="2:14" x14ac:dyDescent="0.2">
      <c r="B80" s="540">
        <v>55</v>
      </c>
      <c r="C80" s="541"/>
      <c r="D80" s="494"/>
      <c r="E80" s="489" t="s">
        <v>321</v>
      </c>
      <c r="F80" s="217">
        <f t="shared" si="2"/>
        <v>57978.112499999996</v>
      </c>
      <c r="G80" s="218">
        <f t="shared" si="3"/>
        <v>2588.3085937499995</v>
      </c>
      <c r="H80" s="216">
        <f t="shared" si="1"/>
        <v>60566.421093749996</v>
      </c>
      <c r="I80" s="421">
        <f t="shared" si="0"/>
        <v>4516524.5444196519</v>
      </c>
      <c r="J80" s="450"/>
      <c r="K80" s="434"/>
      <c r="L80" s="439"/>
      <c r="M80" s="440"/>
      <c r="N80" s="434"/>
    </row>
    <row r="81" spans="2:14" x14ac:dyDescent="0.2">
      <c r="B81" s="540">
        <v>56</v>
      </c>
      <c r="C81" s="541"/>
      <c r="D81" s="494"/>
      <c r="E81" s="489" t="s">
        <v>322</v>
      </c>
      <c r="F81" s="217">
        <f t="shared" si="2"/>
        <v>57978.112499999996</v>
      </c>
      <c r="G81" s="218">
        <f t="shared" si="3"/>
        <v>2588.3085937499995</v>
      </c>
      <c r="H81" s="216">
        <f t="shared" si="1"/>
        <v>60566.421093749996</v>
      </c>
      <c r="I81" s="421">
        <f t="shared" si="0"/>
        <v>4455958.123325902</v>
      </c>
      <c r="J81" s="450"/>
      <c r="K81" s="434"/>
      <c r="L81" s="439"/>
      <c r="M81" s="440"/>
      <c r="N81" s="434"/>
    </row>
    <row r="82" spans="2:14" x14ac:dyDescent="0.2">
      <c r="B82" s="540">
        <v>57</v>
      </c>
      <c r="C82" s="541"/>
      <c r="D82" s="494"/>
      <c r="E82" s="489" t="s">
        <v>323</v>
      </c>
      <c r="F82" s="217">
        <f t="shared" si="2"/>
        <v>57978.112499999996</v>
      </c>
      <c r="G82" s="218">
        <f t="shared" si="3"/>
        <v>2588.3085937499995</v>
      </c>
      <c r="H82" s="216">
        <f t="shared" si="1"/>
        <v>60566.421093749996</v>
      </c>
      <c r="I82" s="421">
        <f t="shared" si="0"/>
        <v>4395391.7022321522</v>
      </c>
      <c r="J82" s="450"/>
      <c r="K82" s="434"/>
      <c r="L82" s="439"/>
      <c r="M82" s="440"/>
      <c r="N82" s="434"/>
    </row>
    <row r="83" spans="2:14" x14ac:dyDescent="0.2">
      <c r="B83" s="540">
        <v>58</v>
      </c>
      <c r="C83" s="541"/>
      <c r="D83" s="494"/>
      <c r="E83" s="489" t="s">
        <v>324</v>
      </c>
      <c r="F83" s="217">
        <f t="shared" si="2"/>
        <v>57978.112499999996</v>
      </c>
      <c r="G83" s="218">
        <f t="shared" si="3"/>
        <v>2588.3085937499995</v>
      </c>
      <c r="H83" s="216">
        <f t="shared" si="1"/>
        <v>60566.421093749996</v>
      </c>
      <c r="I83" s="421">
        <f t="shared" si="0"/>
        <v>4334825.2811384024</v>
      </c>
      <c r="J83" s="450"/>
      <c r="K83" s="434"/>
      <c r="L83" s="439"/>
      <c r="M83" s="440"/>
      <c r="N83" s="434"/>
    </row>
    <row r="84" spans="2:14" x14ac:dyDescent="0.2">
      <c r="B84" s="540">
        <v>59</v>
      </c>
      <c r="C84" s="541"/>
      <c r="D84" s="494"/>
      <c r="E84" s="489" t="s">
        <v>325</v>
      </c>
      <c r="F84" s="217">
        <f t="shared" si="2"/>
        <v>57978.112499999996</v>
      </c>
      <c r="G84" s="218">
        <f t="shared" si="3"/>
        <v>2588.3085937499995</v>
      </c>
      <c r="H84" s="216">
        <f t="shared" si="1"/>
        <v>60566.421093749996</v>
      </c>
      <c r="I84" s="421">
        <f t="shared" si="0"/>
        <v>4274258.8600446526</v>
      </c>
      <c r="J84" s="450"/>
      <c r="K84" s="434"/>
      <c r="L84" s="439"/>
      <c r="M84" s="440"/>
      <c r="N84" s="434"/>
    </row>
    <row r="85" spans="2:14" x14ac:dyDescent="0.2">
      <c r="B85" s="540">
        <v>60</v>
      </c>
      <c r="C85" s="541"/>
      <c r="D85" s="494"/>
      <c r="E85" s="489" t="s">
        <v>326</v>
      </c>
      <c r="F85" s="217">
        <f t="shared" si="2"/>
        <v>57978.112499999996</v>
      </c>
      <c r="G85" s="218">
        <f t="shared" si="3"/>
        <v>2588.3085937499995</v>
      </c>
      <c r="H85" s="216">
        <f t="shared" si="1"/>
        <v>60566.421093749996</v>
      </c>
      <c r="I85" s="421">
        <f t="shared" si="0"/>
        <v>4213692.4389509028</v>
      </c>
      <c r="J85" s="450"/>
      <c r="K85" s="434"/>
      <c r="L85" s="439"/>
      <c r="M85" s="440"/>
      <c r="N85" s="434"/>
    </row>
    <row r="86" spans="2:14" x14ac:dyDescent="0.2">
      <c r="B86" s="540">
        <v>61</v>
      </c>
      <c r="C86" s="541"/>
      <c r="D86" s="494"/>
      <c r="E86" s="489" t="s">
        <v>327</v>
      </c>
      <c r="F86" s="217">
        <f t="shared" si="2"/>
        <v>57978.112499999996</v>
      </c>
      <c r="G86" s="218">
        <f t="shared" si="3"/>
        <v>2588.3085937499995</v>
      </c>
      <c r="H86" s="216">
        <f t="shared" si="1"/>
        <v>60566.421093749996</v>
      </c>
      <c r="I86" s="421">
        <f t="shared" si="0"/>
        <v>4153126.017857153</v>
      </c>
      <c r="J86" s="450"/>
      <c r="K86" s="434"/>
      <c r="L86" s="439"/>
      <c r="M86" s="440"/>
      <c r="N86" s="434"/>
    </row>
    <row r="87" spans="2:14" ht="16" thickBot="1" x14ac:dyDescent="0.25">
      <c r="B87" s="540">
        <v>62</v>
      </c>
      <c r="C87" s="541"/>
      <c r="D87" s="494"/>
      <c r="E87" s="489" t="s">
        <v>52</v>
      </c>
      <c r="F87" s="422">
        <f>((D16-SUM(D17:D20))*50%)</f>
        <v>3975642</v>
      </c>
      <c r="G87" s="422">
        <f>((D21*50%))</f>
        <v>177484.01785714284</v>
      </c>
      <c r="H87" s="216">
        <f t="shared" si="1"/>
        <v>4153126.0178571427</v>
      </c>
      <c r="I87" s="421">
        <f t="shared" si="0"/>
        <v>1.0244548320770264E-8</v>
      </c>
      <c r="J87" s="450"/>
      <c r="K87" s="434"/>
      <c r="L87" s="439"/>
      <c r="M87" s="440"/>
      <c r="N87" s="434"/>
    </row>
    <row r="88" spans="2:14" ht="16" thickBot="1" x14ac:dyDescent="0.25">
      <c r="B88" s="454"/>
      <c r="C88" s="455"/>
      <c r="D88" s="456"/>
      <c r="E88" s="457" t="s">
        <v>96</v>
      </c>
      <c r="F88" s="196">
        <f>SUM(F25:F87)</f>
        <v>7951283.9999999944</v>
      </c>
      <c r="G88" s="196">
        <f>SUM(G25:G87)</f>
        <v>354968.03571428568</v>
      </c>
      <c r="H88" s="196">
        <f>SUM(H25:H87)</f>
        <v>8306252.0357142799</v>
      </c>
      <c r="I88" s="220"/>
      <c r="J88" s="434"/>
      <c r="K88" s="434"/>
      <c r="L88" s="439">
        <f>SUM(L25:L87)</f>
        <v>56000</v>
      </c>
      <c r="M88" s="440">
        <f>L88-F88</f>
        <v>-7895283.9999999944</v>
      </c>
      <c r="N88" s="434"/>
    </row>
    <row r="89" spans="2:14" x14ac:dyDescent="0.2">
      <c r="D89" s="458"/>
      <c r="L89" s="459"/>
    </row>
    <row r="90" spans="2:14" ht="15" customHeight="1" x14ac:dyDescent="0.2">
      <c r="B90" s="529" t="s">
        <v>195</v>
      </c>
      <c r="C90" s="529"/>
      <c r="D90" s="529"/>
      <c r="E90" s="529"/>
      <c r="F90" s="529"/>
      <c r="G90" s="529"/>
      <c r="H90" s="529"/>
      <c r="I90" s="529"/>
      <c r="L90" s="459"/>
    </row>
    <row r="91" spans="2:14" x14ac:dyDescent="0.2">
      <c r="B91" s="529"/>
      <c r="C91" s="529"/>
      <c r="D91" s="529"/>
      <c r="E91" s="529"/>
      <c r="F91" s="529"/>
      <c r="G91" s="529"/>
      <c r="H91" s="529"/>
      <c r="I91" s="529"/>
      <c r="L91" s="459"/>
    </row>
    <row r="92" spans="2:14" x14ac:dyDescent="0.2">
      <c r="B92" s="529"/>
      <c r="C92" s="529"/>
      <c r="D92" s="529"/>
      <c r="E92" s="529"/>
      <c r="F92" s="529"/>
      <c r="G92" s="529"/>
      <c r="H92" s="529"/>
      <c r="I92" s="529"/>
      <c r="L92" s="459"/>
    </row>
    <row r="93" spans="2:14" x14ac:dyDescent="0.2">
      <c r="B93" s="529"/>
      <c r="C93" s="529"/>
      <c r="D93" s="529"/>
      <c r="E93" s="529"/>
      <c r="F93" s="529"/>
      <c r="G93" s="529"/>
      <c r="H93" s="529"/>
      <c r="I93" s="529"/>
      <c r="L93" s="459"/>
    </row>
    <row r="94" spans="2:14" x14ac:dyDescent="0.2">
      <c r="B94" s="529"/>
      <c r="C94" s="529"/>
      <c r="D94" s="529"/>
      <c r="E94" s="529"/>
      <c r="F94" s="529"/>
      <c r="G94" s="529"/>
      <c r="H94" s="529"/>
      <c r="I94" s="529"/>
      <c r="L94" s="459"/>
    </row>
    <row r="95" spans="2:14" x14ac:dyDescent="0.2">
      <c r="B95" s="529"/>
      <c r="C95" s="529"/>
      <c r="D95" s="529"/>
      <c r="E95" s="529"/>
      <c r="F95" s="529"/>
      <c r="G95" s="529"/>
      <c r="H95" s="529"/>
      <c r="I95" s="529"/>
      <c r="L95" s="459"/>
    </row>
    <row r="96" spans="2:14" x14ac:dyDescent="0.2">
      <c r="B96" s="529"/>
      <c r="C96" s="529"/>
      <c r="D96" s="529"/>
      <c r="E96" s="529"/>
      <c r="F96" s="529"/>
      <c r="G96" s="529"/>
      <c r="H96" s="529"/>
      <c r="I96" s="529"/>
      <c r="L96" s="459"/>
    </row>
    <row r="97" spans="2:12" x14ac:dyDescent="0.2">
      <c r="B97" s="529"/>
      <c r="C97" s="529"/>
      <c r="D97" s="529"/>
      <c r="E97" s="529"/>
      <c r="F97" s="529"/>
      <c r="G97" s="529"/>
      <c r="H97" s="529"/>
      <c r="I97" s="529"/>
      <c r="L97" s="459"/>
    </row>
    <row r="98" spans="2:12" x14ac:dyDescent="0.2">
      <c r="B98" s="529"/>
      <c r="C98" s="529"/>
      <c r="D98" s="529"/>
      <c r="E98" s="529"/>
      <c r="F98" s="529"/>
      <c r="G98" s="529"/>
      <c r="H98" s="529"/>
      <c r="I98" s="529"/>
      <c r="L98" s="459"/>
    </row>
    <row r="99" spans="2:12" x14ac:dyDescent="0.2">
      <c r="B99" s="529"/>
      <c r="C99" s="529"/>
      <c r="D99" s="529"/>
      <c r="E99" s="529"/>
      <c r="F99" s="529"/>
      <c r="G99" s="529"/>
      <c r="H99" s="529"/>
      <c r="I99" s="529"/>
      <c r="L99" s="459"/>
    </row>
    <row r="100" spans="2:12" x14ac:dyDescent="0.2">
      <c r="B100" s="529"/>
      <c r="C100" s="529"/>
      <c r="D100" s="529"/>
      <c r="E100" s="529"/>
      <c r="F100" s="529"/>
      <c r="G100" s="529"/>
      <c r="H100" s="529"/>
      <c r="I100" s="529"/>
      <c r="L100" s="459"/>
    </row>
    <row r="101" spans="2:12" x14ac:dyDescent="0.2">
      <c r="B101" s="529"/>
      <c r="C101" s="529"/>
      <c r="D101" s="529"/>
      <c r="E101" s="529"/>
      <c r="F101" s="529"/>
      <c r="G101" s="529"/>
      <c r="H101" s="529"/>
      <c r="I101" s="529"/>
      <c r="L101" s="459"/>
    </row>
    <row r="102" spans="2:12" x14ac:dyDescent="0.2">
      <c r="B102" s="529"/>
      <c r="C102" s="529"/>
      <c r="D102" s="529"/>
      <c r="E102" s="529"/>
      <c r="F102" s="529"/>
      <c r="G102" s="529"/>
      <c r="H102" s="529"/>
      <c r="I102" s="529"/>
      <c r="L102" s="459"/>
    </row>
    <row r="103" spans="2:12" ht="139.75" customHeight="1" x14ac:dyDescent="0.2">
      <c r="B103" s="529"/>
      <c r="C103" s="529"/>
      <c r="D103" s="529"/>
      <c r="E103" s="529"/>
      <c r="F103" s="529"/>
      <c r="G103" s="529"/>
      <c r="H103" s="529"/>
      <c r="I103" s="529"/>
      <c r="L103" s="459"/>
    </row>
    <row r="104" spans="2:12" hidden="1" x14ac:dyDescent="0.2">
      <c r="B104" s="460" t="s">
        <v>97</v>
      </c>
      <c r="C104" s="460"/>
    </row>
    <row r="105" spans="2:12" hidden="1" x14ac:dyDescent="0.2">
      <c r="B105" s="461" t="s">
        <v>98</v>
      </c>
      <c r="C105" s="461"/>
    </row>
    <row r="106" spans="2:12" hidden="1" x14ac:dyDescent="0.2">
      <c r="B106" s="461" t="s">
        <v>99</v>
      </c>
      <c r="C106" s="461"/>
    </row>
    <row r="107" spans="2:12" hidden="1" x14ac:dyDescent="0.2">
      <c r="B107" s="461" t="s">
        <v>100</v>
      </c>
      <c r="C107" s="461"/>
    </row>
    <row r="108" spans="2:12" hidden="1" x14ac:dyDescent="0.2">
      <c r="B108" s="461" t="s">
        <v>101</v>
      </c>
      <c r="C108" s="461"/>
    </row>
    <row r="109" spans="2:12" s="462" customFormat="1" hidden="1" x14ac:dyDescent="0.2">
      <c r="B109" s="461" t="s">
        <v>102</v>
      </c>
      <c r="C109" s="461"/>
    </row>
    <row r="110" spans="2:12" ht="7.25" customHeight="1" x14ac:dyDescent="0.2"/>
    <row r="111" spans="2:12" x14ac:dyDescent="0.2">
      <c r="B111" s="463" t="s">
        <v>103</v>
      </c>
      <c r="C111" s="463"/>
    </row>
    <row r="114" spans="2:9" x14ac:dyDescent="0.2">
      <c r="B114" s="530" t="s">
        <v>104</v>
      </c>
      <c r="C114" s="530"/>
      <c r="D114" s="530"/>
      <c r="F114" s="530" t="s">
        <v>105</v>
      </c>
      <c r="G114" s="530"/>
      <c r="H114" s="530"/>
      <c r="I114" s="530"/>
    </row>
  </sheetData>
  <sheetProtection algorithmName="SHA-512" hashValue="pJxjUXTqWjcS7u1VsOhd/n/4VlJfl9wlp7H1bTQIAyZUSxMCBodBLt5ofHgsbs+KYF/P13w+FX/GsyJqR03jaw==" saltValue="NC8tWIYwiQ1Pz1gWY2Ejgg==" spinCount="100000" sheet="1" objects="1" scenarios="1"/>
  <mergeCells count="75">
    <mergeCell ref="B90:I103"/>
    <mergeCell ref="F114:I114"/>
    <mergeCell ref="B84:C84"/>
    <mergeCell ref="B85:C85"/>
    <mergeCell ref="B86:C86"/>
    <mergeCell ref="B87:C87"/>
    <mergeCell ref="B114:D114"/>
    <mergeCell ref="B83:C83"/>
    <mergeCell ref="B72:C72"/>
    <mergeCell ref="B73:C73"/>
    <mergeCell ref="B74:C74"/>
    <mergeCell ref="B75:C75"/>
    <mergeCell ref="B76:C76"/>
    <mergeCell ref="B77:C77"/>
    <mergeCell ref="B78:C78"/>
    <mergeCell ref="B79:C79"/>
    <mergeCell ref="B80:C80"/>
    <mergeCell ref="B81:C81"/>
    <mergeCell ref="B82:C82"/>
    <mergeCell ref="B71:C71"/>
    <mergeCell ref="B60:C60"/>
    <mergeCell ref="B61:C61"/>
    <mergeCell ref="B62:C62"/>
    <mergeCell ref="B63:C63"/>
    <mergeCell ref="B64:C64"/>
    <mergeCell ref="B65:C65"/>
    <mergeCell ref="B66:C66"/>
    <mergeCell ref="B67:C67"/>
    <mergeCell ref="B68:C68"/>
    <mergeCell ref="B69:C69"/>
    <mergeCell ref="B70:C70"/>
    <mergeCell ref="B59:C59"/>
    <mergeCell ref="B48:C48"/>
    <mergeCell ref="B49:C49"/>
    <mergeCell ref="B50:C50"/>
    <mergeCell ref="B51:C51"/>
    <mergeCell ref="B52:C52"/>
    <mergeCell ref="B53:C53"/>
    <mergeCell ref="B54:C54"/>
    <mergeCell ref="B55:C55"/>
    <mergeCell ref="B56:C56"/>
    <mergeCell ref="B57:C57"/>
    <mergeCell ref="B58:C58"/>
    <mergeCell ref="B47:C47"/>
    <mergeCell ref="B36:C36"/>
    <mergeCell ref="B37:C37"/>
    <mergeCell ref="B38:C38"/>
    <mergeCell ref="B39:C39"/>
    <mergeCell ref="B40:C40"/>
    <mergeCell ref="B41:C41"/>
    <mergeCell ref="B42:C42"/>
    <mergeCell ref="B43:C43"/>
    <mergeCell ref="B44:C44"/>
    <mergeCell ref="B45:C45"/>
    <mergeCell ref="B46:C46"/>
    <mergeCell ref="B33:C33"/>
    <mergeCell ref="B34:C34"/>
    <mergeCell ref="B35:C35"/>
    <mergeCell ref="C10:D10"/>
    <mergeCell ref="C13:D13"/>
    <mergeCell ref="B24:C24"/>
    <mergeCell ref="B25:C25"/>
    <mergeCell ref="B28:C28"/>
    <mergeCell ref="B29:C29"/>
    <mergeCell ref="B27:C27"/>
    <mergeCell ref="B26:C26"/>
    <mergeCell ref="C9:D9"/>
    <mergeCell ref="B30:C30"/>
    <mergeCell ref="B31:C31"/>
    <mergeCell ref="B32:C32"/>
    <mergeCell ref="L1:L3"/>
    <mergeCell ref="I2:I3"/>
    <mergeCell ref="C6:D6"/>
    <mergeCell ref="C7:D7"/>
    <mergeCell ref="C8:D8"/>
  </mergeCells>
  <phoneticPr fontId="45" type="noConversion"/>
  <hyperlinks>
    <hyperlink ref="K4" location="Input!A1" display="Return to Input" xr:uid="{00000000-0004-0000-1000-000000000000}"/>
  </hyperlinks>
  <pageMargins left="0.74803149606299213" right="0.70866141732283472" top="0" bottom="0" header="0.31496062992125984" footer="0.31496062992125984"/>
  <pageSetup paperSize="5" scale="63" fitToHeight="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24"/>
  <sheetViews>
    <sheetView zoomScale="75" zoomScaleNormal="75" zoomScalePageLayoutView="75" workbookViewId="0">
      <pane ySplit="9" topLeftCell="A61" activePane="bottomLeft" state="frozen"/>
      <selection pane="bottomLeft" activeCell="E86" sqref="E86"/>
    </sheetView>
  </sheetViews>
  <sheetFormatPr baseColWidth="10" defaultColWidth="8.83203125" defaultRowHeight="15" x14ac:dyDescent="0.2"/>
  <cols>
    <col min="1" max="1" width="12.5" style="224" customWidth="1"/>
    <col min="2" max="2" width="9.83203125" style="225" customWidth="1"/>
    <col min="3" max="3" width="9.1640625" style="225" customWidth="1"/>
    <col min="4" max="4" width="15.1640625" style="225" customWidth="1"/>
    <col min="5" max="5" width="17.6640625" style="221" customWidth="1"/>
    <col min="6" max="6" width="13.6640625" style="221" customWidth="1"/>
    <col min="7" max="7" width="22.5" style="221" customWidth="1"/>
    <col min="8" max="8" width="22.5" style="221" hidden="1" customWidth="1"/>
    <col min="9" max="9" width="24.1640625" style="221" customWidth="1"/>
    <col min="10" max="10" width="22.5" style="221" customWidth="1"/>
    <col min="11" max="11" width="8.83203125" style="221" customWidth="1"/>
    <col min="12" max="13" width="20.5" style="221" customWidth="1"/>
    <col min="14" max="15" width="20.5" style="221" hidden="1" customWidth="1"/>
    <col min="16" max="16" width="14.6640625" style="221" hidden="1" customWidth="1"/>
    <col min="17" max="17" width="13.1640625" style="221" hidden="1" customWidth="1"/>
    <col min="18" max="18" width="18.33203125" style="221" hidden="1" customWidth="1"/>
    <col min="19" max="19" width="15.1640625" style="221" hidden="1" customWidth="1"/>
    <col min="20" max="22" width="12.83203125" style="221" hidden="1" customWidth="1"/>
    <col min="23" max="23" width="22.5" style="221" hidden="1" customWidth="1"/>
    <col min="24" max="24" width="0" style="221" hidden="1" customWidth="1"/>
    <col min="25" max="25" width="17.83203125" style="221" customWidth="1"/>
    <col min="26" max="16384" width="8.83203125" style="221"/>
  </cols>
  <sheetData>
    <row r="1" spans="1:23" x14ac:dyDescent="0.2">
      <c r="A1" s="506" t="s">
        <v>33</v>
      </c>
      <c r="B1" s="507"/>
      <c r="C1" s="507"/>
      <c r="D1" s="507"/>
      <c r="E1" s="507"/>
      <c r="G1" s="222"/>
      <c r="H1" s="222"/>
      <c r="I1" s="222"/>
      <c r="J1" s="222"/>
      <c r="Q1" s="223" t="s">
        <v>205</v>
      </c>
      <c r="S1" s="221" t="s">
        <v>206</v>
      </c>
    </row>
    <row r="2" spans="1:23" ht="16" thickBot="1" x14ac:dyDescent="0.25">
      <c r="G2" s="222"/>
      <c r="H2" s="222"/>
      <c r="I2" s="222"/>
      <c r="J2" s="222"/>
      <c r="Q2" s="226">
        <v>0.2</v>
      </c>
      <c r="R2" s="221" t="s">
        <v>207</v>
      </c>
      <c r="S2" s="221">
        <f>+COUNTIFS($Q$10:$Q$184,"20%",J10:J184,"UNSOLD")</f>
        <v>2</v>
      </c>
      <c r="T2" s="227">
        <f>+S2/$S$6</f>
        <v>0.08</v>
      </c>
    </row>
    <row r="3" spans="1:23" x14ac:dyDescent="0.2">
      <c r="F3" s="221" t="e">
        <f>+#REF!+#REF!+#REF!+#REF!+#REF!+#REF!+#REF!+#REF!+#REF!+F74+F86+F91+F86+F91+F94+F95+F96+F97+F110+F113+F115+F132+F139+F158+F159+F160+F164+F172+F173+F174+F177+F178+F179+F180+F181+F182+F183+F184</f>
        <v>#REF!</v>
      </c>
      <c r="G3" s="222"/>
      <c r="H3" s="222"/>
      <c r="I3" s="222"/>
      <c r="J3" s="222"/>
      <c r="L3" s="221" t="s">
        <v>208</v>
      </c>
      <c r="O3" s="221" t="s">
        <v>209</v>
      </c>
      <c r="Q3" s="226">
        <v>0.02</v>
      </c>
      <c r="R3" s="221" t="s">
        <v>210</v>
      </c>
      <c r="S3" s="221">
        <f>+COUNTIFS($Q$10:$Q$184,"2%",$J$10:$J$184,"UNSOLD")</f>
        <v>8</v>
      </c>
      <c r="T3" s="227">
        <f>+S3/$S$6</f>
        <v>0.32</v>
      </c>
    </row>
    <row r="4" spans="1:23" x14ac:dyDescent="0.2">
      <c r="G4" s="222"/>
      <c r="H4" s="222"/>
      <c r="I4" s="222"/>
      <c r="J4" s="222"/>
      <c r="O4" s="221" t="s">
        <v>211</v>
      </c>
      <c r="Q4" s="226">
        <v>0.04</v>
      </c>
      <c r="R4" s="221" t="s">
        <v>212</v>
      </c>
      <c r="S4" s="221">
        <f>+COUNTIFS($Q$10:$Q$184,"4%",$J$10:$J$184,"UNSOLD")</f>
        <v>4</v>
      </c>
      <c r="T4" s="227">
        <f>+S4/$S$6</f>
        <v>0.16</v>
      </c>
    </row>
    <row r="5" spans="1:23" x14ac:dyDescent="0.2">
      <c r="B5" s="504" t="s">
        <v>33</v>
      </c>
      <c r="C5" s="504"/>
      <c r="D5" s="504"/>
      <c r="E5" s="504"/>
      <c r="F5" s="504"/>
      <c r="G5" s="504"/>
      <c r="H5" s="504"/>
      <c r="I5" s="504"/>
      <c r="J5" s="228"/>
      <c r="O5" s="221" t="s">
        <v>213</v>
      </c>
      <c r="Q5" s="226">
        <v>0</v>
      </c>
      <c r="R5" s="221" t="s">
        <v>214</v>
      </c>
      <c r="S5" s="229">
        <f>+COUNTIFS($Q$10:$Q$184,"0%",J10:J184,"UNSOLD")</f>
        <v>11</v>
      </c>
      <c r="T5" s="227">
        <f>+S5/$S$6</f>
        <v>0.44</v>
      </c>
    </row>
    <row r="6" spans="1:23" ht="16" thickBot="1" x14ac:dyDescent="0.25">
      <c r="B6" s="504" t="s">
        <v>215</v>
      </c>
      <c r="C6" s="504"/>
      <c r="D6" s="504"/>
      <c r="E6" s="504"/>
      <c r="F6" s="504"/>
      <c r="G6" s="504"/>
      <c r="H6" s="504"/>
      <c r="I6" s="504"/>
      <c r="J6" s="228"/>
      <c r="S6" s="221">
        <f>+SUM(S2:S5)</f>
        <v>25</v>
      </c>
    </row>
    <row r="7" spans="1:23" x14ac:dyDescent="0.2">
      <c r="B7" s="505" t="s">
        <v>216</v>
      </c>
      <c r="C7" s="505"/>
      <c r="D7" s="505"/>
      <c r="E7" s="505"/>
      <c r="F7" s="505"/>
      <c r="G7" s="505"/>
      <c r="H7" s="505"/>
      <c r="I7" s="505"/>
      <c r="J7" s="230"/>
      <c r="K7" s="225"/>
      <c r="L7" s="231">
        <v>37135</v>
      </c>
      <c r="M7" s="225"/>
      <c r="N7" s="232" t="s">
        <v>217</v>
      </c>
      <c r="O7" s="233" t="s">
        <v>218</v>
      </c>
      <c r="P7" s="225"/>
      <c r="Q7" s="234" t="s">
        <v>219</v>
      </c>
      <c r="R7" s="235"/>
      <c r="S7" s="235"/>
      <c r="T7" s="235"/>
      <c r="U7" s="236"/>
    </row>
    <row r="8" spans="1:23" ht="16" thickBot="1" x14ac:dyDescent="0.25">
      <c r="G8" s="222"/>
      <c r="H8" s="222"/>
      <c r="I8" s="222"/>
      <c r="J8" s="222"/>
      <c r="K8" s="225" t="s">
        <v>220</v>
      </c>
      <c r="L8" s="225" t="s">
        <v>221</v>
      </c>
      <c r="M8" s="225"/>
      <c r="N8" s="232" t="s">
        <v>222</v>
      </c>
      <c r="O8" s="237" t="s">
        <v>220</v>
      </c>
      <c r="P8" s="225"/>
      <c r="Q8" s="238" t="s">
        <v>223</v>
      </c>
      <c r="R8" s="239" t="s">
        <v>224</v>
      </c>
      <c r="S8" s="239" t="s">
        <v>224</v>
      </c>
      <c r="T8" s="239"/>
      <c r="U8" s="240"/>
      <c r="V8" s="221">
        <f>+COUNTIF($V$10:$V$176,"2%")</f>
        <v>25</v>
      </c>
      <c r="W8" s="224" t="s">
        <v>225</v>
      </c>
    </row>
    <row r="9" spans="1:23" s="246" customFormat="1" ht="21.75" customHeight="1" thickBot="1" x14ac:dyDescent="0.25">
      <c r="A9" s="241"/>
      <c r="B9" s="242" t="s">
        <v>3</v>
      </c>
      <c r="C9" s="243" t="s">
        <v>4</v>
      </c>
      <c r="D9" s="243"/>
      <c r="E9" s="243" t="s">
        <v>5</v>
      </c>
      <c r="F9" s="243" t="s">
        <v>6</v>
      </c>
      <c r="G9" s="244" t="s">
        <v>7</v>
      </c>
      <c r="H9" s="244"/>
      <c r="I9" s="244" t="s">
        <v>226</v>
      </c>
      <c r="J9" s="245" t="s">
        <v>227</v>
      </c>
      <c r="Q9" s="247"/>
      <c r="R9" s="248"/>
      <c r="S9" s="248"/>
      <c r="T9" s="248"/>
      <c r="U9" s="249"/>
    </row>
    <row r="10" spans="1:23" x14ac:dyDescent="0.2">
      <c r="A10" s="250">
        <v>1</v>
      </c>
      <c r="B10" s="251">
        <v>1</v>
      </c>
      <c r="C10" s="252">
        <v>3</v>
      </c>
      <c r="D10" s="252" t="str">
        <f>CONCATENATE("Block"," ",B10," ","Lot"," ",C10)</f>
        <v>Block 1 Lot 3</v>
      </c>
      <c r="E10" s="253" t="s">
        <v>0</v>
      </c>
      <c r="F10" s="252">
        <v>985</v>
      </c>
      <c r="G10" s="254">
        <v>12420000</v>
      </c>
      <c r="H10" s="255">
        <f t="shared" ref="H10:H64" si="0">+G10/F10</f>
        <v>12609.137055837564</v>
      </c>
      <c r="I10" s="256">
        <f>+((G10-650000)*1.15)+650000</f>
        <v>14185499.999999998</v>
      </c>
      <c r="J10" s="257" t="s">
        <v>229</v>
      </c>
      <c r="K10" s="258">
        <v>0.05</v>
      </c>
      <c r="L10" s="259">
        <f t="shared" ref="L10:L35" si="1">+(I10-650000)</f>
        <v>13535499.999999998</v>
      </c>
      <c r="M10" s="259">
        <f t="shared" ref="M10:M35" si="2">+L10/F10</f>
        <v>13741.624365482232</v>
      </c>
      <c r="N10" s="259">
        <f t="shared" ref="N10:N64" si="3">+L10-(L10*0%)</f>
        <v>13535499.999999998</v>
      </c>
      <c r="O10" s="260">
        <f>+N10-(N10*K10)</f>
        <v>12858724.999999998</v>
      </c>
      <c r="P10" s="261">
        <f t="shared" ref="P10:P35" si="4">+O10/F10</f>
        <v>13054.54314720812</v>
      </c>
      <c r="Q10" s="262">
        <v>0</v>
      </c>
      <c r="R10" s="263">
        <f t="shared" ref="R10:R65" si="5">+O10-(O10*Q10)</f>
        <v>12858724.999999998</v>
      </c>
      <c r="S10" s="263" t="s">
        <v>228</v>
      </c>
      <c r="T10" s="263">
        <f>+F10</f>
        <v>985</v>
      </c>
      <c r="U10" s="264" t="e">
        <f>+#REF!</f>
        <v>#REF!</v>
      </c>
      <c r="W10" s="265">
        <f>+R10-(R10*V10)</f>
        <v>12858724.999999998</v>
      </c>
    </row>
    <row r="11" spans="1:23" x14ac:dyDescent="0.2">
      <c r="A11" s="250">
        <v>2</v>
      </c>
      <c r="B11" s="266">
        <v>1</v>
      </c>
      <c r="C11" s="267">
        <v>5</v>
      </c>
      <c r="D11" s="267" t="str">
        <f>CONCATENATE("Block"," ",B11," ","Lot"," ",C11)</f>
        <v>Block 1 Lot 5</v>
      </c>
      <c r="E11" s="268" t="s">
        <v>0</v>
      </c>
      <c r="F11" s="267">
        <v>985</v>
      </c>
      <c r="G11" s="269">
        <v>11690000</v>
      </c>
      <c r="H11" s="255">
        <f t="shared" si="0"/>
        <v>11868.020304568528</v>
      </c>
      <c r="I11" s="270">
        <f t="shared" ref="I11:I66" si="6">+((G11-650000)*1.15)+650000</f>
        <v>13345999.999999998</v>
      </c>
      <c r="J11" s="257" t="s">
        <v>229</v>
      </c>
      <c r="K11" s="258">
        <v>0.05</v>
      </c>
      <c r="L11" s="259">
        <f t="shared" si="1"/>
        <v>12695999.999999998</v>
      </c>
      <c r="M11" s="259">
        <f t="shared" si="2"/>
        <v>12889.340101522841</v>
      </c>
      <c r="N11" s="259">
        <f t="shared" si="3"/>
        <v>12695999.999999998</v>
      </c>
      <c r="O11" s="260">
        <f t="shared" ref="O11:O66" si="7">+N11-(N11*K11)</f>
        <v>12061199.999999998</v>
      </c>
      <c r="P11" s="261">
        <f t="shared" si="4"/>
        <v>12244.873096446699</v>
      </c>
      <c r="Q11" s="262"/>
      <c r="R11" s="263">
        <f t="shared" si="5"/>
        <v>12061199.999999998</v>
      </c>
      <c r="S11" s="263"/>
      <c r="T11" s="263"/>
      <c r="U11" s="264"/>
      <c r="W11" s="265">
        <f t="shared" ref="W11:W66" si="8">+R11-(R11*V11)</f>
        <v>12061199.999999998</v>
      </c>
    </row>
    <row r="12" spans="1:23" x14ac:dyDescent="0.2">
      <c r="A12" s="250">
        <v>3</v>
      </c>
      <c r="B12" s="266">
        <v>1</v>
      </c>
      <c r="C12" s="267">
        <v>6</v>
      </c>
      <c r="D12" s="267" t="str">
        <f t="shared" ref="D12:D67" si="9">CONCATENATE("Block"," ",B12," ","Lot"," ",C12)</f>
        <v>Block 1 Lot 6</v>
      </c>
      <c r="E12" s="268" t="s">
        <v>0</v>
      </c>
      <c r="F12" s="267">
        <v>985</v>
      </c>
      <c r="G12" s="269">
        <v>11690000</v>
      </c>
      <c r="H12" s="255">
        <f t="shared" si="0"/>
        <v>11868.020304568528</v>
      </c>
      <c r="I12" s="270">
        <f t="shared" si="6"/>
        <v>13345999.999999998</v>
      </c>
      <c r="J12" s="257" t="s">
        <v>229</v>
      </c>
      <c r="K12" s="258">
        <v>0.05</v>
      </c>
      <c r="L12" s="259">
        <f t="shared" si="1"/>
        <v>12695999.999999998</v>
      </c>
      <c r="M12" s="259">
        <f t="shared" si="2"/>
        <v>12889.340101522841</v>
      </c>
      <c r="N12" s="259">
        <f t="shared" si="3"/>
        <v>12695999.999999998</v>
      </c>
      <c r="O12" s="260">
        <f t="shared" si="7"/>
        <v>12061199.999999998</v>
      </c>
      <c r="P12" s="261">
        <f t="shared" si="4"/>
        <v>12244.873096446699</v>
      </c>
      <c r="Q12" s="262"/>
      <c r="R12" s="263">
        <f t="shared" si="5"/>
        <v>12061199.999999998</v>
      </c>
      <c r="S12" s="263"/>
      <c r="T12" s="263"/>
      <c r="U12" s="264"/>
      <c r="V12" s="258">
        <v>0.02</v>
      </c>
      <c r="W12" s="265">
        <f t="shared" si="8"/>
        <v>11819975.999999998</v>
      </c>
    </row>
    <row r="13" spans="1:23" x14ac:dyDescent="0.2">
      <c r="A13" s="250">
        <v>4</v>
      </c>
      <c r="B13" s="266">
        <v>1</v>
      </c>
      <c r="C13" s="267">
        <v>7</v>
      </c>
      <c r="D13" s="267" t="str">
        <f t="shared" si="9"/>
        <v>Block 1 Lot 7</v>
      </c>
      <c r="E13" s="268" t="s">
        <v>0</v>
      </c>
      <c r="F13" s="267">
        <v>1000</v>
      </c>
      <c r="G13" s="269">
        <v>11850000</v>
      </c>
      <c r="H13" s="255">
        <f t="shared" si="0"/>
        <v>11850</v>
      </c>
      <c r="I13" s="270">
        <f t="shared" si="6"/>
        <v>13529999.999999998</v>
      </c>
      <c r="J13" s="257" t="s">
        <v>228</v>
      </c>
      <c r="K13" s="258">
        <v>0.05</v>
      </c>
      <c r="L13" s="259">
        <f t="shared" si="1"/>
        <v>12879999.999999998</v>
      </c>
      <c r="M13" s="259">
        <f t="shared" si="2"/>
        <v>12879.999999999998</v>
      </c>
      <c r="N13" s="259">
        <f t="shared" si="3"/>
        <v>12879999.999999998</v>
      </c>
      <c r="O13" s="260">
        <f t="shared" si="7"/>
        <v>12235999.999999998</v>
      </c>
      <c r="P13" s="261">
        <f t="shared" si="4"/>
        <v>12235.999999999998</v>
      </c>
      <c r="Q13" s="262"/>
      <c r="R13" s="263">
        <f t="shared" si="5"/>
        <v>12235999.999999998</v>
      </c>
      <c r="S13" s="263"/>
      <c r="T13" s="263"/>
      <c r="U13" s="264"/>
      <c r="W13" s="265">
        <f t="shared" si="8"/>
        <v>12235999.999999998</v>
      </c>
    </row>
    <row r="14" spans="1:23" x14ac:dyDescent="0.2">
      <c r="A14" s="250">
        <v>5</v>
      </c>
      <c r="B14" s="266">
        <v>2</v>
      </c>
      <c r="C14" s="267">
        <v>1</v>
      </c>
      <c r="D14" s="267" t="str">
        <f t="shared" si="9"/>
        <v>Block 2 Lot 1</v>
      </c>
      <c r="E14" s="268" t="s">
        <v>0</v>
      </c>
      <c r="F14" s="267">
        <v>911</v>
      </c>
      <c r="G14" s="269">
        <v>11400000</v>
      </c>
      <c r="H14" s="255">
        <f t="shared" si="0"/>
        <v>12513.721185510429</v>
      </c>
      <c r="I14" s="270">
        <f t="shared" si="6"/>
        <v>13012499.999999998</v>
      </c>
      <c r="J14" s="257" t="s">
        <v>229</v>
      </c>
      <c r="K14" s="258">
        <v>0.05</v>
      </c>
      <c r="L14" s="259">
        <f t="shared" si="1"/>
        <v>12362499.999999998</v>
      </c>
      <c r="M14" s="259">
        <f t="shared" si="2"/>
        <v>13570.252469813389</v>
      </c>
      <c r="N14" s="259">
        <f t="shared" si="3"/>
        <v>12362499.999999998</v>
      </c>
      <c r="O14" s="260">
        <f t="shared" si="7"/>
        <v>11744374.999999998</v>
      </c>
      <c r="P14" s="261">
        <f t="shared" si="4"/>
        <v>12891.73984632272</v>
      </c>
      <c r="Q14" s="262">
        <v>0</v>
      </c>
      <c r="R14" s="263">
        <f t="shared" si="5"/>
        <v>11744374.999999998</v>
      </c>
      <c r="S14" s="263" t="s">
        <v>228</v>
      </c>
      <c r="T14" s="263">
        <f>+F14</f>
        <v>911</v>
      </c>
      <c r="U14" s="264" t="e">
        <f>+#REF!</f>
        <v>#REF!</v>
      </c>
      <c r="W14" s="265">
        <f t="shared" si="8"/>
        <v>11744374.999999998</v>
      </c>
    </row>
    <row r="15" spans="1:23" x14ac:dyDescent="0.2">
      <c r="A15" s="250">
        <v>6</v>
      </c>
      <c r="B15" s="266">
        <v>2</v>
      </c>
      <c r="C15" s="267">
        <v>2</v>
      </c>
      <c r="D15" s="267" t="str">
        <f t="shared" si="9"/>
        <v>Block 2 Lot 2</v>
      </c>
      <c r="E15" s="268" t="s">
        <v>0</v>
      </c>
      <c r="F15" s="267">
        <v>911</v>
      </c>
      <c r="G15" s="269">
        <v>10860000</v>
      </c>
      <c r="H15" s="255">
        <f t="shared" si="0"/>
        <v>11920.965971459935</v>
      </c>
      <c r="I15" s="270">
        <f t="shared" si="6"/>
        <v>12391500</v>
      </c>
      <c r="J15" s="257" t="s">
        <v>229</v>
      </c>
      <c r="K15" s="258">
        <v>0.05</v>
      </c>
      <c r="L15" s="259">
        <f t="shared" si="1"/>
        <v>11741500</v>
      </c>
      <c r="M15" s="259">
        <f t="shared" si="2"/>
        <v>12888.583973655324</v>
      </c>
      <c r="N15" s="259">
        <f t="shared" si="3"/>
        <v>11741500</v>
      </c>
      <c r="O15" s="260">
        <f t="shared" si="7"/>
        <v>11154425</v>
      </c>
      <c r="P15" s="261">
        <f t="shared" si="4"/>
        <v>12244.154774972558</v>
      </c>
      <c r="Q15" s="262"/>
      <c r="R15" s="263">
        <f t="shared" si="5"/>
        <v>11154425</v>
      </c>
      <c r="S15" s="263"/>
      <c r="T15" s="263"/>
      <c r="U15" s="264"/>
      <c r="W15" s="265">
        <f t="shared" si="8"/>
        <v>11154425</v>
      </c>
    </row>
    <row r="16" spans="1:23" x14ac:dyDescent="0.2">
      <c r="A16" s="250">
        <v>7</v>
      </c>
      <c r="B16" s="266">
        <v>2</v>
      </c>
      <c r="C16" s="267">
        <v>3</v>
      </c>
      <c r="D16" s="267" t="str">
        <f t="shared" si="9"/>
        <v>Block 2 Lot 3</v>
      </c>
      <c r="E16" s="268" t="s">
        <v>0</v>
      </c>
      <c r="F16" s="267">
        <v>1001</v>
      </c>
      <c r="G16" s="269">
        <v>13360000</v>
      </c>
      <c r="H16" s="255">
        <f t="shared" si="0"/>
        <v>13346.653346653347</v>
      </c>
      <c r="I16" s="270">
        <f t="shared" si="6"/>
        <v>15266499.999999998</v>
      </c>
      <c r="J16" s="257" t="s">
        <v>229</v>
      </c>
      <c r="K16" s="258">
        <v>0.05</v>
      </c>
      <c r="L16" s="259">
        <f t="shared" si="1"/>
        <v>14616499.999999998</v>
      </c>
      <c r="M16" s="259">
        <f t="shared" si="2"/>
        <v>14601.898101898099</v>
      </c>
      <c r="N16" s="259">
        <f t="shared" si="3"/>
        <v>14616499.999999998</v>
      </c>
      <c r="O16" s="260">
        <f t="shared" si="7"/>
        <v>13885674.999999998</v>
      </c>
      <c r="P16" s="261">
        <f t="shared" si="4"/>
        <v>13871.803196803196</v>
      </c>
      <c r="Q16" s="262">
        <v>0</v>
      </c>
      <c r="R16" s="263">
        <f t="shared" si="5"/>
        <v>13885674.999999998</v>
      </c>
      <c r="S16" s="263" t="s">
        <v>228</v>
      </c>
      <c r="T16" s="263">
        <f>+F16</f>
        <v>1001</v>
      </c>
      <c r="U16" s="264" t="e">
        <f>+#REF!</f>
        <v>#REF!</v>
      </c>
      <c r="W16" s="265">
        <f t="shared" si="8"/>
        <v>13885674.999999998</v>
      </c>
    </row>
    <row r="17" spans="1:23" x14ac:dyDescent="0.2">
      <c r="A17" s="250">
        <v>8</v>
      </c>
      <c r="B17" s="266">
        <v>2</v>
      </c>
      <c r="C17" s="267">
        <v>5</v>
      </c>
      <c r="D17" s="267" t="str">
        <f t="shared" si="9"/>
        <v>Block 2 Lot 5</v>
      </c>
      <c r="E17" s="268" t="s">
        <v>0</v>
      </c>
      <c r="F17" s="267">
        <v>905</v>
      </c>
      <c r="G17" s="269">
        <v>11800000</v>
      </c>
      <c r="H17" s="255">
        <f t="shared" si="0"/>
        <v>13038.674033149171</v>
      </c>
      <c r="I17" s="270">
        <f t="shared" si="6"/>
        <v>13472499.999999998</v>
      </c>
      <c r="J17" s="257" t="s">
        <v>229</v>
      </c>
      <c r="K17" s="258">
        <v>0.05</v>
      </c>
      <c r="L17" s="259">
        <f t="shared" si="1"/>
        <v>12822499.999999998</v>
      </c>
      <c r="M17" s="259">
        <f t="shared" si="2"/>
        <v>14168.508287292816</v>
      </c>
      <c r="N17" s="259">
        <f t="shared" si="3"/>
        <v>12822499.999999998</v>
      </c>
      <c r="O17" s="260">
        <f t="shared" si="7"/>
        <v>12181374.999999998</v>
      </c>
      <c r="P17" s="261">
        <f t="shared" si="4"/>
        <v>13460.082872928175</v>
      </c>
      <c r="Q17" s="262"/>
      <c r="R17" s="263">
        <f t="shared" si="5"/>
        <v>12181374.999999998</v>
      </c>
      <c r="S17" s="263"/>
      <c r="T17" s="263"/>
      <c r="U17" s="264"/>
      <c r="V17" s="258">
        <v>0.02</v>
      </c>
      <c r="W17" s="265">
        <f t="shared" si="8"/>
        <v>11937747.499999998</v>
      </c>
    </row>
    <row r="18" spans="1:23" x14ac:dyDescent="0.2">
      <c r="A18" s="250">
        <v>9</v>
      </c>
      <c r="B18" s="266">
        <v>2</v>
      </c>
      <c r="C18" s="267">
        <v>6</v>
      </c>
      <c r="D18" s="267" t="str">
        <f t="shared" si="9"/>
        <v>Block 2 Lot 6</v>
      </c>
      <c r="E18" s="268" t="s">
        <v>0</v>
      </c>
      <c r="F18" s="267">
        <v>910</v>
      </c>
      <c r="G18" s="269">
        <v>11870000</v>
      </c>
      <c r="H18" s="255">
        <f t="shared" si="0"/>
        <v>13043.956043956045</v>
      </c>
      <c r="I18" s="270">
        <f t="shared" si="6"/>
        <v>13552999.999999998</v>
      </c>
      <c r="J18" s="257" t="s">
        <v>229</v>
      </c>
      <c r="K18" s="258">
        <v>0.05</v>
      </c>
      <c r="L18" s="259">
        <f t="shared" si="1"/>
        <v>12902999.999999998</v>
      </c>
      <c r="M18" s="259">
        <f t="shared" si="2"/>
        <v>14179.120879120877</v>
      </c>
      <c r="N18" s="259">
        <f t="shared" si="3"/>
        <v>12902999.999999998</v>
      </c>
      <c r="O18" s="260">
        <f t="shared" si="7"/>
        <v>12257849.999999998</v>
      </c>
      <c r="P18" s="261">
        <f t="shared" si="4"/>
        <v>13470.164835164833</v>
      </c>
      <c r="Q18" s="262"/>
      <c r="R18" s="263">
        <f t="shared" si="5"/>
        <v>12257849.999999998</v>
      </c>
      <c r="S18" s="263"/>
      <c r="T18" s="263"/>
      <c r="U18" s="264"/>
      <c r="W18" s="265">
        <f t="shared" si="8"/>
        <v>12257849.999999998</v>
      </c>
    </row>
    <row r="19" spans="1:23" x14ac:dyDescent="0.2">
      <c r="A19" s="250">
        <v>10</v>
      </c>
      <c r="B19" s="266">
        <v>2</v>
      </c>
      <c r="C19" s="267">
        <v>7</v>
      </c>
      <c r="D19" s="267" t="str">
        <f t="shared" si="9"/>
        <v>Block 2 Lot 7</v>
      </c>
      <c r="E19" s="268" t="s">
        <v>0</v>
      </c>
      <c r="F19" s="267">
        <v>910</v>
      </c>
      <c r="G19" s="269">
        <v>11530000</v>
      </c>
      <c r="H19" s="255">
        <f t="shared" si="0"/>
        <v>12670.329670329671</v>
      </c>
      <c r="I19" s="270">
        <f t="shared" si="6"/>
        <v>13161999.999999998</v>
      </c>
      <c r="J19" s="257" t="s">
        <v>229</v>
      </c>
      <c r="K19" s="258">
        <v>0.05</v>
      </c>
      <c r="L19" s="259">
        <f t="shared" si="1"/>
        <v>12511999.999999998</v>
      </c>
      <c r="M19" s="259">
        <f t="shared" si="2"/>
        <v>13749.450549450547</v>
      </c>
      <c r="N19" s="259">
        <f t="shared" si="3"/>
        <v>12511999.999999998</v>
      </c>
      <c r="O19" s="260">
        <f t="shared" si="7"/>
        <v>11886399.999999998</v>
      </c>
      <c r="P19" s="261">
        <f t="shared" si="4"/>
        <v>13061.97802197802</v>
      </c>
      <c r="Q19" s="262"/>
      <c r="R19" s="263">
        <f t="shared" si="5"/>
        <v>11886399.999999998</v>
      </c>
      <c r="S19" s="263"/>
      <c r="T19" s="263"/>
      <c r="U19" s="264"/>
      <c r="W19" s="265">
        <f t="shared" si="8"/>
        <v>11886399.999999998</v>
      </c>
    </row>
    <row r="20" spans="1:23" x14ac:dyDescent="0.2">
      <c r="A20" s="250">
        <v>11</v>
      </c>
      <c r="B20" s="266">
        <v>2</v>
      </c>
      <c r="C20" s="267">
        <v>8</v>
      </c>
      <c r="D20" s="267" t="str">
        <f t="shared" si="9"/>
        <v>Block 2 Lot 8</v>
      </c>
      <c r="E20" s="268" t="s">
        <v>0</v>
      </c>
      <c r="F20" s="267">
        <v>1000</v>
      </c>
      <c r="G20" s="269">
        <v>12750000</v>
      </c>
      <c r="H20" s="255">
        <f t="shared" si="0"/>
        <v>12750</v>
      </c>
      <c r="I20" s="270">
        <f t="shared" si="6"/>
        <v>14564999.999999998</v>
      </c>
      <c r="J20" s="257" t="s">
        <v>229</v>
      </c>
      <c r="K20" s="258">
        <v>0.05</v>
      </c>
      <c r="L20" s="259">
        <f t="shared" si="1"/>
        <v>13914999.999999998</v>
      </c>
      <c r="M20" s="259">
        <f t="shared" si="2"/>
        <v>13914.999999999998</v>
      </c>
      <c r="N20" s="259">
        <f t="shared" si="3"/>
        <v>13914999.999999998</v>
      </c>
      <c r="O20" s="260">
        <f t="shared" si="7"/>
        <v>13219249.999999998</v>
      </c>
      <c r="P20" s="261">
        <f t="shared" si="4"/>
        <v>13219.249999999998</v>
      </c>
      <c r="Q20" s="262">
        <v>0</v>
      </c>
      <c r="R20" s="263">
        <f t="shared" si="5"/>
        <v>13219249.999999998</v>
      </c>
      <c r="S20" s="263" t="s">
        <v>228</v>
      </c>
      <c r="T20" s="263">
        <f>+F20</f>
        <v>1000</v>
      </c>
      <c r="U20" s="264" t="e">
        <f>+#REF!</f>
        <v>#REF!</v>
      </c>
      <c r="W20" s="265">
        <f t="shared" si="8"/>
        <v>13219249.999999998</v>
      </c>
    </row>
    <row r="21" spans="1:23" x14ac:dyDescent="0.2">
      <c r="A21" s="250">
        <v>12</v>
      </c>
      <c r="B21" s="266">
        <v>2</v>
      </c>
      <c r="C21" s="267">
        <v>9</v>
      </c>
      <c r="D21" s="267" t="str">
        <f t="shared" si="9"/>
        <v>Block 2 Lot 9</v>
      </c>
      <c r="E21" s="268" t="s">
        <v>0</v>
      </c>
      <c r="F21" s="267">
        <v>905</v>
      </c>
      <c r="G21" s="269">
        <v>10790000</v>
      </c>
      <c r="H21" s="255">
        <f t="shared" si="0"/>
        <v>11922.651933701658</v>
      </c>
      <c r="I21" s="270">
        <f t="shared" si="6"/>
        <v>12311000</v>
      </c>
      <c r="J21" s="257" t="s">
        <v>229</v>
      </c>
      <c r="K21" s="258">
        <v>0.05</v>
      </c>
      <c r="L21" s="259">
        <f t="shared" si="1"/>
        <v>11661000</v>
      </c>
      <c r="M21" s="259">
        <f t="shared" si="2"/>
        <v>12885.082872928177</v>
      </c>
      <c r="N21" s="259">
        <f t="shared" si="3"/>
        <v>11661000</v>
      </c>
      <c r="O21" s="260">
        <f t="shared" si="7"/>
        <v>11077950</v>
      </c>
      <c r="P21" s="261">
        <f t="shared" si="4"/>
        <v>12240.828729281768</v>
      </c>
      <c r="Q21" s="262"/>
      <c r="R21" s="263">
        <f t="shared" si="5"/>
        <v>11077950</v>
      </c>
      <c r="S21" s="263"/>
      <c r="T21" s="263"/>
      <c r="U21" s="264"/>
      <c r="W21" s="265">
        <f t="shared" si="8"/>
        <v>11077950</v>
      </c>
    </row>
    <row r="22" spans="1:23" x14ac:dyDescent="0.2">
      <c r="A22" s="250">
        <v>13</v>
      </c>
      <c r="B22" s="266">
        <v>2</v>
      </c>
      <c r="C22" s="267">
        <v>10</v>
      </c>
      <c r="D22" s="267" t="str">
        <f t="shared" si="9"/>
        <v>Block 2 Lot 10</v>
      </c>
      <c r="E22" s="268" t="s">
        <v>0</v>
      </c>
      <c r="F22" s="267">
        <v>975</v>
      </c>
      <c r="G22" s="269">
        <v>11570000</v>
      </c>
      <c r="H22" s="255">
        <f t="shared" si="0"/>
        <v>11866.666666666666</v>
      </c>
      <c r="I22" s="270">
        <f t="shared" si="6"/>
        <v>13207999.999999998</v>
      </c>
      <c r="J22" s="257" t="s">
        <v>229</v>
      </c>
      <c r="K22" s="258">
        <v>0.05</v>
      </c>
      <c r="L22" s="259">
        <f t="shared" si="1"/>
        <v>12557999.999999998</v>
      </c>
      <c r="M22" s="259">
        <f t="shared" si="2"/>
        <v>12879.999999999998</v>
      </c>
      <c r="N22" s="259">
        <f t="shared" si="3"/>
        <v>12557999.999999998</v>
      </c>
      <c r="O22" s="260">
        <f t="shared" si="7"/>
        <v>11930099.999999998</v>
      </c>
      <c r="P22" s="261">
        <f t="shared" si="4"/>
        <v>12235.999999999998</v>
      </c>
      <c r="Q22" s="262"/>
      <c r="R22" s="263">
        <f t="shared" si="5"/>
        <v>11930099.999999998</v>
      </c>
      <c r="S22" s="263"/>
      <c r="T22" s="263"/>
      <c r="U22" s="264"/>
      <c r="W22" s="265">
        <f t="shared" si="8"/>
        <v>11930099.999999998</v>
      </c>
    </row>
    <row r="23" spans="1:23" x14ac:dyDescent="0.2">
      <c r="A23" s="250">
        <v>14</v>
      </c>
      <c r="B23" s="266">
        <v>2</v>
      </c>
      <c r="C23" s="267">
        <v>12</v>
      </c>
      <c r="D23" s="267" t="str">
        <f t="shared" si="9"/>
        <v>Block 2 Lot 12</v>
      </c>
      <c r="E23" s="268" t="s">
        <v>0</v>
      </c>
      <c r="F23" s="267">
        <v>970</v>
      </c>
      <c r="G23" s="269">
        <v>11520000</v>
      </c>
      <c r="H23" s="255">
        <f t="shared" si="0"/>
        <v>11876.288659793814</v>
      </c>
      <c r="I23" s="270">
        <f t="shared" si="6"/>
        <v>13150499.999999998</v>
      </c>
      <c r="J23" s="257" t="s">
        <v>229</v>
      </c>
      <c r="K23" s="258">
        <v>0.05</v>
      </c>
      <c r="L23" s="259">
        <f t="shared" si="1"/>
        <v>12500499.999999998</v>
      </c>
      <c r="M23" s="259">
        <f t="shared" si="2"/>
        <v>12887.113402061854</v>
      </c>
      <c r="N23" s="259">
        <f t="shared" si="3"/>
        <v>12500499.999999998</v>
      </c>
      <c r="O23" s="260">
        <f t="shared" si="7"/>
        <v>11875474.999999998</v>
      </c>
      <c r="P23" s="261">
        <f t="shared" si="4"/>
        <v>12242.757731958762</v>
      </c>
      <c r="Q23" s="262">
        <v>0</v>
      </c>
      <c r="R23" s="263">
        <f t="shared" si="5"/>
        <v>11875474.999999998</v>
      </c>
      <c r="S23" s="263" t="s">
        <v>228</v>
      </c>
      <c r="T23" s="263">
        <f>+F23</f>
        <v>970</v>
      </c>
      <c r="U23" s="264" t="e">
        <f>+#REF!</f>
        <v>#REF!</v>
      </c>
      <c r="W23" s="265">
        <f t="shared" si="8"/>
        <v>11875474.999999998</v>
      </c>
    </row>
    <row r="24" spans="1:23" x14ac:dyDescent="0.2">
      <c r="A24" s="250">
        <v>15</v>
      </c>
      <c r="B24" s="266">
        <v>2</v>
      </c>
      <c r="C24" s="267">
        <v>15</v>
      </c>
      <c r="D24" s="267" t="str">
        <f t="shared" si="9"/>
        <v>Block 2 Lot 15</v>
      </c>
      <c r="E24" s="268" t="s">
        <v>0</v>
      </c>
      <c r="F24" s="267">
        <v>970</v>
      </c>
      <c r="G24" s="269">
        <v>11520000</v>
      </c>
      <c r="H24" s="255">
        <f t="shared" si="0"/>
        <v>11876.288659793814</v>
      </c>
      <c r="I24" s="270">
        <f t="shared" si="6"/>
        <v>13150499.999999998</v>
      </c>
      <c r="J24" s="257" t="s">
        <v>229</v>
      </c>
      <c r="K24" s="258">
        <v>0.05</v>
      </c>
      <c r="L24" s="259">
        <f t="shared" si="1"/>
        <v>12500499.999999998</v>
      </c>
      <c r="M24" s="259">
        <f t="shared" si="2"/>
        <v>12887.113402061854</v>
      </c>
      <c r="N24" s="259">
        <f t="shared" si="3"/>
        <v>12500499.999999998</v>
      </c>
      <c r="O24" s="260">
        <f t="shared" si="7"/>
        <v>11875474.999999998</v>
      </c>
      <c r="P24" s="261">
        <f t="shared" si="4"/>
        <v>12242.757731958762</v>
      </c>
      <c r="Q24" s="262">
        <v>0</v>
      </c>
      <c r="R24" s="263">
        <f t="shared" si="5"/>
        <v>11875474.999999998</v>
      </c>
      <c r="S24" s="263" t="s">
        <v>228</v>
      </c>
      <c r="T24" s="263">
        <f>+F24</f>
        <v>970</v>
      </c>
      <c r="U24" s="264" t="e">
        <f>+#REF!</f>
        <v>#REF!</v>
      </c>
      <c r="V24" s="258">
        <v>0.02</v>
      </c>
      <c r="W24" s="265">
        <f t="shared" si="8"/>
        <v>11637965.499999998</v>
      </c>
    </row>
    <row r="25" spans="1:23" x14ac:dyDescent="0.2">
      <c r="A25" s="250">
        <v>16</v>
      </c>
      <c r="B25" s="266">
        <v>2</v>
      </c>
      <c r="C25" s="267">
        <v>16</v>
      </c>
      <c r="D25" s="267" t="str">
        <f t="shared" si="9"/>
        <v>Block 2 Lot 16</v>
      </c>
      <c r="E25" s="268" t="s">
        <v>0</v>
      </c>
      <c r="F25" s="267">
        <v>970</v>
      </c>
      <c r="G25" s="269">
        <v>12240000</v>
      </c>
      <c r="H25" s="255">
        <f t="shared" si="0"/>
        <v>12618.556701030928</v>
      </c>
      <c r="I25" s="270">
        <f t="shared" si="6"/>
        <v>13978499.999999998</v>
      </c>
      <c r="J25" s="257" t="s">
        <v>229</v>
      </c>
      <c r="K25" s="258">
        <v>0.05</v>
      </c>
      <c r="L25" s="259">
        <f t="shared" si="1"/>
        <v>13328499.999999998</v>
      </c>
      <c r="M25" s="259">
        <f t="shared" si="2"/>
        <v>13740.721649484534</v>
      </c>
      <c r="N25" s="259">
        <f t="shared" si="3"/>
        <v>13328499.999999998</v>
      </c>
      <c r="O25" s="260">
        <f t="shared" si="7"/>
        <v>12662074.999999998</v>
      </c>
      <c r="P25" s="261">
        <f t="shared" si="4"/>
        <v>13053.685567010307</v>
      </c>
      <c r="Q25" s="262"/>
      <c r="R25" s="263">
        <f t="shared" si="5"/>
        <v>12662074.999999998</v>
      </c>
      <c r="S25" s="263"/>
      <c r="T25" s="263"/>
      <c r="U25" s="264"/>
      <c r="W25" s="265">
        <f t="shared" si="8"/>
        <v>12662074.999999998</v>
      </c>
    </row>
    <row r="26" spans="1:23" x14ac:dyDescent="0.2">
      <c r="A26" s="250">
        <v>17</v>
      </c>
      <c r="B26" s="266">
        <v>3</v>
      </c>
      <c r="C26" s="267">
        <v>1</v>
      </c>
      <c r="D26" s="267" t="str">
        <f t="shared" si="9"/>
        <v>Block 3 Lot 1</v>
      </c>
      <c r="E26" s="268" t="s">
        <v>0</v>
      </c>
      <c r="F26" s="267">
        <v>1000</v>
      </c>
      <c r="G26" s="269">
        <v>14090000</v>
      </c>
      <c r="H26" s="255">
        <f t="shared" si="0"/>
        <v>14090</v>
      </c>
      <c r="I26" s="270">
        <f t="shared" si="6"/>
        <v>16105999.999999998</v>
      </c>
      <c r="J26" s="257" t="s">
        <v>229</v>
      </c>
      <c r="K26" s="258">
        <v>0.05</v>
      </c>
      <c r="L26" s="259">
        <f t="shared" si="1"/>
        <v>15455999.999999998</v>
      </c>
      <c r="M26" s="259">
        <f t="shared" si="2"/>
        <v>15455.999999999998</v>
      </c>
      <c r="N26" s="259">
        <f t="shared" si="3"/>
        <v>15455999.999999998</v>
      </c>
      <c r="O26" s="260">
        <f t="shared" si="7"/>
        <v>14683199.999999998</v>
      </c>
      <c r="P26" s="261">
        <f t="shared" si="4"/>
        <v>14683.199999999999</v>
      </c>
      <c r="Q26" s="262"/>
      <c r="R26" s="263">
        <f t="shared" si="5"/>
        <v>14683199.999999998</v>
      </c>
      <c r="S26" s="263"/>
      <c r="T26" s="263"/>
      <c r="U26" s="264"/>
      <c r="W26" s="265">
        <f t="shared" si="8"/>
        <v>14683199.999999998</v>
      </c>
    </row>
    <row r="27" spans="1:23" x14ac:dyDescent="0.2">
      <c r="A27" s="250">
        <v>18</v>
      </c>
      <c r="B27" s="266">
        <v>3</v>
      </c>
      <c r="C27" s="267">
        <v>2</v>
      </c>
      <c r="D27" s="267" t="str">
        <f t="shared" si="9"/>
        <v>Block 3 Lot 2</v>
      </c>
      <c r="E27" s="268" t="s">
        <v>0</v>
      </c>
      <c r="F27" s="267">
        <v>900</v>
      </c>
      <c r="G27" s="269">
        <v>12750000</v>
      </c>
      <c r="H27" s="255">
        <f t="shared" si="0"/>
        <v>14166.666666666666</v>
      </c>
      <c r="I27" s="270">
        <f t="shared" si="6"/>
        <v>14564999.999999998</v>
      </c>
      <c r="J27" s="257" t="s">
        <v>229</v>
      </c>
      <c r="K27" s="258">
        <v>0.05</v>
      </c>
      <c r="L27" s="259">
        <f t="shared" si="1"/>
        <v>13914999.999999998</v>
      </c>
      <c r="M27" s="259">
        <f t="shared" si="2"/>
        <v>15461.111111111109</v>
      </c>
      <c r="N27" s="259">
        <f t="shared" si="3"/>
        <v>13914999.999999998</v>
      </c>
      <c r="O27" s="260">
        <f t="shared" si="7"/>
        <v>13219249.999999998</v>
      </c>
      <c r="P27" s="261">
        <f t="shared" si="4"/>
        <v>14688.055555555553</v>
      </c>
      <c r="Q27" s="262"/>
      <c r="R27" s="263">
        <f t="shared" si="5"/>
        <v>13219249.999999998</v>
      </c>
      <c r="S27" s="263"/>
      <c r="T27" s="263"/>
      <c r="U27" s="264"/>
      <c r="W27" s="265">
        <f t="shared" si="8"/>
        <v>13219249.999999998</v>
      </c>
    </row>
    <row r="28" spans="1:23" x14ac:dyDescent="0.2">
      <c r="A28" s="250">
        <v>19</v>
      </c>
      <c r="B28" s="266">
        <v>3</v>
      </c>
      <c r="C28" s="267">
        <v>3</v>
      </c>
      <c r="D28" s="267" t="str">
        <f t="shared" si="9"/>
        <v>Block 3 Lot 3</v>
      </c>
      <c r="E28" s="268" t="s">
        <v>0</v>
      </c>
      <c r="F28" s="267">
        <v>900</v>
      </c>
      <c r="G28" s="269">
        <v>12750000</v>
      </c>
      <c r="H28" s="255">
        <f t="shared" si="0"/>
        <v>14166.666666666666</v>
      </c>
      <c r="I28" s="270">
        <f t="shared" si="6"/>
        <v>14564999.999999998</v>
      </c>
      <c r="J28" s="257" t="s">
        <v>229</v>
      </c>
      <c r="K28" s="258">
        <v>0.05</v>
      </c>
      <c r="L28" s="259">
        <f t="shared" si="1"/>
        <v>13914999.999999998</v>
      </c>
      <c r="M28" s="259">
        <f t="shared" si="2"/>
        <v>15461.111111111109</v>
      </c>
      <c r="N28" s="259">
        <f t="shared" si="3"/>
        <v>13914999.999999998</v>
      </c>
      <c r="O28" s="260">
        <f t="shared" si="7"/>
        <v>13219249.999999998</v>
      </c>
      <c r="P28" s="261">
        <f t="shared" si="4"/>
        <v>14688.055555555553</v>
      </c>
      <c r="Q28" s="262"/>
      <c r="R28" s="263">
        <f t="shared" si="5"/>
        <v>13219249.999999998</v>
      </c>
      <c r="S28" s="263"/>
      <c r="T28" s="263"/>
      <c r="U28" s="264"/>
      <c r="W28" s="265">
        <f t="shared" si="8"/>
        <v>13219249.999999998</v>
      </c>
    </row>
    <row r="29" spans="1:23" x14ac:dyDescent="0.2">
      <c r="A29" s="250">
        <v>20</v>
      </c>
      <c r="B29" s="266">
        <v>3</v>
      </c>
      <c r="C29" s="267">
        <v>5</v>
      </c>
      <c r="D29" s="267" t="str">
        <f t="shared" si="9"/>
        <v>Block 3 Lot 5</v>
      </c>
      <c r="E29" s="268" t="s">
        <v>0</v>
      </c>
      <c r="F29" s="267">
        <v>999</v>
      </c>
      <c r="G29" s="269">
        <v>13190000</v>
      </c>
      <c r="H29" s="255">
        <f t="shared" si="0"/>
        <v>13203.203203203204</v>
      </c>
      <c r="I29" s="270">
        <f t="shared" si="6"/>
        <v>15070999.999999998</v>
      </c>
      <c r="J29" s="257" t="s">
        <v>229</v>
      </c>
      <c r="K29" s="258">
        <v>0.05</v>
      </c>
      <c r="L29" s="259">
        <f t="shared" si="1"/>
        <v>14420999.999999998</v>
      </c>
      <c r="M29" s="259">
        <f t="shared" si="2"/>
        <v>14435.435435435433</v>
      </c>
      <c r="N29" s="259">
        <f t="shared" si="3"/>
        <v>14420999.999999998</v>
      </c>
      <c r="O29" s="260">
        <f t="shared" si="7"/>
        <v>13699949.999999998</v>
      </c>
      <c r="P29" s="261">
        <f t="shared" si="4"/>
        <v>13713.663663663661</v>
      </c>
      <c r="Q29" s="262"/>
      <c r="R29" s="263">
        <f t="shared" si="5"/>
        <v>13699949.999999998</v>
      </c>
      <c r="S29" s="263"/>
      <c r="T29" s="263"/>
      <c r="U29" s="264"/>
      <c r="W29" s="265">
        <f t="shared" si="8"/>
        <v>13699949.999999998</v>
      </c>
    </row>
    <row r="30" spans="1:23" x14ac:dyDescent="0.2">
      <c r="A30" s="250">
        <v>21</v>
      </c>
      <c r="B30" s="266">
        <v>3</v>
      </c>
      <c r="C30" s="267">
        <v>6</v>
      </c>
      <c r="D30" s="267" t="str">
        <f t="shared" si="9"/>
        <v>Block 3 Lot 6</v>
      </c>
      <c r="E30" s="268" t="s">
        <v>0</v>
      </c>
      <c r="F30" s="267">
        <v>825</v>
      </c>
      <c r="G30" s="269">
        <v>10390000</v>
      </c>
      <c r="H30" s="255">
        <f t="shared" si="0"/>
        <v>12593.939393939394</v>
      </c>
      <c r="I30" s="270">
        <f t="shared" si="6"/>
        <v>11851000</v>
      </c>
      <c r="J30" s="257" t="s">
        <v>229</v>
      </c>
      <c r="K30" s="258">
        <v>0.05</v>
      </c>
      <c r="L30" s="259">
        <f t="shared" si="1"/>
        <v>11201000</v>
      </c>
      <c r="M30" s="259">
        <f t="shared" si="2"/>
        <v>13576.969696969696</v>
      </c>
      <c r="N30" s="259">
        <f t="shared" si="3"/>
        <v>11201000</v>
      </c>
      <c r="O30" s="260">
        <f t="shared" si="7"/>
        <v>10640950</v>
      </c>
      <c r="P30" s="261">
        <f t="shared" si="4"/>
        <v>12898.121212121212</v>
      </c>
      <c r="Q30" s="262">
        <v>0</v>
      </c>
      <c r="R30" s="263">
        <f t="shared" si="5"/>
        <v>10640950</v>
      </c>
      <c r="S30" s="263" t="s">
        <v>228</v>
      </c>
      <c r="T30" s="263">
        <f>+F30</f>
        <v>825</v>
      </c>
      <c r="U30" s="264" t="e">
        <f>+#REF!</f>
        <v>#REF!</v>
      </c>
      <c r="W30" s="265">
        <f t="shared" si="8"/>
        <v>10640950</v>
      </c>
    </row>
    <row r="31" spans="1:23" x14ac:dyDescent="0.2">
      <c r="A31" s="250">
        <v>22</v>
      </c>
      <c r="B31" s="266">
        <v>3</v>
      </c>
      <c r="C31" s="267">
        <v>8</v>
      </c>
      <c r="D31" s="267" t="str">
        <f t="shared" si="9"/>
        <v>Block 3 Lot 8</v>
      </c>
      <c r="E31" s="268" t="s">
        <v>0</v>
      </c>
      <c r="F31" s="267">
        <v>900</v>
      </c>
      <c r="G31" s="269">
        <v>12350000</v>
      </c>
      <c r="H31" s="255">
        <f t="shared" si="0"/>
        <v>13722.222222222223</v>
      </c>
      <c r="I31" s="270">
        <f t="shared" si="6"/>
        <v>14104999.999999998</v>
      </c>
      <c r="J31" s="257" t="s">
        <v>229</v>
      </c>
      <c r="K31" s="258">
        <v>0.05</v>
      </c>
      <c r="L31" s="259">
        <f t="shared" si="1"/>
        <v>13454999.999999998</v>
      </c>
      <c r="M31" s="259">
        <f t="shared" si="2"/>
        <v>14949.999999999998</v>
      </c>
      <c r="N31" s="259">
        <f t="shared" si="3"/>
        <v>13454999.999999998</v>
      </c>
      <c r="O31" s="260">
        <f t="shared" si="7"/>
        <v>12782249.999999998</v>
      </c>
      <c r="P31" s="261">
        <f t="shared" si="4"/>
        <v>14202.499999999998</v>
      </c>
      <c r="Q31" s="262">
        <v>0.02</v>
      </c>
      <c r="R31" s="263">
        <f t="shared" si="5"/>
        <v>12526604.999999998</v>
      </c>
      <c r="S31" s="263" t="s">
        <v>228</v>
      </c>
      <c r="T31" s="263">
        <f>+F31</f>
        <v>900</v>
      </c>
      <c r="U31" s="264" t="e">
        <f>+#REF!</f>
        <v>#REF!</v>
      </c>
      <c r="W31" s="265">
        <f t="shared" si="8"/>
        <v>12526604.999999998</v>
      </c>
    </row>
    <row r="32" spans="1:23" x14ac:dyDescent="0.2">
      <c r="A32" s="250">
        <v>23</v>
      </c>
      <c r="B32" s="266">
        <v>3</v>
      </c>
      <c r="C32" s="267">
        <v>9</v>
      </c>
      <c r="D32" s="267" t="str">
        <f t="shared" si="9"/>
        <v>Block 3 Lot 9</v>
      </c>
      <c r="E32" s="268" t="s">
        <v>0</v>
      </c>
      <c r="F32" s="267">
        <v>900</v>
      </c>
      <c r="G32" s="269">
        <v>12080000</v>
      </c>
      <c r="H32" s="255">
        <f t="shared" si="0"/>
        <v>13422.222222222223</v>
      </c>
      <c r="I32" s="270">
        <f t="shared" si="6"/>
        <v>13794499.999999998</v>
      </c>
      <c r="J32" s="257" t="s">
        <v>229</v>
      </c>
      <c r="K32" s="258">
        <v>0.05</v>
      </c>
      <c r="L32" s="259">
        <f t="shared" si="1"/>
        <v>13144499.999999998</v>
      </c>
      <c r="M32" s="259">
        <f t="shared" si="2"/>
        <v>14604.999999999998</v>
      </c>
      <c r="N32" s="259">
        <f t="shared" si="3"/>
        <v>13144499.999999998</v>
      </c>
      <c r="O32" s="260">
        <f t="shared" si="7"/>
        <v>12487274.999999998</v>
      </c>
      <c r="P32" s="261">
        <f t="shared" si="4"/>
        <v>13874.749999999998</v>
      </c>
      <c r="Q32" s="262">
        <v>0.2</v>
      </c>
      <c r="R32" s="263">
        <f t="shared" si="5"/>
        <v>9989819.9999999981</v>
      </c>
      <c r="S32" s="263" t="s">
        <v>228</v>
      </c>
      <c r="T32" s="263">
        <f>+F32</f>
        <v>900</v>
      </c>
      <c r="U32" s="264" t="e">
        <f>+#REF!</f>
        <v>#REF!</v>
      </c>
      <c r="W32" s="265">
        <f t="shared" si="8"/>
        <v>9989819.9999999981</v>
      </c>
    </row>
    <row r="33" spans="1:23" x14ac:dyDescent="0.2">
      <c r="A33" s="250">
        <v>24</v>
      </c>
      <c r="B33" s="266">
        <v>5</v>
      </c>
      <c r="C33" s="267">
        <v>1</v>
      </c>
      <c r="D33" s="267" t="str">
        <f t="shared" si="9"/>
        <v>Block 5 Lot 1</v>
      </c>
      <c r="E33" s="268" t="s">
        <v>0</v>
      </c>
      <c r="F33" s="267">
        <v>865</v>
      </c>
      <c r="G33" s="269">
        <v>10020000</v>
      </c>
      <c r="H33" s="255">
        <f t="shared" si="0"/>
        <v>11583.815028901734</v>
      </c>
      <c r="I33" s="270">
        <f t="shared" si="6"/>
        <v>11425500</v>
      </c>
      <c r="J33" s="257" t="s">
        <v>229</v>
      </c>
      <c r="K33" s="258">
        <v>0.05</v>
      </c>
      <c r="L33" s="259">
        <f t="shared" si="1"/>
        <v>10775500</v>
      </c>
      <c r="M33" s="259">
        <f t="shared" si="2"/>
        <v>12457.225433526011</v>
      </c>
      <c r="N33" s="259">
        <f t="shared" si="3"/>
        <v>10775500</v>
      </c>
      <c r="O33" s="260">
        <f t="shared" si="7"/>
        <v>10236725</v>
      </c>
      <c r="P33" s="261">
        <f t="shared" si="4"/>
        <v>11834.364161849711</v>
      </c>
      <c r="Q33" s="262"/>
      <c r="R33" s="263">
        <f t="shared" si="5"/>
        <v>10236725</v>
      </c>
      <c r="S33" s="263"/>
      <c r="T33" s="263"/>
      <c r="U33" s="264"/>
      <c r="V33" s="258">
        <v>0.02</v>
      </c>
      <c r="W33" s="265">
        <f t="shared" si="8"/>
        <v>10031990.5</v>
      </c>
    </row>
    <row r="34" spans="1:23" x14ac:dyDescent="0.2">
      <c r="A34" s="250">
        <v>25</v>
      </c>
      <c r="B34" s="266">
        <v>5</v>
      </c>
      <c r="C34" s="267">
        <v>2</v>
      </c>
      <c r="D34" s="267" t="str">
        <f t="shared" si="9"/>
        <v>Block 5 Lot 2</v>
      </c>
      <c r="E34" s="268" t="s">
        <v>0</v>
      </c>
      <c r="F34" s="267">
        <v>770</v>
      </c>
      <c r="G34" s="269">
        <v>9060000</v>
      </c>
      <c r="H34" s="255">
        <f t="shared" si="0"/>
        <v>11766.233766233767</v>
      </c>
      <c r="I34" s="270">
        <f t="shared" si="6"/>
        <v>10321500</v>
      </c>
      <c r="J34" s="257" t="s">
        <v>229</v>
      </c>
      <c r="K34" s="258">
        <v>0.05</v>
      </c>
      <c r="L34" s="259">
        <f t="shared" si="1"/>
        <v>9671500</v>
      </c>
      <c r="M34" s="259">
        <f t="shared" si="2"/>
        <v>12560.38961038961</v>
      </c>
      <c r="N34" s="259">
        <f t="shared" si="3"/>
        <v>9671500</v>
      </c>
      <c r="O34" s="260">
        <f t="shared" si="7"/>
        <v>9187925</v>
      </c>
      <c r="P34" s="261">
        <f t="shared" si="4"/>
        <v>11932.370129870131</v>
      </c>
      <c r="Q34" s="262">
        <v>0</v>
      </c>
      <c r="R34" s="263">
        <f t="shared" si="5"/>
        <v>9187925</v>
      </c>
      <c r="S34" s="263" t="s">
        <v>228</v>
      </c>
      <c r="T34" s="263">
        <f>+F34</f>
        <v>770</v>
      </c>
      <c r="U34" s="264" t="e">
        <f>+#REF!</f>
        <v>#REF!</v>
      </c>
      <c r="W34" s="265">
        <f t="shared" si="8"/>
        <v>9187925</v>
      </c>
    </row>
    <row r="35" spans="1:23" x14ac:dyDescent="0.2">
      <c r="A35" s="250">
        <v>26</v>
      </c>
      <c r="B35" s="266">
        <v>5</v>
      </c>
      <c r="C35" s="267">
        <v>3</v>
      </c>
      <c r="D35" s="267" t="str">
        <f t="shared" si="9"/>
        <v>Block 5 Lot 3</v>
      </c>
      <c r="E35" s="268" t="s">
        <v>0</v>
      </c>
      <c r="F35" s="267">
        <v>770</v>
      </c>
      <c r="G35" s="269">
        <v>9060000</v>
      </c>
      <c r="H35" s="255">
        <f t="shared" si="0"/>
        <v>11766.233766233767</v>
      </c>
      <c r="I35" s="270">
        <f t="shared" si="6"/>
        <v>10321500</v>
      </c>
      <c r="J35" s="257" t="s">
        <v>229</v>
      </c>
      <c r="K35" s="258">
        <v>0.05</v>
      </c>
      <c r="L35" s="259">
        <f t="shared" si="1"/>
        <v>9671500</v>
      </c>
      <c r="M35" s="259">
        <f t="shared" si="2"/>
        <v>12560.38961038961</v>
      </c>
      <c r="N35" s="259">
        <f t="shared" si="3"/>
        <v>9671500</v>
      </c>
      <c r="O35" s="260">
        <f t="shared" si="7"/>
        <v>9187925</v>
      </c>
      <c r="P35" s="261">
        <f t="shared" si="4"/>
        <v>11932.370129870131</v>
      </c>
      <c r="Q35" s="262"/>
      <c r="R35" s="263">
        <f t="shared" si="5"/>
        <v>9187925</v>
      </c>
      <c r="S35" s="263"/>
      <c r="T35" s="263"/>
      <c r="U35" s="264"/>
      <c r="W35" s="265">
        <f t="shared" si="8"/>
        <v>9187925</v>
      </c>
    </row>
    <row r="36" spans="1:23" x14ac:dyDescent="0.2">
      <c r="A36" s="250">
        <v>28</v>
      </c>
      <c r="B36" s="266">
        <v>5</v>
      </c>
      <c r="C36" s="267">
        <v>9</v>
      </c>
      <c r="D36" s="267" t="str">
        <f t="shared" si="9"/>
        <v>Block 5 Lot 9</v>
      </c>
      <c r="E36" s="268" t="s">
        <v>1</v>
      </c>
      <c r="F36" s="267">
        <v>600</v>
      </c>
      <c r="G36" s="269">
        <v>10770000</v>
      </c>
      <c r="H36" s="255">
        <f t="shared" si="0"/>
        <v>17950</v>
      </c>
      <c r="I36" s="270">
        <f t="shared" si="6"/>
        <v>12288000</v>
      </c>
      <c r="J36" s="257" t="s">
        <v>229</v>
      </c>
      <c r="K36" s="258">
        <v>0.1</v>
      </c>
      <c r="L36" s="259">
        <f t="shared" ref="L36:L65" si="10">+(I36-650000)</f>
        <v>11638000</v>
      </c>
      <c r="M36" s="259">
        <f t="shared" ref="M36:M65" si="11">+L36/F36</f>
        <v>19396.666666666668</v>
      </c>
      <c r="N36" s="259">
        <f t="shared" si="3"/>
        <v>11638000</v>
      </c>
      <c r="O36" s="260">
        <f t="shared" si="7"/>
        <v>10474200</v>
      </c>
      <c r="P36" s="261">
        <f t="shared" ref="P36:P65" si="12">+O36/F36</f>
        <v>17457</v>
      </c>
      <c r="Q36" s="262"/>
      <c r="R36" s="263">
        <f t="shared" si="5"/>
        <v>10474200</v>
      </c>
      <c r="S36" s="263"/>
      <c r="T36" s="263"/>
      <c r="U36" s="264"/>
      <c r="W36" s="265">
        <f t="shared" si="8"/>
        <v>10474200</v>
      </c>
    </row>
    <row r="37" spans="1:23" x14ac:dyDescent="0.2">
      <c r="A37" s="250">
        <v>29</v>
      </c>
      <c r="B37" s="266">
        <v>5</v>
      </c>
      <c r="C37" s="267">
        <v>10</v>
      </c>
      <c r="D37" s="267" t="str">
        <f t="shared" si="9"/>
        <v>Block 5 Lot 10</v>
      </c>
      <c r="E37" s="268" t="s">
        <v>1</v>
      </c>
      <c r="F37" s="267">
        <v>508</v>
      </c>
      <c r="G37" s="269">
        <v>8560000</v>
      </c>
      <c r="H37" s="255">
        <f t="shared" si="0"/>
        <v>16850.393700787401</v>
      </c>
      <c r="I37" s="270">
        <f t="shared" si="6"/>
        <v>9746500</v>
      </c>
      <c r="J37" s="257" t="s">
        <v>229</v>
      </c>
      <c r="K37" s="258">
        <v>0.1</v>
      </c>
      <c r="L37" s="259">
        <f t="shared" si="10"/>
        <v>9096500</v>
      </c>
      <c r="M37" s="259">
        <f t="shared" si="11"/>
        <v>17906.496062992126</v>
      </c>
      <c r="N37" s="259">
        <f t="shared" si="3"/>
        <v>9096500</v>
      </c>
      <c r="O37" s="260">
        <f t="shared" si="7"/>
        <v>8186850</v>
      </c>
      <c r="P37" s="261">
        <f t="shared" si="12"/>
        <v>16115.846456692914</v>
      </c>
      <c r="Q37" s="262"/>
      <c r="R37" s="263">
        <f t="shared" si="5"/>
        <v>8186850</v>
      </c>
      <c r="S37" s="263"/>
      <c r="T37" s="263"/>
      <c r="U37" s="264"/>
      <c r="W37" s="265">
        <f t="shared" si="8"/>
        <v>8186850</v>
      </c>
    </row>
    <row r="38" spans="1:23" x14ac:dyDescent="0.2">
      <c r="A38" s="250">
        <v>30</v>
      </c>
      <c r="B38" s="266">
        <v>5</v>
      </c>
      <c r="C38" s="267">
        <v>11</v>
      </c>
      <c r="D38" s="267" t="str">
        <f t="shared" si="9"/>
        <v>Block 5 Lot 11</v>
      </c>
      <c r="E38" s="268" t="s">
        <v>1</v>
      </c>
      <c r="F38" s="267">
        <v>520</v>
      </c>
      <c r="G38" s="269">
        <v>8410000</v>
      </c>
      <c r="H38" s="255">
        <f t="shared" si="0"/>
        <v>16173.076923076924</v>
      </c>
      <c r="I38" s="270">
        <f t="shared" si="6"/>
        <v>9574000</v>
      </c>
      <c r="J38" s="257" t="s">
        <v>229</v>
      </c>
      <c r="K38" s="258">
        <v>0.1</v>
      </c>
      <c r="L38" s="259">
        <f t="shared" si="10"/>
        <v>8924000</v>
      </c>
      <c r="M38" s="259">
        <f t="shared" si="11"/>
        <v>17161.538461538461</v>
      </c>
      <c r="N38" s="259">
        <f t="shared" si="3"/>
        <v>8924000</v>
      </c>
      <c r="O38" s="260">
        <f t="shared" si="7"/>
        <v>8031600</v>
      </c>
      <c r="P38" s="261">
        <f t="shared" si="12"/>
        <v>15445.384615384615</v>
      </c>
      <c r="Q38" s="262"/>
      <c r="R38" s="263">
        <f t="shared" si="5"/>
        <v>8031600</v>
      </c>
      <c r="S38" s="263"/>
      <c r="T38" s="263"/>
      <c r="U38" s="264"/>
      <c r="W38" s="265">
        <f t="shared" si="8"/>
        <v>8031600</v>
      </c>
    </row>
    <row r="39" spans="1:23" x14ac:dyDescent="0.2">
      <c r="A39" s="250">
        <v>31</v>
      </c>
      <c r="B39" s="266">
        <v>5</v>
      </c>
      <c r="C39" s="267">
        <v>12</v>
      </c>
      <c r="D39" s="267" t="str">
        <f t="shared" si="9"/>
        <v>Block 5 Lot 12</v>
      </c>
      <c r="E39" s="268" t="s">
        <v>1</v>
      </c>
      <c r="F39" s="267">
        <v>600</v>
      </c>
      <c r="G39" s="269">
        <v>9210000</v>
      </c>
      <c r="H39" s="255">
        <f t="shared" si="0"/>
        <v>15350</v>
      </c>
      <c r="I39" s="270">
        <f t="shared" si="6"/>
        <v>10494000</v>
      </c>
      <c r="J39" s="257" t="s">
        <v>229</v>
      </c>
      <c r="K39" s="258">
        <v>0.1</v>
      </c>
      <c r="L39" s="259">
        <f t="shared" si="10"/>
        <v>9844000</v>
      </c>
      <c r="M39" s="259">
        <f t="shared" si="11"/>
        <v>16406.666666666668</v>
      </c>
      <c r="N39" s="259">
        <f t="shared" si="3"/>
        <v>9844000</v>
      </c>
      <c r="O39" s="260">
        <f t="shared" si="7"/>
        <v>8859600</v>
      </c>
      <c r="P39" s="261">
        <f t="shared" si="12"/>
        <v>14766</v>
      </c>
      <c r="Q39" s="262"/>
      <c r="R39" s="263">
        <f t="shared" si="5"/>
        <v>8859600</v>
      </c>
      <c r="S39" s="263"/>
      <c r="T39" s="263"/>
      <c r="U39" s="264"/>
      <c r="W39" s="265">
        <f t="shared" si="8"/>
        <v>8859600</v>
      </c>
    </row>
    <row r="40" spans="1:23" x14ac:dyDescent="0.2">
      <c r="A40" s="250">
        <v>32</v>
      </c>
      <c r="B40" s="266">
        <v>5</v>
      </c>
      <c r="C40" s="267">
        <v>15</v>
      </c>
      <c r="D40" s="267" t="str">
        <f t="shared" si="9"/>
        <v>Block 5 Lot 15</v>
      </c>
      <c r="E40" s="268" t="s">
        <v>1</v>
      </c>
      <c r="F40" s="267">
        <v>600</v>
      </c>
      <c r="G40" s="269">
        <v>9210000</v>
      </c>
      <c r="H40" s="255">
        <f t="shared" si="0"/>
        <v>15350</v>
      </c>
      <c r="I40" s="270">
        <f t="shared" si="6"/>
        <v>10494000</v>
      </c>
      <c r="J40" s="257" t="s">
        <v>229</v>
      </c>
      <c r="K40" s="258">
        <v>0.1</v>
      </c>
      <c r="L40" s="259">
        <f t="shared" si="10"/>
        <v>9844000</v>
      </c>
      <c r="M40" s="259">
        <f t="shared" si="11"/>
        <v>16406.666666666668</v>
      </c>
      <c r="N40" s="259">
        <f t="shared" si="3"/>
        <v>9844000</v>
      </c>
      <c r="O40" s="260">
        <f t="shared" si="7"/>
        <v>8859600</v>
      </c>
      <c r="P40" s="261">
        <f t="shared" si="12"/>
        <v>14766</v>
      </c>
      <c r="Q40" s="262"/>
      <c r="R40" s="263">
        <f t="shared" si="5"/>
        <v>8859600</v>
      </c>
      <c r="S40" s="263"/>
      <c r="T40" s="263"/>
      <c r="U40" s="264"/>
      <c r="W40" s="265">
        <f t="shared" si="8"/>
        <v>8859600</v>
      </c>
    </row>
    <row r="41" spans="1:23" x14ac:dyDescent="0.2">
      <c r="A41" s="250">
        <v>33</v>
      </c>
      <c r="B41" s="266">
        <v>5</v>
      </c>
      <c r="C41" s="267">
        <v>17</v>
      </c>
      <c r="D41" s="267" t="str">
        <f t="shared" si="9"/>
        <v>Block 5 Lot 17</v>
      </c>
      <c r="E41" s="268" t="s">
        <v>1</v>
      </c>
      <c r="F41" s="267">
        <v>500</v>
      </c>
      <c r="G41" s="269">
        <v>8110000</v>
      </c>
      <c r="H41" s="255">
        <f t="shared" si="0"/>
        <v>16220</v>
      </c>
      <c r="I41" s="270">
        <f t="shared" si="6"/>
        <v>9229000</v>
      </c>
      <c r="J41" s="257" t="s">
        <v>229</v>
      </c>
      <c r="K41" s="258">
        <v>0.1</v>
      </c>
      <c r="L41" s="259">
        <f t="shared" si="10"/>
        <v>8579000</v>
      </c>
      <c r="M41" s="259">
        <f t="shared" si="11"/>
        <v>17158</v>
      </c>
      <c r="N41" s="259">
        <f t="shared" si="3"/>
        <v>8579000</v>
      </c>
      <c r="O41" s="260">
        <f t="shared" si="7"/>
        <v>7721100</v>
      </c>
      <c r="P41" s="261">
        <f t="shared" si="12"/>
        <v>15442.2</v>
      </c>
      <c r="Q41" s="262"/>
      <c r="R41" s="263">
        <f t="shared" si="5"/>
        <v>7721100</v>
      </c>
      <c r="S41" s="263"/>
      <c r="T41" s="263"/>
      <c r="U41" s="264"/>
      <c r="V41" s="258">
        <v>0.02</v>
      </c>
      <c r="W41" s="265">
        <f t="shared" si="8"/>
        <v>7566678</v>
      </c>
    </row>
    <row r="42" spans="1:23" x14ac:dyDescent="0.2">
      <c r="A42" s="250">
        <v>34</v>
      </c>
      <c r="B42" s="266">
        <v>5</v>
      </c>
      <c r="C42" s="267">
        <v>18</v>
      </c>
      <c r="D42" s="267" t="str">
        <f t="shared" si="9"/>
        <v>Block 5 Lot 18</v>
      </c>
      <c r="E42" s="268" t="s">
        <v>1</v>
      </c>
      <c r="F42" s="267">
        <v>600</v>
      </c>
      <c r="G42" s="269">
        <v>9600000</v>
      </c>
      <c r="H42" s="255">
        <f t="shared" si="0"/>
        <v>16000</v>
      </c>
      <c r="I42" s="270">
        <f t="shared" si="6"/>
        <v>10942500</v>
      </c>
      <c r="J42" s="257" t="s">
        <v>229</v>
      </c>
      <c r="K42" s="258">
        <v>0.1</v>
      </c>
      <c r="L42" s="259">
        <f t="shared" si="10"/>
        <v>10292500</v>
      </c>
      <c r="M42" s="259">
        <f t="shared" si="11"/>
        <v>17154.166666666668</v>
      </c>
      <c r="N42" s="259">
        <f t="shared" si="3"/>
        <v>10292500</v>
      </c>
      <c r="O42" s="260">
        <f t="shared" si="7"/>
        <v>9263250</v>
      </c>
      <c r="P42" s="261">
        <f t="shared" si="12"/>
        <v>15438.75</v>
      </c>
      <c r="Q42" s="262"/>
      <c r="R42" s="263">
        <f t="shared" si="5"/>
        <v>9263250</v>
      </c>
      <c r="S42" s="263"/>
      <c r="T42" s="263"/>
      <c r="U42" s="264"/>
      <c r="W42" s="265">
        <f t="shared" si="8"/>
        <v>9263250</v>
      </c>
    </row>
    <row r="43" spans="1:23" x14ac:dyDescent="0.2">
      <c r="A43" s="250">
        <v>35</v>
      </c>
      <c r="B43" s="266">
        <v>5</v>
      </c>
      <c r="C43" s="267">
        <v>19</v>
      </c>
      <c r="D43" s="267" t="str">
        <f t="shared" si="9"/>
        <v>Block 5 Lot 19</v>
      </c>
      <c r="E43" s="268" t="s">
        <v>1</v>
      </c>
      <c r="F43" s="267">
        <v>600</v>
      </c>
      <c r="G43" s="269">
        <v>9210000</v>
      </c>
      <c r="H43" s="255">
        <f t="shared" si="0"/>
        <v>15350</v>
      </c>
      <c r="I43" s="270">
        <f t="shared" si="6"/>
        <v>10494000</v>
      </c>
      <c r="J43" s="257" t="s">
        <v>229</v>
      </c>
      <c r="K43" s="258">
        <v>0.1</v>
      </c>
      <c r="L43" s="259">
        <f t="shared" si="10"/>
        <v>9844000</v>
      </c>
      <c r="M43" s="259">
        <f t="shared" si="11"/>
        <v>16406.666666666668</v>
      </c>
      <c r="N43" s="259">
        <f t="shared" si="3"/>
        <v>9844000</v>
      </c>
      <c r="O43" s="260">
        <f t="shared" si="7"/>
        <v>8859600</v>
      </c>
      <c r="P43" s="261">
        <f t="shared" si="12"/>
        <v>14766</v>
      </c>
      <c r="Q43" s="262"/>
      <c r="R43" s="263">
        <f t="shared" si="5"/>
        <v>8859600</v>
      </c>
      <c r="S43" s="263"/>
      <c r="T43" s="263"/>
      <c r="U43" s="264"/>
      <c r="W43" s="265">
        <f t="shared" si="8"/>
        <v>8859600</v>
      </c>
    </row>
    <row r="44" spans="1:23" x14ac:dyDescent="0.2">
      <c r="A44" s="250">
        <v>36</v>
      </c>
      <c r="B44" s="266">
        <v>5</v>
      </c>
      <c r="C44" s="267">
        <v>20</v>
      </c>
      <c r="D44" s="267" t="str">
        <f t="shared" si="9"/>
        <v>Block 5 Lot 20</v>
      </c>
      <c r="E44" s="268" t="s">
        <v>1</v>
      </c>
      <c r="F44" s="267">
        <v>510</v>
      </c>
      <c r="G44" s="269">
        <v>8260000</v>
      </c>
      <c r="H44" s="255">
        <f t="shared" si="0"/>
        <v>16196.078431372549</v>
      </c>
      <c r="I44" s="270">
        <f t="shared" si="6"/>
        <v>9401500</v>
      </c>
      <c r="J44" s="257" t="s">
        <v>229</v>
      </c>
      <c r="K44" s="258">
        <v>0.1</v>
      </c>
      <c r="L44" s="259">
        <f t="shared" si="10"/>
        <v>8751500</v>
      </c>
      <c r="M44" s="259">
        <f t="shared" si="11"/>
        <v>17159.803921568626</v>
      </c>
      <c r="N44" s="259">
        <f t="shared" si="3"/>
        <v>8751500</v>
      </c>
      <c r="O44" s="260">
        <f t="shared" si="7"/>
        <v>7876350</v>
      </c>
      <c r="P44" s="261">
        <f t="shared" si="12"/>
        <v>15443.823529411764</v>
      </c>
      <c r="Q44" s="262"/>
      <c r="R44" s="263">
        <f t="shared" si="5"/>
        <v>7876350</v>
      </c>
      <c r="S44" s="263"/>
      <c r="T44" s="263"/>
      <c r="U44" s="264"/>
      <c r="W44" s="265">
        <f t="shared" si="8"/>
        <v>7876350</v>
      </c>
    </row>
    <row r="45" spans="1:23" x14ac:dyDescent="0.2">
      <c r="A45" s="250">
        <v>37</v>
      </c>
      <c r="B45" s="266">
        <v>6</v>
      </c>
      <c r="C45" s="267">
        <v>2</v>
      </c>
      <c r="D45" s="267" t="str">
        <f t="shared" si="9"/>
        <v>Block 6 Lot 2</v>
      </c>
      <c r="E45" s="268" t="s">
        <v>1</v>
      </c>
      <c r="F45" s="267">
        <v>560</v>
      </c>
      <c r="G45" s="269">
        <v>10150000</v>
      </c>
      <c r="H45" s="255">
        <f t="shared" si="0"/>
        <v>18125</v>
      </c>
      <c r="I45" s="270">
        <f t="shared" si="6"/>
        <v>11575000</v>
      </c>
      <c r="J45" s="257" t="s">
        <v>229</v>
      </c>
      <c r="K45" s="258">
        <v>0.1</v>
      </c>
      <c r="L45" s="259">
        <f t="shared" si="10"/>
        <v>10925000</v>
      </c>
      <c r="M45" s="259">
        <f t="shared" si="11"/>
        <v>19508.928571428572</v>
      </c>
      <c r="N45" s="259">
        <f t="shared" si="3"/>
        <v>10925000</v>
      </c>
      <c r="O45" s="260">
        <f t="shared" si="7"/>
        <v>9832500</v>
      </c>
      <c r="P45" s="261">
        <f t="shared" si="12"/>
        <v>17558.035714285714</v>
      </c>
      <c r="Q45" s="262"/>
      <c r="R45" s="263">
        <f t="shared" si="5"/>
        <v>9832500</v>
      </c>
      <c r="S45" s="263"/>
      <c r="T45" s="263"/>
      <c r="U45" s="264"/>
      <c r="W45" s="265">
        <f t="shared" si="8"/>
        <v>9832500</v>
      </c>
    </row>
    <row r="46" spans="1:23" x14ac:dyDescent="0.2">
      <c r="A46" s="250">
        <v>38</v>
      </c>
      <c r="B46" s="266">
        <v>6</v>
      </c>
      <c r="C46" s="267">
        <v>3</v>
      </c>
      <c r="D46" s="267" t="str">
        <f t="shared" si="9"/>
        <v>Block 6 Lot 3</v>
      </c>
      <c r="E46" s="268" t="s">
        <v>1</v>
      </c>
      <c r="F46" s="267">
        <v>475</v>
      </c>
      <c r="G46" s="269">
        <v>8380000</v>
      </c>
      <c r="H46" s="255">
        <f t="shared" si="0"/>
        <v>17642.105263157893</v>
      </c>
      <c r="I46" s="270">
        <f t="shared" si="6"/>
        <v>9539500</v>
      </c>
      <c r="J46" s="257" t="s">
        <v>229</v>
      </c>
      <c r="K46" s="258">
        <v>0.1</v>
      </c>
      <c r="L46" s="259">
        <f t="shared" si="10"/>
        <v>8889500</v>
      </c>
      <c r="M46" s="259">
        <f t="shared" si="11"/>
        <v>18714.736842105263</v>
      </c>
      <c r="N46" s="259">
        <f t="shared" si="3"/>
        <v>8889500</v>
      </c>
      <c r="O46" s="260">
        <f t="shared" si="7"/>
        <v>8000550</v>
      </c>
      <c r="P46" s="261">
        <f t="shared" si="12"/>
        <v>16843.263157894737</v>
      </c>
      <c r="Q46" s="262">
        <v>0</v>
      </c>
      <c r="R46" s="263">
        <f t="shared" si="5"/>
        <v>8000550</v>
      </c>
      <c r="S46" s="263" t="s">
        <v>228</v>
      </c>
      <c r="T46" s="263">
        <f>+F46</f>
        <v>475</v>
      </c>
      <c r="U46" s="264" t="e">
        <f>+#REF!</f>
        <v>#REF!</v>
      </c>
      <c r="W46" s="265">
        <f t="shared" si="8"/>
        <v>8000550</v>
      </c>
    </row>
    <row r="47" spans="1:23" x14ac:dyDescent="0.2">
      <c r="A47" s="250">
        <v>39</v>
      </c>
      <c r="B47" s="266">
        <v>6</v>
      </c>
      <c r="C47" s="267">
        <v>5</v>
      </c>
      <c r="D47" s="267" t="str">
        <f t="shared" si="9"/>
        <v>Block 6 Lot 5</v>
      </c>
      <c r="E47" s="268" t="s">
        <v>1</v>
      </c>
      <c r="F47" s="267">
        <v>600</v>
      </c>
      <c r="G47" s="269">
        <v>10820000</v>
      </c>
      <c r="H47" s="255">
        <f t="shared" si="0"/>
        <v>18033.333333333332</v>
      </c>
      <c r="I47" s="270">
        <f t="shared" si="6"/>
        <v>12345500</v>
      </c>
      <c r="J47" s="257" t="s">
        <v>229</v>
      </c>
      <c r="K47" s="258">
        <v>0.1</v>
      </c>
      <c r="L47" s="259">
        <f t="shared" si="10"/>
        <v>11695500</v>
      </c>
      <c r="M47" s="259">
        <f t="shared" si="11"/>
        <v>19492.5</v>
      </c>
      <c r="N47" s="259">
        <f t="shared" si="3"/>
        <v>11695500</v>
      </c>
      <c r="O47" s="260">
        <f t="shared" si="7"/>
        <v>10525950</v>
      </c>
      <c r="P47" s="261">
        <f t="shared" si="12"/>
        <v>17543.25</v>
      </c>
      <c r="Q47" s="262">
        <v>0.02</v>
      </c>
      <c r="R47" s="263">
        <f t="shared" si="5"/>
        <v>10315431</v>
      </c>
      <c r="S47" s="263" t="s">
        <v>228</v>
      </c>
      <c r="T47" s="263">
        <f>+F47</f>
        <v>600</v>
      </c>
      <c r="U47" s="264" t="e">
        <f>+#REF!</f>
        <v>#REF!</v>
      </c>
      <c r="W47" s="265">
        <f t="shared" si="8"/>
        <v>10315431</v>
      </c>
    </row>
    <row r="48" spans="1:23" x14ac:dyDescent="0.2">
      <c r="A48" s="250">
        <v>40</v>
      </c>
      <c r="B48" s="266">
        <v>6</v>
      </c>
      <c r="C48" s="267">
        <v>6</v>
      </c>
      <c r="D48" s="267" t="str">
        <f t="shared" si="9"/>
        <v>Block 6 Lot 6</v>
      </c>
      <c r="E48" s="268" t="s">
        <v>1</v>
      </c>
      <c r="F48" s="267">
        <v>600</v>
      </c>
      <c r="G48" s="269">
        <v>11640000</v>
      </c>
      <c r="H48" s="255">
        <f t="shared" si="0"/>
        <v>19400</v>
      </c>
      <c r="I48" s="270">
        <f t="shared" si="6"/>
        <v>13288499.999999998</v>
      </c>
      <c r="J48" s="257" t="s">
        <v>229</v>
      </c>
      <c r="K48" s="258">
        <v>0.1</v>
      </c>
      <c r="L48" s="259">
        <f t="shared" si="10"/>
        <v>12638499.999999998</v>
      </c>
      <c r="M48" s="259">
        <f t="shared" si="11"/>
        <v>21064.166666666664</v>
      </c>
      <c r="N48" s="259">
        <f t="shared" si="3"/>
        <v>12638499.999999998</v>
      </c>
      <c r="O48" s="260">
        <f t="shared" si="7"/>
        <v>11374649.999999998</v>
      </c>
      <c r="P48" s="261">
        <f t="shared" si="12"/>
        <v>18957.749999999996</v>
      </c>
      <c r="Q48" s="262"/>
      <c r="R48" s="263">
        <f t="shared" si="5"/>
        <v>11374649.999999998</v>
      </c>
      <c r="S48" s="263"/>
      <c r="T48" s="263"/>
      <c r="U48" s="264"/>
      <c r="W48" s="265">
        <f t="shared" si="8"/>
        <v>11374649.999999998</v>
      </c>
    </row>
    <row r="49" spans="1:23" x14ac:dyDescent="0.2">
      <c r="A49" s="250">
        <v>41</v>
      </c>
      <c r="B49" s="266">
        <v>6</v>
      </c>
      <c r="C49" s="267">
        <v>7</v>
      </c>
      <c r="D49" s="267" t="str">
        <f t="shared" si="9"/>
        <v>Block 6 Lot 7</v>
      </c>
      <c r="E49" s="268" t="s">
        <v>1</v>
      </c>
      <c r="F49" s="267">
        <v>600</v>
      </c>
      <c r="G49" s="269">
        <v>11640000</v>
      </c>
      <c r="H49" s="255">
        <f t="shared" si="0"/>
        <v>19400</v>
      </c>
      <c r="I49" s="270">
        <f t="shared" si="6"/>
        <v>13288499.999999998</v>
      </c>
      <c r="J49" s="257" t="s">
        <v>229</v>
      </c>
      <c r="K49" s="258">
        <v>0.1</v>
      </c>
      <c r="L49" s="259">
        <f t="shared" si="10"/>
        <v>12638499.999999998</v>
      </c>
      <c r="M49" s="259">
        <f t="shared" si="11"/>
        <v>21064.166666666664</v>
      </c>
      <c r="N49" s="259">
        <f t="shared" si="3"/>
        <v>12638499.999999998</v>
      </c>
      <c r="O49" s="260">
        <f t="shared" si="7"/>
        <v>11374649.999999998</v>
      </c>
      <c r="P49" s="261">
        <f t="shared" si="12"/>
        <v>18957.749999999996</v>
      </c>
      <c r="Q49" s="262"/>
      <c r="R49" s="263">
        <f t="shared" si="5"/>
        <v>11374649.999999998</v>
      </c>
      <c r="S49" s="263"/>
      <c r="T49" s="263"/>
      <c r="U49" s="264"/>
      <c r="W49" s="265">
        <f t="shared" si="8"/>
        <v>11374649.999999998</v>
      </c>
    </row>
    <row r="50" spans="1:23" x14ac:dyDescent="0.2">
      <c r="A50" s="250">
        <v>42</v>
      </c>
      <c r="B50" s="266">
        <v>6</v>
      </c>
      <c r="C50" s="267">
        <v>8</v>
      </c>
      <c r="D50" s="267" t="str">
        <f t="shared" si="9"/>
        <v>Block 6 Lot 8</v>
      </c>
      <c r="E50" s="268" t="s">
        <v>1</v>
      </c>
      <c r="F50" s="267">
        <v>485</v>
      </c>
      <c r="G50" s="269">
        <v>9660000</v>
      </c>
      <c r="H50" s="255">
        <f t="shared" si="0"/>
        <v>19917.525773195877</v>
      </c>
      <c r="I50" s="270">
        <f t="shared" si="6"/>
        <v>11011500</v>
      </c>
      <c r="J50" s="257" t="s">
        <v>229</v>
      </c>
      <c r="K50" s="258">
        <v>0.1</v>
      </c>
      <c r="L50" s="259">
        <f t="shared" si="10"/>
        <v>10361500</v>
      </c>
      <c r="M50" s="259">
        <f t="shared" si="11"/>
        <v>21363.917525773195</v>
      </c>
      <c r="N50" s="259">
        <f t="shared" si="3"/>
        <v>10361500</v>
      </c>
      <c r="O50" s="260">
        <f t="shared" si="7"/>
        <v>9325350</v>
      </c>
      <c r="P50" s="261">
        <f t="shared" si="12"/>
        <v>19227.525773195877</v>
      </c>
      <c r="Q50" s="262"/>
      <c r="R50" s="263">
        <f t="shared" si="5"/>
        <v>9325350</v>
      </c>
      <c r="S50" s="263"/>
      <c r="T50" s="263"/>
      <c r="U50" s="264"/>
      <c r="W50" s="265">
        <f t="shared" si="8"/>
        <v>9325350</v>
      </c>
    </row>
    <row r="51" spans="1:23" x14ac:dyDescent="0.2">
      <c r="A51" s="250">
        <v>43</v>
      </c>
      <c r="B51" s="266">
        <v>6</v>
      </c>
      <c r="C51" s="267">
        <v>9</v>
      </c>
      <c r="D51" s="267" t="str">
        <f t="shared" si="9"/>
        <v>Block 6 Lot 9</v>
      </c>
      <c r="E51" s="268" t="s">
        <v>1</v>
      </c>
      <c r="F51" s="267">
        <v>525</v>
      </c>
      <c r="G51" s="269">
        <v>10260000</v>
      </c>
      <c r="H51" s="255">
        <f t="shared" si="0"/>
        <v>19542.857142857141</v>
      </c>
      <c r="I51" s="270">
        <f t="shared" si="6"/>
        <v>11701500</v>
      </c>
      <c r="J51" s="257" t="s">
        <v>229</v>
      </c>
      <c r="K51" s="258">
        <v>0.1</v>
      </c>
      <c r="L51" s="259">
        <f t="shared" si="10"/>
        <v>11051500</v>
      </c>
      <c r="M51" s="259">
        <f t="shared" si="11"/>
        <v>21050.476190476191</v>
      </c>
      <c r="N51" s="259">
        <f t="shared" si="3"/>
        <v>11051500</v>
      </c>
      <c r="O51" s="260">
        <f t="shared" si="7"/>
        <v>9946350</v>
      </c>
      <c r="P51" s="261">
        <f t="shared" si="12"/>
        <v>18945.428571428572</v>
      </c>
      <c r="Q51" s="262"/>
      <c r="R51" s="263">
        <f t="shared" si="5"/>
        <v>9946350</v>
      </c>
      <c r="S51" s="263"/>
      <c r="T51" s="263"/>
      <c r="U51" s="264"/>
      <c r="W51" s="265">
        <f t="shared" si="8"/>
        <v>9946350</v>
      </c>
    </row>
    <row r="52" spans="1:23" x14ac:dyDescent="0.2">
      <c r="A52" s="250">
        <v>44</v>
      </c>
      <c r="B52" s="266">
        <v>6</v>
      </c>
      <c r="C52" s="267">
        <v>10</v>
      </c>
      <c r="D52" s="267" t="str">
        <f t="shared" si="9"/>
        <v>Block 6 Lot 10</v>
      </c>
      <c r="E52" s="268" t="s">
        <v>1</v>
      </c>
      <c r="F52" s="267">
        <v>550</v>
      </c>
      <c r="G52" s="269">
        <v>10350000</v>
      </c>
      <c r="H52" s="255">
        <f t="shared" si="0"/>
        <v>18818.18181818182</v>
      </c>
      <c r="I52" s="270">
        <f t="shared" si="6"/>
        <v>11805000</v>
      </c>
      <c r="J52" s="257" t="s">
        <v>229</v>
      </c>
      <c r="K52" s="258">
        <v>0.1</v>
      </c>
      <c r="L52" s="259">
        <f t="shared" si="10"/>
        <v>11155000</v>
      </c>
      <c r="M52" s="259">
        <f t="shared" si="11"/>
        <v>20281.81818181818</v>
      </c>
      <c r="N52" s="259">
        <f t="shared" si="3"/>
        <v>11155000</v>
      </c>
      <c r="O52" s="260">
        <f t="shared" si="7"/>
        <v>10039500</v>
      </c>
      <c r="P52" s="261">
        <f t="shared" si="12"/>
        <v>18253.636363636364</v>
      </c>
      <c r="Q52" s="262"/>
      <c r="R52" s="263">
        <f t="shared" si="5"/>
        <v>10039500</v>
      </c>
      <c r="S52" s="263"/>
      <c r="T52" s="263"/>
      <c r="U52" s="264"/>
      <c r="V52" s="258">
        <v>0.02</v>
      </c>
      <c r="W52" s="265">
        <f t="shared" si="8"/>
        <v>9838710</v>
      </c>
    </row>
    <row r="53" spans="1:23" x14ac:dyDescent="0.2">
      <c r="A53" s="250">
        <v>45</v>
      </c>
      <c r="B53" s="266">
        <v>7</v>
      </c>
      <c r="C53" s="267">
        <v>1</v>
      </c>
      <c r="D53" s="267" t="str">
        <f t="shared" si="9"/>
        <v>Block 7 Lot 1</v>
      </c>
      <c r="E53" s="268" t="s">
        <v>1</v>
      </c>
      <c r="F53" s="267">
        <v>601</v>
      </c>
      <c r="G53" s="269">
        <v>10790000</v>
      </c>
      <c r="H53" s="255">
        <f t="shared" si="0"/>
        <v>17953.410981697172</v>
      </c>
      <c r="I53" s="270">
        <f t="shared" si="6"/>
        <v>12311000</v>
      </c>
      <c r="J53" s="257" t="s">
        <v>229</v>
      </c>
      <c r="K53" s="258">
        <v>0.1</v>
      </c>
      <c r="L53" s="259">
        <f t="shared" si="10"/>
        <v>11661000</v>
      </c>
      <c r="M53" s="259">
        <f t="shared" si="11"/>
        <v>19402.662229617305</v>
      </c>
      <c r="N53" s="259">
        <f t="shared" si="3"/>
        <v>11661000</v>
      </c>
      <c r="O53" s="260">
        <f t="shared" si="7"/>
        <v>10494900</v>
      </c>
      <c r="P53" s="261">
        <f t="shared" si="12"/>
        <v>17462.396006655574</v>
      </c>
      <c r="Q53" s="262"/>
      <c r="R53" s="263">
        <f t="shared" si="5"/>
        <v>10494900</v>
      </c>
      <c r="S53" s="263"/>
      <c r="T53" s="263"/>
      <c r="U53" s="264"/>
      <c r="W53" s="265">
        <f t="shared" si="8"/>
        <v>10494900</v>
      </c>
    </row>
    <row r="54" spans="1:23" x14ac:dyDescent="0.2">
      <c r="A54" s="250">
        <v>46</v>
      </c>
      <c r="B54" s="266">
        <v>7</v>
      </c>
      <c r="C54" s="267">
        <v>2</v>
      </c>
      <c r="D54" s="267" t="str">
        <f t="shared" si="9"/>
        <v>Block 7 Lot 2</v>
      </c>
      <c r="E54" s="268" t="s">
        <v>1</v>
      </c>
      <c r="F54" s="267">
        <v>450</v>
      </c>
      <c r="G54" s="269">
        <v>7660000</v>
      </c>
      <c r="H54" s="255">
        <f t="shared" si="0"/>
        <v>17022.222222222223</v>
      </c>
      <c r="I54" s="270">
        <f t="shared" si="6"/>
        <v>8711500</v>
      </c>
      <c r="J54" s="257" t="s">
        <v>229</v>
      </c>
      <c r="K54" s="258">
        <v>0.1</v>
      </c>
      <c r="L54" s="259">
        <f t="shared" si="10"/>
        <v>8061500</v>
      </c>
      <c r="M54" s="259">
        <f t="shared" si="11"/>
        <v>17914.444444444445</v>
      </c>
      <c r="N54" s="259">
        <f t="shared" si="3"/>
        <v>8061500</v>
      </c>
      <c r="O54" s="260">
        <f t="shared" si="7"/>
        <v>7255350</v>
      </c>
      <c r="P54" s="261">
        <f t="shared" si="12"/>
        <v>16123</v>
      </c>
      <c r="Q54" s="262"/>
      <c r="R54" s="263">
        <f t="shared" si="5"/>
        <v>7255350</v>
      </c>
      <c r="S54" s="263"/>
      <c r="T54" s="263"/>
      <c r="U54" s="264"/>
      <c r="W54" s="265">
        <f t="shared" si="8"/>
        <v>7255350</v>
      </c>
    </row>
    <row r="55" spans="1:23" x14ac:dyDescent="0.2">
      <c r="A55" s="250">
        <v>47</v>
      </c>
      <c r="B55" s="266">
        <v>7</v>
      </c>
      <c r="C55" s="267">
        <v>3</v>
      </c>
      <c r="D55" s="267" t="str">
        <f t="shared" si="9"/>
        <v>Block 7 Lot 3</v>
      </c>
      <c r="E55" s="268" t="s">
        <v>1</v>
      </c>
      <c r="F55" s="267">
        <v>600</v>
      </c>
      <c r="G55" s="269">
        <v>10770000</v>
      </c>
      <c r="H55" s="255">
        <f t="shared" si="0"/>
        <v>17950</v>
      </c>
      <c r="I55" s="270">
        <f t="shared" si="6"/>
        <v>12288000</v>
      </c>
      <c r="J55" s="257" t="s">
        <v>229</v>
      </c>
      <c r="K55" s="258">
        <v>0.1</v>
      </c>
      <c r="L55" s="259">
        <f t="shared" si="10"/>
        <v>11638000</v>
      </c>
      <c r="M55" s="259">
        <f t="shared" si="11"/>
        <v>19396.666666666668</v>
      </c>
      <c r="N55" s="259">
        <f t="shared" si="3"/>
        <v>11638000</v>
      </c>
      <c r="O55" s="260">
        <f t="shared" si="7"/>
        <v>10474200</v>
      </c>
      <c r="P55" s="261">
        <f t="shared" si="12"/>
        <v>17457</v>
      </c>
      <c r="Q55" s="262"/>
      <c r="R55" s="263">
        <f t="shared" si="5"/>
        <v>10474200</v>
      </c>
      <c r="S55" s="263"/>
      <c r="T55" s="263"/>
      <c r="U55" s="264"/>
      <c r="W55" s="265">
        <f t="shared" si="8"/>
        <v>10474200</v>
      </c>
    </row>
    <row r="56" spans="1:23" x14ac:dyDescent="0.2">
      <c r="A56" s="250">
        <v>48</v>
      </c>
      <c r="B56" s="266">
        <v>7</v>
      </c>
      <c r="C56" s="267">
        <v>5</v>
      </c>
      <c r="D56" s="267" t="str">
        <f t="shared" si="9"/>
        <v>Block 7 Lot 5</v>
      </c>
      <c r="E56" s="268" t="s">
        <v>1</v>
      </c>
      <c r="F56" s="267">
        <v>600</v>
      </c>
      <c r="G56" s="269">
        <v>9990000</v>
      </c>
      <c r="H56" s="255">
        <f t="shared" si="0"/>
        <v>16650</v>
      </c>
      <c r="I56" s="270">
        <f t="shared" si="6"/>
        <v>11391000</v>
      </c>
      <c r="J56" s="257" t="s">
        <v>229</v>
      </c>
      <c r="K56" s="258">
        <v>0.1</v>
      </c>
      <c r="L56" s="259">
        <f t="shared" si="10"/>
        <v>10741000</v>
      </c>
      <c r="M56" s="259">
        <f t="shared" si="11"/>
        <v>17901.666666666668</v>
      </c>
      <c r="N56" s="259">
        <f t="shared" si="3"/>
        <v>10741000</v>
      </c>
      <c r="O56" s="260">
        <f t="shared" si="7"/>
        <v>9666900</v>
      </c>
      <c r="P56" s="261">
        <f t="shared" si="12"/>
        <v>16111.5</v>
      </c>
      <c r="Q56" s="262"/>
      <c r="R56" s="263">
        <f t="shared" si="5"/>
        <v>9666900</v>
      </c>
      <c r="S56" s="263"/>
      <c r="T56" s="263"/>
      <c r="U56" s="264"/>
      <c r="V56" s="258">
        <v>0.02</v>
      </c>
      <c r="W56" s="265">
        <f t="shared" si="8"/>
        <v>9473562</v>
      </c>
    </row>
    <row r="57" spans="1:23" x14ac:dyDescent="0.2">
      <c r="A57" s="250">
        <v>49</v>
      </c>
      <c r="B57" s="266">
        <v>7</v>
      </c>
      <c r="C57" s="267">
        <v>6</v>
      </c>
      <c r="D57" s="267" t="str">
        <f t="shared" si="9"/>
        <v>Block 7 Lot 6</v>
      </c>
      <c r="E57" s="268" t="s">
        <v>1</v>
      </c>
      <c r="F57" s="267">
        <v>602</v>
      </c>
      <c r="G57" s="269">
        <v>10020000</v>
      </c>
      <c r="H57" s="255">
        <f t="shared" si="0"/>
        <v>16644.518272425248</v>
      </c>
      <c r="I57" s="270">
        <f t="shared" si="6"/>
        <v>11425500</v>
      </c>
      <c r="J57" s="257" t="s">
        <v>229</v>
      </c>
      <c r="K57" s="258">
        <v>0.1</v>
      </c>
      <c r="L57" s="259">
        <f t="shared" si="10"/>
        <v>10775500</v>
      </c>
      <c r="M57" s="259">
        <f t="shared" si="11"/>
        <v>17899.501661129569</v>
      </c>
      <c r="N57" s="259">
        <f t="shared" si="3"/>
        <v>10775500</v>
      </c>
      <c r="O57" s="260">
        <f t="shared" si="7"/>
        <v>9697950</v>
      </c>
      <c r="P57" s="261">
        <f t="shared" si="12"/>
        <v>16109.551495016611</v>
      </c>
      <c r="Q57" s="262"/>
      <c r="R57" s="263">
        <f t="shared" si="5"/>
        <v>9697950</v>
      </c>
      <c r="S57" s="263"/>
      <c r="T57" s="263"/>
      <c r="U57" s="264"/>
      <c r="W57" s="265">
        <f t="shared" si="8"/>
        <v>9697950</v>
      </c>
    </row>
    <row r="58" spans="1:23" x14ac:dyDescent="0.2">
      <c r="A58" s="250">
        <v>50</v>
      </c>
      <c r="B58" s="266">
        <v>7</v>
      </c>
      <c r="C58" s="267">
        <v>7</v>
      </c>
      <c r="D58" s="267" t="str">
        <f t="shared" si="9"/>
        <v>Block 7 Lot 7</v>
      </c>
      <c r="E58" s="268" t="s">
        <v>1</v>
      </c>
      <c r="F58" s="267">
        <v>545</v>
      </c>
      <c r="G58" s="269">
        <v>9140000</v>
      </c>
      <c r="H58" s="255">
        <f t="shared" si="0"/>
        <v>16770.642201834864</v>
      </c>
      <c r="I58" s="270">
        <f t="shared" si="6"/>
        <v>10413500</v>
      </c>
      <c r="J58" s="257" t="s">
        <v>229</v>
      </c>
      <c r="K58" s="258">
        <v>0.1</v>
      </c>
      <c r="L58" s="259">
        <f t="shared" si="10"/>
        <v>9763500</v>
      </c>
      <c r="M58" s="259">
        <f t="shared" si="11"/>
        <v>17914.67889908257</v>
      </c>
      <c r="N58" s="259">
        <f t="shared" si="3"/>
        <v>9763500</v>
      </c>
      <c r="O58" s="260">
        <f t="shared" si="7"/>
        <v>8787150</v>
      </c>
      <c r="P58" s="261">
        <f t="shared" si="12"/>
        <v>16123.211009174312</v>
      </c>
      <c r="Q58" s="262">
        <v>0.02</v>
      </c>
      <c r="R58" s="263">
        <f t="shared" si="5"/>
        <v>8611407</v>
      </c>
      <c r="S58" s="263" t="s">
        <v>228</v>
      </c>
      <c r="T58" s="263">
        <f>+F58</f>
        <v>545</v>
      </c>
      <c r="U58" s="264" t="e">
        <f>+#REF!</f>
        <v>#REF!</v>
      </c>
      <c r="W58" s="265">
        <f t="shared" si="8"/>
        <v>8611407</v>
      </c>
    </row>
    <row r="59" spans="1:23" x14ac:dyDescent="0.2">
      <c r="A59" s="250">
        <v>51</v>
      </c>
      <c r="B59" s="266">
        <v>7</v>
      </c>
      <c r="C59" s="267">
        <v>8</v>
      </c>
      <c r="D59" s="267" t="str">
        <f t="shared" si="9"/>
        <v>Block 7 Lot 8</v>
      </c>
      <c r="E59" s="268" t="s">
        <v>1</v>
      </c>
      <c r="F59" s="267">
        <v>545</v>
      </c>
      <c r="G59" s="269">
        <v>9280000</v>
      </c>
      <c r="H59" s="255">
        <f t="shared" si="0"/>
        <v>17027.522935779816</v>
      </c>
      <c r="I59" s="270">
        <f t="shared" si="6"/>
        <v>10574500</v>
      </c>
      <c r="J59" s="257" t="s">
        <v>229</v>
      </c>
      <c r="K59" s="258">
        <v>0.1</v>
      </c>
      <c r="L59" s="259">
        <f t="shared" si="10"/>
        <v>9924500</v>
      </c>
      <c r="M59" s="259">
        <f t="shared" si="11"/>
        <v>18210.091743119265</v>
      </c>
      <c r="N59" s="259">
        <f t="shared" si="3"/>
        <v>9924500</v>
      </c>
      <c r="O59" s="260">
        <f t="shared" si="7"/>
        <v>8932050</v>
      </c>
      <c r="P59" s="261">
        <f t="shared" si="12"/>
        <v>16389.082568807338</v>
      </c>
      <c r="Q59" s="262">
        <v>0.02</v>
      </c>
      <c r="R59" s="263">
        <f t="shared" si="5"/>
        <v>8753409</v>
      </c>
      <c r="S59" s="263" t="s">
        <v>228</v>
      </c>
      <c r="T59" s="263">
        <f>+F59</f>
        <v>545</v>
      </c>
      <c r="U59" s="264" t="e">
        <f>+#REF!</f>
        <v>#REF!</v>
      </c>
      <c r="W59" s="265">
        <f t="shared" si="8"/>
        <v>8753409</v>
      </c>
    </row>
    <row r="60" spans="1:23" x14ac:dyDescent="0.2">
      <c r="A60" s="250">
        <v>52</v>
      </c>
      <c r="B60" s="266">
        <v>7</v>
      </c>
      <c r="C60" s="267">
        <v>9</v>
      </c>
      <c r="D60" s="267" t="str">
        <f t="shared" si="9"/>
        <v>Block 7 Lot 9</v>
      </c>
      <c r="E60" s="268" t="s">
        <v>1</v>
      </c>
      <c r="F60" s="267">
        <v>545</v>
      </c>
      <c r="G60" s="269">
        <v>9140000</v>
      </c>
      <c r="H60" s="255">
        <f t="shared" si="0"/>
        <v>16770.642201834864</v>
      </c>
      <c r="I60" s="270">
        <f t="shared" si="6"/>
        <v>10413500</v>
      </c>
      <c r="J60" s="257" t="s">
        <v>229</v>
      </c>
      <c r="K60" s="258">
        <v>0.1</v>
      </c>
      <c r="L60" s="259">
        <f t="shared" si="10"/>
        <v>9763500</v>
      </c>
      <c r="M60" s="259">
        <f t="shared" si="11"/>
        <v>17914.67889908257</v>
      </c>
      <c r="N60" s="259">
        <f t="shared" si="3"/>
        <v>9763500</v>
      </c>
      <c r="O60" s="260">
        <f t="shared" si="7"/>
        <v>8787150</v>
      </c>
      <c r="P60" s="261">
        <f t="shared" si="12"/>
        <v>16123.211009174312</v>
      </c>
      <c r="Q60" s="262"/>
      <c r="R60" s="263">
        <f t="shared" si="5"/>
        <v>8787150</v>
      </c>
      <c r="S60" s="263"/>
      <c r="T60" s="263"/>
      <c r="U60" s="264"/>
      <c r="W60" s="265">
        <f t="shared" si="8"/>
        <v>8787150</v>
      </c>
    </row>
    <row r="61" spans="1:23" x14ac:dyDescent="0.2">
      <c r="A61" s="250">
        <v>53</v>
      </c>
      <c r="B61" s="266">
        <v>7</v>
      </c>
      <c r="C61" s="267">
        <v>10</v>
      </c>
      <c r="D61" s="267" t="str">
        <f t="shared" si="9"/>
        <v>Block 7 Lot 10</v>
      </c>
      <c r="E61" s="268" t="s">
        <v>1</v>
      </c>
      <c r="F61" s="267">
        <v>539</v>
      </c>
      <c r="G61" s="269">
        <v>9040000</v>
      </c>
      <c r="H61" s="255">
        <f t="shared" si="0"/>
        <v>16771.799628942485</v>
      </c>
      <c r="I61" s="270">
        <f t="shared" si="6"/>
        <v>10298500</v>
      </c>
      <c r="J61" s="257" t="s">
        <v>229</v>
      </c>
      <c r="K61" s="258">
        <v>0.1</v>
      </c>
      <c r="L61" s="259">
        <f t="shared" si="10"/>
        <v>9648500</v>
      </c>
      <c r="M61" s="259">
        <f t="shared" si="11"/>
        <v>17900.742115027828</v>
      </c>
      <c r="N61" s="259">
        <f t="shared" si="3"/>
        <v>9648500</v>
      </c>
      <c r="O61" s="260">
        <f t="shared" si="7"/>
        <v>8683650</v>
      </c>
      <c r="P61" s="261">
        <f t="shared" si="12"/>
        <v>16110.667903525047</v>
      </c>
      <c r="Q61" s="262"/>
      <c r="R61" s="263">
        <f t="shared" si="5"/>
        <v>8683650</v>
      </c>
      <c r="S61" s="263"/>
      <c r="T61" s="263"/>
      <c r="U61" s="264"/>
      <c r="V61" s="258"/>
      <c r="W61" s="265">
        <f t="shared" si="8"/>
        <v>8683650</v>
      </c>
    </row>
    <row r="62" spans="1:23" x14ac:dyDescent="0.2">
      <c r="A62" s="250">
        <v>54</v>
      </c>
      <c r="B62" s="266">
        <v>7</v>
      </c>
      <c r="C62" s="267">
        <v>11</v>
      </c>
      <c r="D62" s="267" t="str">
        <f t="shared" si="9"/>
        <v>Block 7 Lot 11</v>
      </c>
      <c r="E62" s="268" t="s">
        <v>1</v>
      </c>
      <c r="F62" s="267">
        <v>539</v>
      </c>
      <c r="G62" s="269">
        <v>9040000</v>
      </c>
      <c r="H62" s="255">
        <f t="shared" si="0"/>
        <v>16771.799628942485</v>
      </c>
      <c r="I62" s="270">
        <f t="shared" si="6"/>
        <v>10298500</v>
      </c>
      <c r="J62" s="257" t="s">
        <v>229</v>
      </c>
      <c r="K62" s="258">
        <v>0.1</v>
      </c>
      <c r="L62" s="259">
        <f t="shared" si="10"/>
        <v>9648500</v>
      </c>
      <c r="M62" s="259">
        <f t="shared" si="11"/>
        <v>17900.742115027828</v>
      </c>
      <c r="N62" s="259">
        <f t="shared" si="3"/>
        <v>9648500</v>
      </c>
      <c r="O62" s="260">
        <f t="shared" si="7"/>
        <v>8683650</v>
      </c>
      <c r="P62" s="261">
        <f t="shared" si="12"/>
        <v>16110.667903525047</v>
      </c>
      <c r="Q62" s="262"/>
      <c r="R62" s="263">
        <f t="shared" si="5"/>
        <v>8683650</v>
      </c>
      <c r="S62" s="263"/>
      <c r="T62" s="263"/>
      <c r="U62" s="264"/>
      <c r="W62" s="265">
        <f t="shared" si="8"/>
        <v>8683650</v>
      </c>
    </row>
    <row r="63" spans="1:23" x14ac:dyDescent="0.2">
      <c r="A63" s="250">
        <v>55</v>
      </c>
      <c r="B63" s="266">
        <v>7</v>
      </c>
      <c r="C63" s="267">
        <v>12</v>
      </c>
      <c r="D63" s="267" t="str">
        <f t="shared" si="9"/>
        <v>Block 7 Lot 12</v>
      </c>
      <c r="E63" s="268" t="s">
        <v>1</v>
      </c>
      <c r="F63" s="267">
        <v>600</v>
      </c>
      <c r="G63" s="269">
        <v>10770000</v>
      </c>
      <c r="H63" s="255">
        <f t="shared" si="0"/>
        <v>17950</v>
      </c>
      <c r="I63" s="270">
        <f t="shared" si="6"/>
        <v>12288000</v>
      </c>
      <c r="J63" s="257" t="s">
        <v>229</v>
      </c>
      <c r="K63" s="258">
        <v>0.1</v>
      </c>
      <c r="L63" s="259">
        <f t="shared" si="10"/>
        <v>11638000</v>
      </c>
      <c r="M63" s="259">
        <f t="shared" si="11"/>
        <v>19396.666666666668</v>
      </c>
      <c r="N63" s="259">
        <f t="shared" si="3"/>
        <v>11638000</v>
      </c>
      <c r="O63" s="260">
        <f t="shared" si="7"/>
        <v>10474200</v>
      </c>
      <c r="P63" s="261">
        <f t="shared" si="12"/>
        <v>17457</v>
      </c>
      <c r="Q63" s="262"/>
      <c r="R63" s="263">
        <f t="shared" si="5"/>
        <v>10474200</v>
      </c>
      <c r="S63" s="263"/>
      <c r="T63" s="263"/>
      <c r="U63" s="264"/>
      <c r="W63" s="265">
        <f t="shared" si="8"/>
        <v>10474200</v>
      </c>
    </row>
    <row r="64" spans="1:23" x14ac:dyDescent="0.2">
      <c r="A64" s="250">
        <v>56</v>
      </c>
      <c r="B64" s="266">
        <v>7</v>
      </c>
      <c r="C64" s="267">
        <v>15</v>
      </c>
      <c r="D64" s="267" t="str">
        <f t="shared" si="9"/>
        <v>Block 7 Lot 15</v>
      </c>
      <c r="E64" s="268" t="s">
        <v>1</v>
      </c>
      <c r="F64" s="267">
        <v>600</v>
      </c>
      <c r="G64" s="269">
        <v>10770000</v>
      </c>
      <c r="H64" s="255">
        <f t="shared" si="0"/>
        <v>17950</v>
      </c>
      <c r="I64" s="270">
        <f t="shared" si="6"/>
        <v>12288000</v>
      </c>
      <c r="J64" s="257" t="s">
        <v>229</v>
      </c>
      <c r="K64" s="258">
        <v>0.1</v>
      </c>
      <c r="L64" s="259">
        <f t="shared" si="10"/>
        <v>11638000</v>
      </c>
      <c r="M64" s="259">
        <f t="shared" si="11"/>
        <v>19396.666666666668</v>
      </c>
      <c r="N64" s="259">
        <f t="shared" si="3"/>
        <v>11638000</v>
      </c>
      <c r="O64" s="260">
        <f t="shared" si="7"/>
        <v>10474200</v>
      </c>
      <c r="P64" s="261">
        <f t="shared" si="12"/>
        <v>17457</v>
      </c>
      <c r="Q64" s="262"/>
      <c r="R64" s="263">
        <f t="shared" si="5"/>
        <v>10474200</v>
      </c>
      <c r="S64" s="263"/>
      <c r="T64" s="263"/>
      <c r="U64" s="264"/>
      <c r="W64" s="265">
        <f t="shared" si="8"/>
        <v>10474200</v>
      </c>
    </row>
    <row r="65" spans="1:23" x14ac:dyDescent="0.2">
      <c r="A65" s="250">
        <v>57</v>
      </c>
      <c r="B65" s="266">
        <v>7</v>
      </c>
      <c r="C65" s="267">
        <v>16</v>
      </c>
      <c r="D65" s="267" t="str">
        <f t="shared" si="9"/>
        <v>Block 7 Lot 16</v>
      </c>
      <c r="E65" s="268" t="s">
        <v>1</v>
      </c>
      <c r="F65" s="267">
        <v>554</v>
      </c>
      <c r="G65" s="269">
        <v>9280000</v>
      </c>
      <c r="H65" s="255">
        <f t="shared" ref="H65:H128" si="13">+G65/F65</f>
        <v>16750.902527075814</v>
      </c>
      <c r="I65" s="270">
        <f t="shared" si="6"/>
        <v>10574500</v>
      </c>
      <c r="J65" s="257" t="s">
        <v>229</v>
      </c>
      <c r="K65" s="258">
        <v>0.1</v>
      </c>
      <c r="L65" s="259">
        <f t="shared" si="10"/>
        <v>9924500</v>
      </c>
      <c r="M65" s="259">
        <f t="shared" si="11"/>
        <v>17914.259927797833</v>
      </c>
      <c r="N65" s="259">
        <f t="shared" ref="N65:N128" si="14">+L65-(L65*0%)</f>
        <v>9924500</v>
      </c>
      <c r="O65" s="260">
        <f t="shared" si="7"/>
        <v>8932050</v>
      </c>
      <c r="P65" s="261">
        <f t="shared" si="12"/>
        <v>16122.83393501805</v>
      </c>
      <c r="Q65" s="262"/>
      <c r="R65" s="263">
        <f t="shared" si="5"/>
        <v>8932050</v>
      </c>
      <c r="S65" s="263"/>
      <c r="T65" s="263"/>
      <c r="U65" s="264"/>
      <c r="W65" s="265">
        <f t="shared" si="8"/>
        <v>8932050</v>
      </c>
    </row>
    <row r="66" spans="1:23" x14ac:dyDescent="0.2">
      <c r="A66" s="250">
        <v>58</v>
      </c>
      <c r="B66" s="266">
        <v>7</v>
      </c>
      <c r="C66" s="267">
        <v>17</v>
      </c>
      <c r="D66" s="267" t="str">
        <f t="shared" si="9"/>
        <v>Block 7 Lot 17</v>
      </c>
      <c r="E66" s="268" t="s">
        <v>1</v>
      </c>
      <c r="F66" s="267">
        <v>554</v>
      </c>
      <c r="G66" s="269">
        <v>9280000</v>
      </c>
      <c r="H66" s="255">
        <f t="shared" si="13"/>
        <v>16750.902527075814</v>
      </c>
      <c r="I66" s="270">
        <f t="shared" si="6"/>
        <v>10574500</v>
      </c>
      <c r="J66" s="257" t="s">
        <v>229</v>
      </c>
      <c r="K66" s="258">
        <v>0.1</v>
      </c>
      <c r="L66" s="259">
        <f t="shared" ref="L66:L97" si="15">+(I66-650000)</f>
        <v>9924500</v>
      </c>
      <c r="M66" s="259">
        <f t="shared" ref="M66:M97" si="16">+L66/F66</f>
        <v>17914.259927797833</v>
      </c>
      <c r="N66" s="259">
        <f t="shared" si="14"/>
        <v>9924500</v>
      </c>
      <c r="O66" s="260">
        <f t="shared" si="7"/>
        <v>8932050</v>
      </c>
      <c r="P66" s="261">
        <f t="shared" ref="P66:P97" si="17">+O66/F66</f>
        <v>16122.83393501805</v>
      </c>
      <c r="Q66" s="262"/>
      <c r="R66" s="263">
        <f t="shared" ref="R66:R129" si="18">+O66-(O66*Q66)</f>
        <v>8932050</v>
      </c>
      <c r="S66" s="263"/>
      <c r="T66" s="263"/>
      <c r="U66" s="264"/>
      <c r="W66" s="265">
        <f t="shared" si="8"/>
        <v>8932050</v>
      </c>
    </row>
    <row r="67" spans="1:23" x14ac:dyDescent="0.2">
      <c r="A67" s="250">
        <v>59</v>
      </c>
      <c r="B67" s="266">
        <v>7</v>
      </c>
      <c r="C67" s="267">
        <v>18</v>
      </c>
      <c r="D67" s="267" t="str">
        <f t="shared" si="9"/>
        <v>Block 7 Lot 18</v>
      </c>
      <c r="E67" s="268" t="s">
        <v>1</v>
      </c>
      <c r="F67" s="267">
        <v>560</v>
      </c>
      <c r="G67" s="269">
        <v>9370000</v>
      </c>
      <c r="H67" s="255">
        <f t="shared" si="13"/>
        <v>16732.142857142859</v>
      </c>
      <c r="I67" s="270">
        <f t="shared" ref="I67:I130" si="19">+((G67-650000)*1.15)+650000</f>
        <v>10678000</v>
      </c>
      <c r="J67" s="257" t="s">
        <v>229</v>
      </c>
      <c r="K67" s="258">
        <v>0.1</v>
      </c>
      <c r="L67" s="259">
        <f t="shared" si="15"/>
        <v>10028000</v>
      </c>
      <c r="M67" s="259">
        <f t="shared" si="16"/>
        <v>17907.142857142859</v>
      </c>
      <c r="N67" s="259">
        <f t="shared" si="14"/>
        <v>10028000</v>
      </c>
      <c r="O67" s="260">
        <f t="shared" ref="O67:O130" si="20">+N67-(N67*K67)</f>
        <v>9025200</v>
      </c>
      <c r="P67" s="261">
        <f t="shared" si="17"/>
        <v>16116.428571428571</v>
      </c>
      <c r="Q67" s="262"/>
      <c r="R67" s="263">
        <f t="shared" si="18"/>
        <v>9025200</v>
      </c>
      <c r="S67" s="263"/>
      <c r="T67" s="263"/>
      <c r="U67" s="264"/>
      <c r="W67" s="265">
        <f t="shared" ref="W67:W130" si="21">+R67-(R67*V67)</f>
        <v>9025200</v>
      </c>
    </row>
    <row r="68" spans="1:23" x14ac:dyDescent="0.2">
      <c r="A68" s="250">
        <v>60</v>
      </c>
      <c r="B68" s="266">
        <v>7</v>
      </c>
      <c r="C68" s="267">
        <v>19</v>
      </c>
      <c r="D68" s="267" t="str">
        <f t="shared" ref="D68:D112" si="22">CONCATENATE("Block"," ",B68," ","Lot"," ",C68)</f>
        <v>Block 7 Lot 19</v>
      </c>
      <c r="E68" s="268" t="s">
        <v>1</v>
      </c>
      <c r="F68" s="267">
        <v>560</v>
      </c>
      <c r="G68" s="269">
        <v>10100000</v>
      </c>
      <c r="H68" s="255">
        <f t="shared" si="13"/>
        <v>18035.714285714286</v>
      </c>
      <c r="I68" s="270">
        <f t="shared" si="19"/>
        <v>11517500</v>
      </c>
      <c r="J68" s="257" t="s">
        <v>229</v>
      </c>
      <c r="K68" s="258">
        <v>0.1</v>
      </c>
      <c r="L68" s="259">
        <f t="shared" si="15"/>
        <v>10867500</v>
      </c>
      <c r="M68" s="259">
        <f t="shared" si="16"/>
        <v>19406.25</v>
      </c>
      <c r="N68" s="259">
        <f t="shared" si="14"/>
        <v>10867500</v>
      </c>
      <c r="O68" s="260">
        <f t="shared" si="20"/>
        <v>9780750</v>
      </c>
      <c r="P68" s="261">
        <f t="shared" si="17"/>
        <v>17465.625</v>
      </c>
      <c r="Q68" s="262"/>
      <c r="R68" s="263">
        <f t="shared" si="18"/>
        <v>9780750</v>
      </c>
      <c r="S68" s="263"/>
      <c r="T68" s="263"/>
      <c r="U68" s="264"/>
      <c r="V68" s="258">
        <v>0.02</v>
      </c>
      <c r="W68" s="265">
        <f t="shared" si="21"/>
        <v>9585135</v>
      </c>
    </row>
    <row r="69" spans="1:23" x14ac:dyDescent="0.2">
      <c r="A69" s="250">
        <v>61</v>
      </c>
      <c r="B69" s="266">
        <v>7</v>
      </c>
      <c r="C69" s="267">
        <v>20</v>
      </c>
      <c r="D69" s="267" t="str">
        <f t="shared" si="22"/>
        <v>Block 7 Lot 20</v>
      </c>
      <c r="E69" s="268" t="s">
        <v>1</v>
      </c>
      <c r="F69" s="267">
        <v>560</v>
      </c>
      <c r="G69" s="269">
        <v>10100000</v>
      </c>
      <c r="H69" s="255">
        <f t="shared" si="13"/>
        <v>18035.714285714286</v>
      </c>
      <c r="I69" s="270">
        <f t="shared" si="19"/>
        <v>11517500</v>
      </c>
      <c r="J69" s="257" t="s">
        <v>229</v>
      </c>
      <c r="K69" s="258">
        <v>0.1</v>
      </c>
      <c r="L69" s="259">
        <f t="shared" si="15"/>
        <v>10867500</v>
      </c>
      <c r="M69" s="259">
        <f t="shared" si="16"/>
        <v>19406.25</v>
      </c>
      <c r="N69" s="259">
        <f t="shared" si="14"/>
        <v>10867500</v>
      </c>
      <c r="O69" s="260">
        <f t="shared" si="20"/>
        <v>9780750</v>
      </c>
      <c r="P69" s="261">
        <f t="shared" si="17"/>
        <v>17465.625</v>
      </c>
      <c r="Q69" s="262"/>
      <c r="R69" s="263">
        <f t="shared" si="18"/>
        <v>9780750</v>
      </c>
      <c r="S69" s="263"/>
      <c r="T69" s="263"/>
      <c r="U69" s="264"/>
      <c r="W69" s="265">
        <f t="shared" si="21"/>
        <v>9780750</v>
      </c>
    </row>
    <row r="70" spans="1:23" x14ac:dyDescent="0.2">
      <c r="A70" s="250">
        <v>62</v>
      </c>
      <c r="B70" s="266">
        <v>7</v>
      </c>
      <c r="C70" s="267">
        <v>21</v>
      </c>
      <c r="D70" s="267" t="str">
        <f t="shared" si="22"/>
        <v>Block 7 Lot 21</v>
      </c>
      <c r="E70" s="268" t="s">
        <v>1</v>
      </c>
      <c r="F70" s="267">
        <v>560</v>
      </c>
      <c r="G70" s="269">
        <v>10100000</v>
      </c>
      <c r="H70" s="255">
        <f t="shared" si="13"/>
        <v>18035.714285714286</v>
      </c>
      <c r="I70" s="270">
        <f t="shared" si="19"/>
        <v>11517500</v>
      </c>
      <c r="J70" s="257" t="s">
        <v>229</v>
      </c>
      <c r="K70" s="258">
        <v>0.1</v>
      </c>
      <c r="L70" s="259">
        <f t="shared" si="15"/>
        <v>10867500</v>
      </c>
      <c r="M70" s="259">
        <f t="shared" si="16"/>
        <v>19406.25</v>
      </c>
      <c r="N70" s="259">
        <f t="shared" si="14"/>
        <v>10867500</v>
      </c>
      <c r="O70" s="260">
        <f t="shared" si="20"/>
        <v>9780750</v>
      </c>
      <c r="P70" s="261">
        <f t="shared" si="17"/>
        <v>17465.625</v>
      </c>
      <c r="Q70" s="262"/>
      <c r="R70" s="263">
        <f t="shared" si="18"/>
        <v>9780750</v>
      </c>
      <c r="S70" s="263"/>
      <c r="T70" s="263"/>
      <c r="U70" s="264"/>
      <c r="W70" s="265">
        <f t="shared" si="21"/>
        <v>9780750</v>
      </c>
    </row>
    <row r="71" spans="1:23" x14ac:dyDescent="0.2">
      <c r="A71" s="250">
        <v>63</v>
      </c>
      <c r="B71" s="266">
        <v>7</v>
      </c>
      <c r="C71" s="267">
        <v>23</v>
      </c>
      <c r="D71" s="267" t="str">
        <f t="shared" si="22"/>
        <v>Block 7 Lot 23</v>
      </c>
      <c r="E71" s="268" t="s">
        <v>1</v>
      </c>
      <c r="F71" s="267">
        <v>592</v>
      </c>
      <c r="G71" s="269">
        <v>9870000</v>
      </c>
      <c r="H71" s="255">
        <f t="shared" si="13"/>
        <v>16672.297297297297</v>
      </c>
      <c r="I71" s="270">
        <f t="shared" si="19"/>
        <v>11253000</v>
      </c>
      <c r="J71" s="257" t="s">
        <v>229</v>
      </c>
      <c r="K71" s="258">
        <v>0.1</v>
      </c>
      <c r="L71" s="259">
        <f t="shared" si="15"/>
        <v>10603000</v>
      </c>
      <c r="M71" s="259">
        <f t="shared" si="16"/>
        <v>17910.472972972973</v>
      </c>
      <c r="N71" s="259">
        <f t="shared" si="14"/>
        <v>10603000</v>
      </c>
      <c r="O71" s="260">
        <f t="shared" si="20"/>
        <v>9542700</v>
      </c>
      <c r="P71" s="261">
        <f t="shared" si="17"/>
        <v>16119.425675675675</v>
      </c>
      <c r="Q71" s="262"/>
      <c r="R71" s="263">
        <f t="shared" si="18"/>
        <v>9542700</v>
      </c>
      <c r="S71" s="263"/>
      <c r="T71" s="263"/>
      <c r="U71" s="264"/>
      <c r="W71" s="265">
        <f t="shared" si="21"/>
        <v>9542700</v>
      </c>
    </row>
    <row r="72" spans="1:23" x14ac:dyDescent="0.2">
      <c r="A72" s="250">
        <v>64</v>
      </c>
      <c r="B72" s="266">
        <v>7</v>
      </c>
      <c r="C72" s="267">
        <v>25</v>
      </c>
      <c r="D72" s="267" t="str">
        <f t="shared" si="22"/>
        <v>Block 7 Lot 25</v>
      </c>
      <c r="E72" s="268" t="s">
        <v>1</v>
      </c>
      <c r="F72" s="267">
        <v>600</v>
      </c>
      <c r="G72" s="269">
        <v>9990000</v>
      </c>
      <c r="H72" s="255">
        <f t="shared" si="13"/>
        <v>16650</v>
      </c>
      <c r="I72" s="270">
        <f t="shared" si="19"/>
        <v>11391000</v>
      </c>
      <c r="J72" s="257" t="s">
        <v>229</v>
      </c>
      <c r="K72" s="258">
        <v>0.1</v>
      </c>
      <c r="L72" s="259">
        <f t="shared" si="15"/>
        <v>10741000</v>
      </c>
      <c r="M72" s="259">
        <f t="shared" si="16"/>
        <v>17901.666666666668</v>
      </c>
      <c r="N72" s="259">
        <f t="shared" si="14"/>
        <v>10741000</v>
      </c>
      <c r="O72" s="260">
        <f t="shared" si="20"/>
        <v>9666900</v>
      </c>
      <c r="P72" s="261">
        <f t="shared" si="17"/>
        <v>16111.5</v>
      </c>
      <c r="Q72" s="262"/>
      <c r="R72" s="263">
        <f t="shared" si="18"/>
        <v>9666900</v>
      </c>
      <c r="S72" s="263"/>
      <c r="T72" s="263"/>
      <c r="U72" s="264"/>
      <c r="V72" s="258">
        <v>0.02</v>
      </c>
      <c r="W72" s="265">
        <f t="shared" si="21"/>
        <v>9473562</v>
      </c>
    </row>
    <row r="73" spans="1:23" x14ac:dyDescent="0.2">
      <c r="A73" s="250">
        <v>65</v>
      </c>
      <c r="B73" s="266">
        <v>7</v>
      </c>
      <c r="C73" s="267">
        <v>26</v>
      </c>
      <c r="D73" s="267" t="str">
        <f t="shared" si="22"/>
        <v>Block 7 Lot 26</v>
      </c>
      <c r="E73" s="268" t="s">
        <v>1</v>
      </c>
      <c r="F73" s="267">
        <v>601</v>
      </c>
      <c r="G73" s="269">
        <v>10010000</v>
      </c>
      <c r="H73" s="255">
        <f t="shared" si="13"/>
        <v>16655.574043261233</v>
      </c>
      <c r="I73" s="270">
        <f t="shared" si="19"/>
        <v>11414000</v>
      </c>
      <c r="J73" s="257" t="s">
        <v>229</v>
      </c>
      <c r="K73" s="258">
        <v>0.1</v>
      </c>
      <c r="L73" s="259">
        <f t="shared" si="15"/>
        <v>10764000</v>
      </c>
      <c r="M73" s="259">
        <f t="shared" si="16"/>
        <v>17910.149750415974</v>
      </c>
      <c r="N73" s="259">
        <f t="shared" si="14"/>
        <v>10764000</v>
      </c>
      <c r="O73" s="260">
        <f t="shared" si="20"/>
        <v>9687600</v>
      </c>
      <c r="P73" s="261">
        <f t="shared" si="17"/>
        <v>16119.134775374376</v>
      </c>
      <c r="Q73" s="262"/>
      <c r="R73" s="263">
        <f t="shared" si="18"/>
        <v>9687600</v>
      </c>
      <c r="S73" s="263"/>
      <c r="T73" s="263"/>
      <c r="U73" s="264"/>
      <c r="W73" s="265">
        <f t="shared" si="21"/>
        <v>9687600</v>
      </c>
    </row>
    <row r="74" spans="1:23" x14ac:dyDescent="0.2">
      <c r="A74" s="250"/>
      <c r="B74" s="266">
        <v>8</v>
      </c>
      <c r="C74" s="267">
        <v>1</v>
      </c>
      <c r="D74" s="267" t="str">
        <f t="shared" si="22"/>
        <v>Block 8 Lot 1</v>
      </c>
      <c r="E74" s="268" t="s">
        <v>1</v>
      </c>
      <c r="F74" s="267">
        <v>450</v>
      </c>
      <c r="G74" s="269">
        <v>7370000</v>
      </c>
      <c r="H74" s="255">
        <f t="shared" si="13"/>
        <v>16377.777777777777</v>
      </c>
      <c r="I74" s="270">
        <f t="shared" si="19"/>
        <v>8377999.9999999991</v>
      </c>
      <c r="J74" s="257" t="s">
        <v>228</v>
      </c>
      <c r="K74" s="258">
        <v>0.1</v>
      </c>
      <c r="L74" s="259">
        <f t="shared" si="15"/>
        <v>7727999.9999999991</v>
      </c>
      <c r="M74" s="259">
        <f t="shared" si="16"/>
        <v>17173.333333333332</v>
      </c>
      <c r="N74" s="259">
        <f t="shared" si="14"/>
        <v>7727999.9999999991</v>
      </c>
      <c r="O74" s="260">
        <f t="shared" si="20"/>
        <v>6955199.9999999991</v>
      </c>
      <c r="P74" s="261">
        <f t="shared" si="17"/>
        <v>15455.999999999998</v>
      </c>
      <c r="Q74" s="262"/>
      <c r="R74" s="263">
        <f t="shared" si="18"/>
        <v>6955199.9999999991</v>
      </c>
      <c r="S74" s="263"/>
      <c r="T74" s="263"/>
      <c r="U74" s="264"/>
      <c r="W74" s="265">
        <f t="shared" si="21"/>
        <v>6955199.9999999991</v>
      </c>
    </row>
    <row r="75" spans="1:23" x14ac:dyDescent="0.2">
      <c r="A75" s="250">
        <v>66</v>
      </c>
      <c r="B75" s="266">
        <v>8</v>
      </c>
      <c r="C75" s="267">
        <v>2</v>
      </c>
      <c r="D75" s="267" t="str">
        <f t="shared" si="22"/>
        <v>Block 8 Lot 2</v>
      </c>
      <c r="E75" s="268" t="s">
        <v>1</v>
      </c>
      <c r="F75" s="267">
        <v>600</v>
      </c>
      <c r="G75" s="269">
        <v>9210000</v>
      </c>
      <c r="H75" s="255">
        <f t="shared" si="13"/>
        <v>15350</v>
      </c>
      <c r="I75" s="270">
        <f t="shared" si="19"/>
        <v>10494000</v>
      </c>
      <c r="J75" s="257" t="s">
        <v>229</v>
      </c>
      <c r="K75" s="258">
        <v>0.1</v>
      </c>
      <c r="L75" s="259">
        <f t="shared" si="15"/>
        <v>9844000</v>
      </c>
      <c r="M75" s="259">
        <f t="shared" si="16"/>
        <v>16406.666666666668</v>
      </c>
      <c r="N75" s="259">
        <f t="shared" si="14"/>
        <v>9844000</v>
      </c>
      <c r="O75" s="260">
        <f t="shared" si="20"/>
        <v>8859600</v>
      </c>
      <c r="P75" s="261">
        <f t="shared" si="17"/>
        <v>14766</v>
      </c>
      <c r="Q75" s="262"/>
      <c r="R75" s="263">
        <f t="shared" si="18"/>
        <v>8859600</v>
      </c>
      <c r="S75" s="263"/>
      <c r="T75" s="263"/>
      <c r="U75" s="264"/>
      <c r="W75" s="265">
        <f t="shared" si="21"/>
        <v>8859600</v>
      </c>
    </row>
    <row r="76" spans="1:23" x14ac:dyDescent="0.2">
      <c r="A76" s="250">
        <v>67</v>
      </c>
      <c r="B76" s="266">
        <v>8</v>
      </c>
      <c r="C76" s="267">
        <v>3</v>
      </c>
      <c r="D76" s="267" t="str">
        <f t="shared" si="22"/>
        <v>Block 8 Lot 3</v>
      </c>
      <c r="E76" s="268" t="s">
        <v>1</v>
      </c>
      <c r="F76" s="267">
        <v>590</v>
      </c>
      <c r="G76" s="269">
        <v>9070000</v>
      </c>
      <c r="H76" s="255">
        <f t="shared" si="13"/>
        <v>15372.881355932202</v>
      </c>
      <c r="I76" s="270">
        <f t="shared" si="19"/>
        <v>10333000</v>
      </c>
      <c r="J76" s="257" t="s">
        <v>229</v>
      </c>
      <c r="K76" s="258">
        <v>0.1</v>
      </c>
      <c r="L76" s="259">
        <f t="shared" si="15"/>
        <v>9683000</v>
      </c>
      <c r="M76" s="259">
        <f t="shared" si="16"/>
        <v>16411.864406779659</v>
      </c>
      <c r="N76" s="259">
        <f t="shared" si="14"/>
        <v>9683000</v>
      </c>
      <c r="O76" s="260">
        <f t="shared" si="20"/>
        <v>8714700</v>
      </c>
      <c r="P76" s="261">
        <f t="shared" si="17"/>
        <v>14770.677966101695</v>
      </c>
      <c r="Q76" s="262"/>
      <c r="R76" s="263">
        <f t="shared" si="18"/>
        <v>8714700</v>
      </c>
      <c r="S76" s="263"/>
      <c r="T76" s="263"/>
      <c r="U76" s="264"/>
      <c r="W76" s="265">
        <f t="shared" si="21"/>
        <v>8714700</v>
      </c>
    </row>
    <row r="77" spans="1:23" x14ac:dyDescent="0.2">
      <c r="A77" s="250">
        <v>68</v>
      </c>
      <c r="B77" s="266">
        <v>8</v>
      </c>
      <c r="C77" s="267">
        <v>5</v>
      </c>
      <c r="D77" s="267" t="str">
        <f t="shared" si="22"/>
        <v>Block 8 Lot 5</v>
      </c>
      <c r="E77" s="268" t="s">
        <v>1</v>
      </c>
      <c r="F77" s="267">
        <v>590</v>
      </c>
      <c r="G77" s="269">
        <v>9450000</v>
      </c>
      <c r="H77" s="255">
        <f t="shared" si="13"/>
        <v>16016.949152542373</v>
      </c>
      <c r="I77" s="270">
        <f t="shared" si="19"/>
        <v>10770000</v>
      </c>
      <c r="J77" s="257" t="s">
        <v>229</v>
      </c>
      <c r="K77" s="258">
        <v>0.1</v>
      </c>
      <c r="L77" s="259">
        <f t="shared" si="15"/>
        <v>10120000</v>
      </c>
      <c r="M77" s="259">
        <f t="shared" si="16"/>
        <v>17152.542372881355</v>
      </c>
      <c r="N77" s="259">
        <f t="shared" si="14"/>
        <v>10120000</v>
      </c>
      <c r="O77" s="260">
        <f t="shared" si="20"/>
        <v>9108000</v>
      </c>
      <c r="P77" s="261">
        <f t="shared" si="17"/>
        <v>15437.28813559322</v>
      </c>
      <c r="Q77" s="262"/>
      <c r="R77" s="263">
        <f t="shared" si="18"/>
        <v>9108000</v>
      </c>
      <c r="S77" s="263"/>
      <c r="T77" s="263"/>
      <c r="U77" s="264"/>
      <c r="V77" s="258">
        <v>0.02</v>
      </c>
      <c r="W77" s="265">
        <f t="shared" si="21"/>
        <v>8925840</v>
      </c>
    </row>
    <row r="78" spans="1:23" x14ac:dyDescent="0.2">
      <c r="A78" s="250">
        <v>69</v>
      </c>
      <c r="B78" s="266">
        <v>8</v>
      </c>
      <c r="C78" s="267">
        <v>6</v>
      </c>
      <c r="D78" s="267" t="str">
        <f t="shared" si="22"/>
        <v>Block 8 Lot 6</v>
      </c>
      <c r="E78" s="268" t="s">
        <v>1</v>
      </c>
      <c r="F78" s="267">
        <v>590</v>
      </c>
      <c r="G78" s="269">
        <v>9450000</v>
      </c>
      <c r="H78" s="255">
        <f t="shared" si="13"/>
        <v>16016.949152542373</v>
      </c>
      <c r="I78" s="270">
        <f t="shared" si="19"/>
        <v>10770000</v>
      </c>
      <c r="J78" s="257" t="s">
        <v>229</v>
      </c>
      <c r="K78" s="258">
        <v>0.1</v>
      </c>
      <c r="L78" s="259">
        <f t="shared" si="15"/>
        <v>10120000</v>
      </c>
      <c r="M78" s="259">
        <f t="shared" si="16"/>
        <v>17152.542372881355</v>
      </c>
      <c r="N78" s="259">
        <f t="shared" si="14"/>
        <v>10120000</v>
      </c>
      <c r="O78" s="260">
        <f t="shared" si="20"/>
        <v>9108000</v>
      </c>
      <c r="P78" s="261">
        <f t="shared" si="17"/>
        <v>15437.28813559322</v>
      </c>
      <c r="Q78" s="262"/>
      <c r="R78" s="263">
        <f t="shared" si="18"/>
        <v>9108000</v>
      </c>
      <c r="S78" s="263"/>
      <c r="T78" s="263"/>
      <c r="U78" s="264"/>
      <c r="W78" s="265">
        <f t="shared" si="21"/>
        <v>9108000</v>
      </c>
    </row>
    <row r="79" spans="1:23" x14ac:dyDescent="0.2">
      <c r="A79" s="250">
        <v>70</v>
      </c>
      <c r="B79" s="266">
        <v>8</v>
      </c>
      <c r="C79" s="267">
        <v>7</v>
      </c>
      <c r="D79" s="267" t="str">
        <f t="shared" si="22"/>
        <v>Block 8 Lot 7</v>
      </c>
      <c r="E79" s="268" t="s">
        <v>1</v>
      </c>
      <c r="F79" s="267">
        <v>590</v>
      </c>
      <c r="G79" s="269">
        <v>9070000</v>
      </c>
      <c r="H79" s="255">
        <f t="shared" si="13"/>
        <v>15372.881355932202</v>
      </c>
      <c r="I79" s="270">
        <f t="shared" si="19"/>
        <v>10333000</v>
      </c>
      <c r="J79" s="257" t="s">
        <v>229</v>
      </c>
      <c r="K79" s="258">
        <v>0.1</v>
      </c>
      <c r="L79" s="259">
        <f t="shared" si="15"/>
        <v>9683000</v>
      </c>
      <c r="M79" s="259">
        <f t="shared" si="16"/>
        <v>16411.864406779659</v>
      </c>
      <c r="N79" s="259">
        <f t="shared" si="14"/>
        <v>9683000</v>
      </c>
      <c r="O79" s="260">
        <f t="shared" si="20"/>
        <v>8714700</v>
      </c>
      <c r="P79" s="261">
        <f t="shared" si="17"/>
        <v>14770.677966101695</v>
      </c>
      <c r="Q79" s="262"/>
      <c r="R79" s="263">
        <f t="shared" si="18"/>
        <v>8714700</v>
      </c>
      <c r="S79" s="263"/>
      <c r="T79" s="263"/>
      <c r="U79" s="264"/>
      <c r="W79" s="265">
        <f t="shared" si="21"/>
        <v>8714700</v>
      </c>
    </row>
    <row r="80" spans="1:23" x14ac:dyDescent="0.2">
      <c r="A80" s="250">
        <v>71</v>
      </c>
      <c r="B80" s="266">
        <v>8</v>
      </c>
      <c r="C80" s="267">
        <v>8</v>
      </c>
      <c r="D80" s="267" t="str">
        <f t="shared" si="22"/>
        <v>Block 8 Lot 8</v>
      </c>
      <c r="E80" s="268" t="s">
        <v>1</v>
      </c>
      <c r="F80" s="267">
        <v>600</v>
      </c>
      <c r="G80" s="269">
        <v>9370000</v>
      </c>
      <c r="H80" s="255">
        <f t="shared" si="13"/>
        <v>15616.666666666666</v>
      </c>
      <c r="I80" s="270">
        <f t="shared" si="19"/>
        <v>10678000</v>
      </c>
      <c r="J80" s="257" t="s">
        <v>229</v>
      </c>
      <c r="K80" s="258">
        <v>0.1</v>
      </c>
      <c r="L80" s="259">
        <f t="shared" si="15"/>
        <v>10028000</v>
      </c>
      <c r="M80" s="259">
        <f t="shared" si="16"/>
        <v>16713.333333333332</v>
      </c>
      <c r="N80" s="259">
        <f t="shared" si="14"/>
        <v>10028000</v>
      </c>
      <c r="O80" s="260">
        <f t="shared" si="20"/>
        <v>9025200</v>
      </c>
      <c r="P80" s="261">
        <f t="shared" si="17"/>
        <v>15042</v>
      </c>
      <c r="Q80" s="262"/>
      <c r="R80" s="263">
        <f t="shared" si="18"/>
        <v>9025200</v>
      </c>
      <c r="S80" s="263"/>
      <c r="T80" s="263"/>
      <c r="U80" s="264"/>
      <c r="W80" s="265">
        <f t="shared" si="21"/>
        <v>9025200</v>
      </c>
    </row>
    <row r="81" spans="1:23" x14ac:dyDescent="0.2">
      <c r="A81" s="250">
        <v>72</v>
      </c>
      <c r="B81" s="266">
        <v>8</v>
      </c>
      <c r="C81" s="267">
        <v>9</v>
      </c>
      <c r="D81" s="267" t="str">
        <f t="shared" si="22"/>
        <v>Block 8 Lot 9</v>
      </c>
      <c r="E81" s="268" t="s">
        <v>1</v>
      </c>
      <c r="F81" s="267">
        <v>601</v>
      </c>
      <c r="G81" s="269">
        <v>9230000</v>
      </c>
      <c r="H81" s="255">
        <f t="shared" si="13"/>
        <v>15357.737104825292</v>
      </c>
      <c r="I81" s="270">
        <f t="shared" si="19"/>
        <v>10517000</v>
      </c>
      <c r="J81" s="257" t="s">
        <v>229</v>
      </c>
      <c r="K81" s="258">
        <v>0.1</v>
      </c>
      <c r="L81" s="259">
        <f t="shared" si="15"/>
        <v>9867000</v>
      </c>
      <c r="M81" s="259">
        <f t="shared" si="16"/>
        <v>16417.637271214644</v>
      </c>
      <c r="N81" s="259">
        <f t="shared" si="14"/>
        <v>9867000</v>
      </c>
      <c r="O81" s="260">
        <f t="shared" si="20"/>
        <v>8880300</v>
      </c>
      <c r="P81" s="261">
        <f t="shared" si="17"/>
        <v>14775.873544093178</v>
      </c>
      <c r="Q81" s="262"/>
      <c r="R81" s="263">
        <f t="shared" si="18"/>
        <v>8880300</v>
      </c>
      <c r="S81" s="263"/>
      <c r="T81" s="263"/>
      <c r="U81" s="264"/>
      <c r="W81" s="265">
        <f t="shared" si="21"/>
        <v>8880300</v>
      </c>
    </row>
    <row r="82" spans="1:23" x14ac:dyDescent="0.2">
      <c r="A82" s="250">
        <v>73</v>
      </c>
      <c r="B82" s="266">
        <v>8</v>
      </c>
      <c r="C82" s="267">
        <v>10</v>
      </c>
      <c r="D82" s="267" t="str">
        <f t="shared" si="22"/>
        <v>Block 8 Lot 10</v>
      </c>
      <c r="E82" s="268" t="s">
        <v>1</v>
      </c>
      <c r="F82" s="267">
        <v>580</v>
      </c>
      <c r="G82" s="269">
        <v>8930000</v>
      </c>
      <c r="H82" s="255">
        <f t="shared" si="13"/>
        <v>15396.551724137931</v>
      </c>
      <c r="I82" s="270">
        <f t="shared" si="19"/>
        <v>10172000</v>
      </c>
      <c r="J82" s="257" t="s">
        <v>229</v>
      </c>
      <c r="K82" s="258">
        <v>0.1</v>
      </c>
      <c r="L82" s="259">
        <f t="shared" si="15"/>
        <v>9522000</v>
      </c>
      <c r="M82" s="259">
        <f t="shared" si="16"/>
        <v>16417.241379310344</v>
      </c>
      <c r="N82" s="259">
        <f t="shared" si="14"/>
        <v>9522000</v>
      </c>
      <c r="O82" s="260">
        <f t="shared" si="20"/>
        <v>8569800</v>
      </c>
      <c r="P82" s="261">
        <f t="shared" si="17"/>
        <v>14775.51724137931</v>
      </c>
      <c r="Q82" s="262"/>
      <c r="R82" s="263">
        <f t="shared" si="18"/>
        <v>8569800</v>
      </c>
      <c r="S82" s="263"/>
      <c r="T82" s="263"/>
      <c r="U82" s="264"/>
      <c r="W82" s="265">
        <f t="shared" si="21"/>
        <v>8569800</v>
      </c>
    </row>
    <row r="83" spans="1:23" x14ac:dyDescent="0.2">
      <c r="A83" s="250">
        <v>74</v>
      </c>
      <c r="B83" s="266">
        <v>8</v>
      </c>
      <c r="C83" s="267">
        <v>11</v>
      </c>
      <c r="D83" s="267" t="str">
        <f t="shared" si="22"/>
        <v>Block 8 Lot 11</v>
      </c>
      <c r="E83" s="268" t="s">
        <v>1</v>
      </c>
      <c r="F83" s="267">
        <v>510</v>
      </c>
      <c r="G83" s="269">
        <v>8260000</v>
      </c>
      <c r="H83" s="255">
        <f t="shared" si="13"/>
        <v>16196.078431372549</v>
      </c>
      <c r="I83" s="270">
        <f t="shared" si="19"/>
        <v>9401500</v>
      </c>
      <c r="J83" s="257" t="s">
        <v>229</v>
      </c>
      <c r="K83" s="258">
        <v>0.1</v>
      </c>
      <c r="L83" s="259">
        <f t="shared" si="15"/>
        <v>8751500</v>
      </c>
      <c r="M83" s="259">
        <f t="shared" si="16"/>
        <v>17159.803921568626</v>
      </c>
      <c r="N83" s="259">
        <f t="shared" si="14"/>
        <v>8751500</v>
      </c>
      <c r="O83" s="260">
        <f t="shared" si="20"/>
        <v>7876350</v>
      </c>
      <c r="P83" s="261">
        <f t="shared" si="17"/>
        <v>15443.823529411764</v>
      </c>
      <c r="Q83" s="262"/>
      <c r="R83" s="263">
        <f t="shared" si="18"/>
        <v>7876350</v>
      </c>
      <c r="S83" s="263"/>
      <c r="T83" s="263"/>
      <c r="U83" s="264"/>
      <c r="W83" s="265">
        <f t="shared" si="21"/>
        <v>7876350</v>
      </c>
    </row>
    <row r="84" spans="1:23" x14ac:dyDescent="0.2">
      <c r="A84" s="250">
        <v>75</v>
      </c>
      <c r="B84" s="266">
        <v>8</v>
      </c>
      <c r="C84" s="267">
        <v>12</v>
      </c>
      <c r="D84" s="267" t="str">
        <f t="shared" si="22"/>
        <v>Block 8 Lot 12</v>
      </c>
      <c r="E84" s="268" t="s">
        <v>1</v>
      </c>
      <c r="F84" s="267">
        <v>600</v>
      </c>
      <c r="G84" s="269">
        <v>10380000</v>
      </c>
      <c r="H84" s="255">
        <f t="shared" si="13"/>
        <v>17300</v>
      </c>
      <c r="I84" s="270">
        <f t="shared" si="19"/>
        <v>11839500</v>
      </c>
      <c r="J84" s="257" t="s">
        <v>229</v>
      </c>
      <c r="K84" s="258">
        <v>0.1</v>
      </c>
      <c r="L84" s="259">
        <f t="shared" si="15"/>
        <v>11189500</v>
      </c>
      <c r="M84" s="259">
        <f t="shared" si="16"/>
        <v>18649.166666666668</v>
      </c>
      <c r="N84" s="259">
        <f t="shared" si="14"/>
        <v>11189500</v>
      </c>
      <c r="O84" s="260">
        <f t="shared" si="20"/>
        <v>10070550</v>
      </c>
      <c r="P84" s="261">
        <f t="shared" si="17"/>
        <v>16784.25</v>
      </c>
      <c r="Q84" s="262"/>
      <c r="R84" s="263">
        <f t="shared" si="18"/>
        <v>10070550</v>
      </c>
      <c r="S84" s="263"/>
      <c r="T84" s="263"/>
      <c r="U84" s="264"/>
      <c r="W84" s="265">
        <f t="shared" si="21"/>
        <v>10070550</v>
      </c>
    </row>
    <row r="85" spans="1:23" x14ac:dyDescent="0.2">
      <c r="A85" s="250">
        <v>76</v>
      </c>
      <c r="B85" s="266">
        <v>8</v>
      </c>
      <c r="C85" s="267">
        <v>15</v>
      </c>
      <c r="D85" s="267" t="str">
        <f t="shared" si="22"/>
        <v>Block 8 Lot 15</v>
      </c>
      <c r="E85" s="268" t="s">
        <v>1</v>
      </c>
      <c r="F85" s="267">
        <v>482</v>
      </c>
      <c r="G85" s="269">
        <v>7840000</v>
      </c>
      <c r="H85" s="255">
        <f t="shared" si="13"/>
        <v>16265.560165975105</v>
      </c>
      <c r="I85" s="270">
        <f t="shared" si="19"/>
        <v>8918500</v>
      </c>
      <c r="J85" s="257" t="s">
        <v>229</v>
      </c>
      <c r="K85" s="258">
        <v>0.1</v>
      </c>
      <c r="L85" s="259">
        <f t="shared" si="15"/>
        <v>8268500</v>
      </c>
      <c r="M85" s="259">
        <f t="shared" si="16"/>
        <v>17154.564315352698</v>
      </c>
      <c r="N85" s="259">
        <f t="shared" si="14"/>
        <v>8268500</v>
      </c>
      <c r="O85" s="260">
        <f t="shared" si="20"/>
        <v>7441650</v>
      </c>
      <c r="P85" s="261">
        <f t="shared" si="17"/>
        <v>15439.107883817427</v>
      </c>
      <c r="Q85" s="262"/>
      <c r="R85" s="263">
        <f t="shared" si="18"/>
        <v>7441650</v>
      </c>
      <c r="S85" s="263"/>
      <c r="T85" s="263"/>
      <c r="U85" s="264"/>
      <c r="V85" s="258">
        <v>0.02</v>
      </c>
      <c r="W85" s="265">
        <f t="shared" si="21"/>
        <v>7292817</v>
      </c>
    </row>
    <row r="86" spans="1:23" x14ac:dyDescent="0.2">
      <c r="A86" s="250"/>
      <c r="B86" s="266">
        <v>8</v>
      </c>
      <c r="C86" s="267">
        <v>16</v>
      </c>
      <c r="D86" s="267" t="str">
        <f t="shared" si="22"/>
        <v>Block 8 Lot 16</v>
      </c>
      <c r="E86" s="268" t="s">
        <v>1</v>
      </c>
      <c r="F86" s="267">
        <v>483</v>
      </c>
      <c r="G86" s="269">
        <v>7230000</v>
      </c>
      <c r="H86" s="255">
        <f t="shared" si="13"/>
        <v>14968.944099378881</v>
      </c>
      <c r="I86" s="270">
        <f t="shared" si="19"/>
        <v>8216999.9999999991</v>
      </c>
      <c r="J86" s="257" t="s">
        <v>228</v>
      </c>
      <c r="K86" s="258">
        <v>0.1</v>
      </c>
      <c r="L86" s="259">
        <f t="shared" si="15"/>
        <v>7566999.9999999991</v>
      </c>
      <c r="M86" s="259">
        <f t="shared" si="16"/>
        <v>15666.666666666664</v>
      </c>
      <c r="N86" s="259">
        <f t="shared" si="14"/>
        <v>7566999.9999999991</v>
      </c>
      <c r="O86" s="260">
        <f t="shared" si="20"/>
        <v>6810299.9999999991</v>
      </c>
      <c r="P86" s="261">
        <f t="shared" si="17"/>
        <v>14099.999999999998</v>
      </c>
      <c r="Q86" s="262"/>
      <c r="R86" s="263">
        <f t="shared" si="18"/>
        <v>6810299.9999999991</v>
      </c>
      <c r="S86" s="263"/>
      <c r="T86" s="263"/>
      <c r="U86" s="264"/>
      <c r="W86" s="265">
        <f t="shared" si="21"/>
        <v>6810299.9999999991</v>
      </c>
    </row>
    <row r="87" spans="1:23" x14ac:dyDescent="0.2">
      <c r="A87" s="250">
        <v>77</v>
      </c>
      <c r="B87" s="266">
        <v>9</v>
      </c>
      <c r="C87" s="267">
        <v>1</v>
      </c>
      <c r="D87" s="267" t="str">
        <f t="shared" si="22"/>
        <v>Block 9 Lot 1</v>
      </c>
      <c r="E87" s="268" t="s">
        <v>1</v>
      </c>
      <c r="F87" s="267">
        <v>558</v>
      </c>
      <c r="G87" s="269">
        <v>11150000</v>
      </c>
      <c r="H87" s="255">
        <f t="shared" si="13"/>
        <v>19982.078853046594</v>
      </c>
      <c r="I87" s="270">
        <f t="shared" si="19"/>
        <v>12724999.999999998</v>
      </c>
      <c r="J87" s="257" t="s">
        <v>229</v>
      </c>
      <c r="K87" s="258">
        <v>0.1</v>
      </c>
      <c r="L87" s="259">
        <f t="shared" si="15"/>
        <v>12074999.999999998</v>
      </c>
      <c r="M87" s="259">
        <f t="shared" si="16"/>
        <v>21639.784946236556</v>
      </c>
      <c r="N87" s="259">
        <f t="shared" si="14"/>
        <v>12074999.999999998</v>
      </c>
      <c r="O87" s="260">
        <f t="shared" si="20"/>
        <v>10867499.999999998</v>
      </c>
      <c r="P87" s="261">
        <f t="shared" si="17"/>
        <v>19475.806451612902</v>
      </c>
      <c r="Q87" s="262"/>
      <c r="R87" s="263">
        <f t="shared" si="18"/>
        <v>10867499.999999998</v>
      </c>
      <c r="S87" s="263"/>
      <c r="T87" s="263"/>
      <c r="U87" s="264"/>
      <c r="W87" s="265">
        <f t="shared" si="21"/>
        <v>10867499.999999998</v>
      </c>
    </row>
    <row r="88" spans="1:23" x14ac:dyDescent="0.2">
      <c r="A88" s="250">
        <v>78</v>
      </c>
      <c r="B88" s="266">
        <v>9</v>
      </c>
      <c r="C88" s="267">
        <v>2</v>
      </c>
      <c r="D88" s="267" t="str">
        <f t="shared" si="22"/>
        <v>Block 9 Lot 2</v>
      </c>
      <c r="E88" s="268" t="s">
        <v>1</v>
      </c>
      <c r="F88" s="267">
        <v>491</v>
      </c>
      <c r="G88" s="269">
        <v>9890000</v>
      </c>
      <c r="H88" s="255">
        <f t="shared" si="13"/>
        <v>20142.566191446029</v>
      </c>
      <c r="I88" s="270">
        <f t="shared" si="19"/>
        <v>11276000</v>
      </c>
      <c r="J88" s="257" t="s">
        <v>229</v>
      </c>
      <c r="K88" s="258">
        <v>0.1</v>
      </c>
      <c r="L88" s="259">
        <f t="shared" si="15"/>
        <v>10626000</v>
      </c>
      <c r="M88" s="259">
        <f t="shared" si="16"/>
        <v>21641.54786150713</v>
      </c>
      <c r="N88" s="259">
        <f t="shared" si="14"/>
        <v>10626000</v>
      </c>
      <c r="O88" s="260">
        <f t="shared" si="20"/>
        <v>9563400</v>
      </c>
      <c r="P88" s="261">
        <f t="shared" si="17"/>
        <v>19477.393075356416</v>
      </c>
      <c r="Q88" s="262"/>
      <c r="R88" s="263">
        <f t="shared" si="18"/>
        <v>9563400</v>
      </c>
      <c r="S88" s="263"/>
      <c r="T88" s="263"/>
      <c r="U88" s="264"/>
      <c r="W88" s="265">
        <f t="shared" si="21"/>
        <v>9563400</v>
      </c>
    </row>
    <row r="89" spans="1:23" x14ac:dyDescent="0.2">
      <c r="A89" s="250">
        <v>79</v>
      </c>
      <c r="B89" s="266">
        <v>9</v>
      </c>
      <c r="C89" s="267">
        <v>3</v>
      </c>
      <c r="D89" s="267" t="str">
        <f t="shared" si="22"/>
        <v>Block 9 Lot 3</v>
      </c>
      <c r="E89" s="268" t="s">
        <v>1</v>
      </c>
      <c r="F89" s="267">
        <v>450</v>
      </c>
      <c r="G89" s="269">
        <v>9410000</v>
      </c>
      <c r="H89" s="255">
        <f t="shared" si="13"/>
        <v>20911.111111111109</v>
      </c>
      <c r="I89" s="270">
        <f t="shared" si="19"/>
        <v>10724000</v>
      </c>
      <c r="J89" s="257" t="s">
        <v>229</v>
      </c>
      <c r="K89" s="258">
        <v>0.1</v>
      </c>
      <c r="L89" s="259">
        <f t="shared" si="15"/>
        <v>10074000</v>
      </c>
      <c r="M89" s="259">
        <f t="shared" si="16"/>
        <v>22386.666666666668</v>
      </c>
      <c r="N89" s="259">
        <f t="shared" si="14"/>
        <v>10074000</v>
      </c>
      <c r="O89" s="260">
        <f t="shared" si="20"/>
        <v>9066600</v>
      </c>
      <c r="P89" s="261">
        <f t="shared" si="17"/>
        <v>20148</v>
      </c>
      <c r="Q89" s="262"/>
      <c r="R89" s="263">
        <f t="shared" si="18"/>
        <v>9066600</v>
      </c>
      <c r="S89" s="263"/>
      <c r="T89" s="263"/>
      <c r="U89" s="264"/>
      <c r="W89" s="265">
        <f t="shared" si="21"/>
        <v>9066600</v>
      </c>
    </row>
    <row r="90" spans="1:23" x14ac:dyDescent="0.2">
      <c r="A90" s="250">
        <v>80</v>
      </c>
      <c r="B90" s="266">
        <v>9</v>
      </c>
      <c r="C90" s="267">
        <v>5</v>
      </c>
      <c r="D90" s="267" t="str">
        <f t="shared" si="22"/>
        <v>Block 9 Lot 5</v>
      </c>
      <c r="E90" s="268" t="s">
        <v>1</v>
      </c>
      <c r="F90" s="267">
        <v>450</v>
      </c>
      <c r="G90" s="269">
        <v>9410000</v>
      </c>
      <c r="H90" s="255">
        <f t="shared" si="13"/>
        <v>20911.111111111109</v>
      </c>
      <c r="I90" s="270">
        <f t="shared" si="19"/>
        <v>10724000</v>
      </c>
      <c r="J90" s="257" t="s">
        <v>229</v>
      </c>
      <c r="K90" s="258">
        <v>0.1</v>
      </c>
      <c r="L90" s="259">
        <f t="shared" si="15"/>
        <v>10074000</v>
      </c>
      <c r="M90" s="259">
        <f t="shared" si="16"/>
        <v>22386.666666666668</v>
      </c>
      <c r="N90" s="259">
        <f t="shared" si="14"/>
        <v>10074000</v>
      </c>
      <c r="O90" s="260">
        <f t="shared" si="20"/>
        <v>9066600</v>
      </c>
      <c r="P90" s="261">
        <f t="shared" si="17"/>
        <v>20148</v>
      </c>
      <c r="Q90" s="262"/>
      <c r="R90" s="263">
        <f t="shared" si="18"/>
        <v>9066600</v>
      </c>
      <c r="S90" s="263"/>
      <c r="T90" s="263"/>
      <c r="U90" s="264"/>
      <c r="W90" s="265">
        <f t="shared" si="21"/>
        <v>9066600</v>
      </c>
    </row>
    <row r="91" spans="1:23" x14ac:dyDescent="0.2">
      <c r="B91" s="266">
        <v>9</v>
      </c>
      <c r="C91" s="267">
        <v>6</v>
      </c>
      <c r="D91" s="267" t="str">
        <f t="shared" si="22"/>
        <v>Block 9 Lot 6</v>
      </c>
      <c r="E91" s="268" t="s">
        <v>1</v>
      </c>
      <c r="F91" s="267">
        <v>450</v>
      </c>
      <c r="G91" s="269">
        <v>9120000</v>
      </c>
      <c r="H91" s="255">
        <f t="shared" si="13"/>
        <v>20266.666666666668</v>
      </c>
      <c r="I91" s="270">
        <f t="shared" si="19"/>
        <v>10390500</v>
      </c>
      <c r="J91" s="257" t="s">
        <v>228</v>
      </c>
      <c r="K91" s="258">
        <v>0.1</v>
      </c>
      <c r="L91" s="259">
        <f t="shared" si="15"/>
        <v>9740500</v>
      </c>
      <c r="M91" s="259">
        <f t="shared" si="16"/>
        <v>21645.555555555555</v>
      </c>
      <c r="N91" s="259">
        <f t="shared" si="14"/>
        <v>9740500</v>
      </c>
      <c r="O91" s="260">
        <f t="shared" si="20"/>
        <v>8766450</v>
      </c>
      <c r="P91" s="261">
        <f t="shared" si="17"/>
        <v>19481</v>
      </c>
      <c r="Q91" s="262"/>
      <c r="R91" s="263">
        <f t="shared" si="18"/>
        <v>8766450</v>
      </c>
      <c r="S91" s="263"/>
      <c r="T91" s="263"/>
      <c r="U91" s="264"/>
      <c r="W91" s="265">
        <f t="shared" si="21"/>
        <v>8766450</v>
      </c>
    </row>
    <row r="92" spans="1:23" x14ac:dyDescent="0.2">
      <c r="A92" s="250">
        <v>81</v>
      </c>
      <c r="B92" s="266">
        <v>10</v>
      </c>
      <c r="C92" s="267">
        <v>1</v>
      </c>
      <c r="D92" s="267" t="str">
        <f t="shared" si="22"/>
        <v>Block 10 Lot 1</v>
      </c>
      <c r="E92" s="268" t="s">
        <v>0</v>
      </c>
      <c r="F92" s="267">
        <v>1000</v>
      </c>
      <c r="G92" s="269">
        <v>13720000</v>
      </c>
      <c r="H92" s="255">
        <f t="shared" si="13"/>
        <v>13720</v>
      </c>
      <c r="I92" s="270">
        <f t="shared" si="19"/>
        <v>15680499.999999998</v>
      </c>
      <c r="J92" s="257" t="s">
        <v>229</v>
      </c>
      <c r="K92" s="258">
        <v>0.05</v>
      </c>
      <c r="L92" s="259">
        <f t="shared" si="15"/>
        <v>15030499.999999998</v>
      </c>
      <c r="M92" s="259">
        <f t="shared" si="16"/>
        <v>15030.499999999998</v>
      </c>
      <c r="N92" s="259">
        <f t="shared" si="14"/>
        <v>15030499.999999998</v>
      </c>
      <c r="O92" s="260">
        <f t="shared" si="20"/>
        <v>14278974.999999998</v>
      </c>
      <c r="P92" s="261">
        <f t="shared" si="17"/>
        <v>14278.974999999999</v>
      </c>
      <c r="Q92" s="262">
        <v>0.02</v>
      </c>
      <c r="R92" s="263">
        <f t="shared" si="18"/>
        <v>13993395.499999998</v>
      </c>
      <c r="S92" s="263" t="s">
        <v>228</v>
      </c>
      <c r="T92" s="263">
        <f>+F92</f>
        <v>1000</v>
      </c>
      <c r="U92" s="264" t="e">
        <f>+#REF!</f>
        <v>#REF!</v>
      </c>
      <c r="V92" s="258">
        <v>0.02</v>
      </c>
      <c r="W92" s="265">
        <f t="shared" si="21"/>
        <v>13713527.589999998</v>
      </c>
    </row>
    <row r="93" spans="1:23" x14ac:dyDescent="0.2">
      <c r="A93" s="250">
        <v>82</v>
      </c>
      <c r="B93" s="266">
        <v>10</v>
      </c>
      <c r="C93" s="267">
        <v>2</v>
      </c>
      <c r="D93" s="267" t="str">
        <f t="shared" si="22"/>
        <v>Block 10 Lot 2</v>
      </c>
      <c r="E93" s="268" t="s">
        <v>0</v>
      </c>
      <c r="F93" s="267">
        <v>1000</v>
      </c>
      <c r="G93" s="269">
        <v>14470000</v>
      </c>
      <c r="H93" s="255">
        <f t="shared" si="13"/>
        <v>14470</v>
      </c>
      <c r="I93" s="270">
        <f t="shared" si="19"/>
        <v>16542999.999999998</v>
      </c>
      <c r="J93" s="257" t="s">
        <v>229</v>
      </c>
      <c r="K93" s="258">
        <v>0.05</v>
      </c>
      <c r="L93" s="259">
        <f t="shared" si="15"/>
        <v>15892999.999999998</v>
      </c>
      <c r="M93" s="259">
        <f t="shared" si="16"/>
        <v>15892.999999999998</v>
      </c>
      <c r="N93" s="259">
        <f t="shared" si="14"/>
        <v>15892999.999999998</v>
      </c>
      <c r="O93" s="260">
        <f t="shared" si="20"/>
        <v>15098349.999999998</v>
      </c>
      <c r="P93" s="261">
        <f t="shared" si="17"/>
        <v>15098.349999999999</v>
      </c>
      <c r="Q93" s="262">
        <v>0.02</v>
      </c>
      <c r="R93" s="263">
        <f t="shared" si="18"/>
        <v>14796382.999999998</v>
      </c>
      <c r="S93" s="263" t="s">
        <v>228</v>
      </c>
      <c r="T93" s="263">
        <f>+F93</f>
        <v>1000</v>
      </c>
      <c r="U93" s="264" t="e">
        <f>+#REF!</f>
        <v>#REF!</v>
      </c>
      <c r="W93" s="265">
        <f t="shared" si="21"/>
        <v>14796382.999999998</v>
      </c>
    </row>
    <row r="94" spans="1:23" x14ac:dyDescent="0.2">
      <c r="A94" s="250"/>
      <c r="B94" s="266">
        <v>10</v>
      </c>
      <c r="C94" s="267">
        <v>3</v>
      </c>
      <c r="D94" s="267" t="str">
        <f t="shared" si="22"/>
        <v>Block 10 Lot 3</v>
      </c>
      <c r="E94" s="268" t="s">
        <v>0</v>
      </c>
      <c r="F94" s="267">
        <v>1000</v>
      </c>
      <c r="G94" s="269">
        <v>14470000</v>
      </c>
      <c r="H94" s="255">
        <f t="shared" si="13"/>
        <v>14470</v>
      </c>
      <c r="I94" s="270">
        <f t="shared" si="19"/>
        <v>16542999.999999998</v>
      </c>
      <c r="J94" s="257" t="s">
        <v>228</v>
      </c>
      <c r="K94" s="258">
        <v>0.05</v>
      </c>
      <c r="L94" s="259">
        <f t="shared" si="15"/>
        <v>15892999.999999998</v>
      </c>
      <c r="M94" s="259">
        <f t="shared" si="16"/>
        <v>15892.999999999998</v>
      </c>
      <c r="N94" s="259">
        <f t="shared" si="14"/>
        <v>15892999.999999998</v>
      </c>
      <c r="O94" s="260">
        <f t="shared" si="20"/>
        <v>15098349.999999998</v>
      </c>
      <c r="P94" s="261">
        <f t="shared" si="17"/>
        <v>15098.349999999999</v>
      </c>
      <c r="Q94" s="262"/>
      <c r="R94" s="263">
        <f t="shared" si="18"/>
        <v>15098349.999999998</v>
      </c>
      <c r="S94" s="263"/>
      <c r="T94" s="263"/>
      <c r="U94" s="264"/>
      <c r="W94" s="265">
        <f t="shared" si="21"/>
        <v>15098349.999999998</v>
      </c>
    </row>
    <row r="95" spans="1:23" x14ac:dyDescent="0.2">
      <c r="A95" s="250"/>
      <c r="B95" s="266">
        <v>10</v>
      </c>
      <c r="C95" s="267">
        <v>5</v>
      </c>
      <c r="D95" s="267" t="str">
        <f t="shared" si="22"/>
        <v>Block 10 Lot 5</v>
      </c>
      <c r="E95" s="268" t="s">
        <v>0</v>
      </c>
      <c r="F95" s="267">
        <v>1000</v>
      </c>
      <c r="G95" s="269">
        <v>16190000</v>
      </c>
      <c r="H95" s="255">
        <f t="shared" si="13"/>
        <v>16190</v>
      </c>
      <c r="I95" s="270">
        <f t="shared" si="19"/>
        <v>18521000</v>
      </c>
      <c r="J95" s="257" t="s">
        <v>228</v>
      </c>
      <c r="K95" s="258">
        <v>0.05</v>
      </c>
      <c r="L95" s="259">
        <f t="shared" si="15"/>
        <v>17871000</v>
      </c>
      <c r="M95" s="259">
        <f t="shared" si="16"/>
        <v>17871</v>
      </c>
      <c r="N95" s="259">
        <f t="shared" si="14"/>
        <v>17871000</v>
      </c>
      <c r="O95" s="260">
        <f t="shared" si="20"/>
        <v>16977450</v>
      </c>
      <c r="P95" s="261">
        <f t="shared" si="17"/>
        <v>16977.45</v>
      </c>
      <c r="Q95" s="262"/>
      <c r="R95" s="263">
        <f t="shared" si="18"/>
        <v>16977450</v>
      </c>
      <c r="S95" s="263"/>
      <c r="T95" s="263"/>
      <c r="U95" s="264"/>
      <c r="W95" s="265">
        <f t="shared" si="21"/>
        <v>16977450</v>
      </c>
    </row>
    <row r="96" spans="1:23" x14ac:dyDescent="0.2">
      <c r="A96" s="250"/>
      <c r="B96" s="266">
        <v>10</v>
      </c>
      <c r="C96" s="267">
        <v>6</v>
      </c>
      <c r="D96" s="267" t="str">
        <f t="shared" si="22"/>
        <v>Block 10 Lot 6</v>
      </c>
      <c r="E96" s="268" t="s">
        <v>0</v>
      </c>
      <c r="F96" s="267">
        <v>1000</v>
      </c>
      <c r="G96" s="269">
        <v>16190000</v>
      </c>
      <c r="H96" s="255">
        <f t="shared" si="13"/>
        <v>16190</v>
      </c>
      <c r="I96" s="270">
        <f t="shared" si="19"/>
        <v>18521000</v>
      </c>
      <c r="J96" s="257" t="s">
        <v>228</v>
      </c>
      <c r="K96" s="258">
        <v>0.05</v>
      </c>
      <c r="L96" s="259">
        <f t="shared" si="15"/>
        <v>17871000</v>
      </c>
      <c r="M96" s="259">
        <f t="shared" si="16"/>
        <v>17871</v>
      </c>
      <c r="N96" s="259">
        <f t="shared" si="14"/>
        <v>17871000</v>
      </c>
      <c r="O96" s="260">
        <f t="shared" si="20"/>
        <v>16977450</v>
      </c>
      <c r="P96" s="261">
        <f t="shared" si="17"/>
        <v>16977.45</v>
      </c>
      <c r="Q96" s="262"/>
      <c r="R96" s="263">
        <f t="shared" si="18"/>
        <v>16977450</v>
      </c>
      <c r="S96" s="263"/>
      <c r="T96" s="263"/>
      <c r="U96" s="264"/>
      <c r="W96" s="265">
        <f t="shared" si="21"/>
        <v>16977450</v>
      </c>
    </row>
    <row r="97" spans="1:23" x14ac:dyDescent="0.2">
      <c r="A97" s="250"/>
      <c r="B97" s="266">
        <v>10</v>
      </c>
      <c r="C97" s="267">
        <v>7</v>
      </c>
      <c r="D97" s="267" t="str">
        <f t="shared" si="22"/>
        <v>Block 10 Lot 7</v>
      </c>
      <c r="E97" s="268" t="s">
        <v>0</v>
      </c>
      <c r="F97" s="267">
        <v>1000</v>
      </c>
      <c r="G97" s="269">
        <v>16190000</v>
      </c>
      <c r="H97" s="255">
        <f t="shared" si="13"/>
        <v>16190</v>
      </c>
      <c r="I97" s="270">
        <f t="shared" si="19"/>
        <v>18521000</v>
      </c>
      <c r="J97" s="257" t="s">
        <v>228</v>
      </c>
      <c r="K97" s="258">
        <v>0.05</v>
      </c>
      <c r="L97" s="259">
        <f t="shared" si="15"/>
        <v>17871000</v>
      </c>
      <c r="M97" s="259">
        <f t="shared" si="16"/>
        <v>17871</v>
      </c>
      <c r="N97" s="259">
        <f t="shared" si="14"/>
        <v>17871000</v>
      </c>
      <c r="O97" s="260">
        <f t="shared" si="20"/>
        <v>16977450</v>
      </c>
      <c r="P97" s="261">
        <f t="shared" si="17"/>
        <v>16977.45</v>
      </c>
      <c r="Q97" s="262"/>
      <c r="R97" s="263">
        <f t="shared" si="18"/>
        <v>16977450</v>
      </c>
      <c r="S97" s="263"/>
      <c r="T97" s="263"/>
      <c r="U97" s="264"/>
      <c r="W97" s="265">
        <f t="shared" si="21"/>
        <v>16977450</v>
      </c>
    </row>
    <row r="98" spans="1:23" x14ac:dyDescent="0.2">
      <c r="A98" s="250">
        <v>83</v>
      </c>
      <c r="B98" s="266">
        <v>10</v>
      </c>
      <c r="C98" s="267">
        <v>8</v>
      </c>
      <c r="D98" s="267" t="str">
        <f t="shared" si="22"/>
        <v>Block 10 Lot 8</v>
      </c>
      <c r="E98" s="268" t="s">
        <v>0</v>
      </c>
      <c r="F98" s="267">
        <v>1000</v>
      </c>
      <c r="G98" s="269">
        <v>16480000</v>
      </c>
      <c r="H98" s="255">
        <f t="shared" si="13"/>
        <v>16480</v>
      </c>
      <c r="I98" s="270">
        <f t="shared" si="19"/>
        <v>18854500</v>
      </c>
      <c r="J98" s="257" t="s">
        <v>229</v>
      </c>
      <c r="K98" s="258">
        <v>0.05</v>
      </c>
      <c r="L98" s="259">
        <f t="shared" ref="L98:L129" si="23">+(I98-650000)</f>
        <v>18204500</v>
      </c>
      <c r="M98" s="259">
        <f t="shared" ref="M98:M129" si="24">+L98/F98</f>
        <v>18204.5</v>
      </c>
      <c r="N98" s="259">
        <f t="shared" si="14"/>
        <v>18204500</v>
      </c>
      <c r="O98" s="260">
        <f t="shared" si="20"/>
        <v>17294275</v>
      </c>
      <c r="P98" s="261">
        <f t="shared" ref="P98:P129" si="25">+O98/F98</f>
        <v>17294.275000000001</v>
      </c>
      <c r="Q98" s="262"/>
      <c r="R98" s="263">
        <f t="shared" si="18"/>
        <v>17294275</v>
      </c>
      <c r="S98" s="263"/>
      <c r="T98" s="263"/>
      <c r="U98" s="264"/>
      <c r="W98" s="265">
        <f t="shared" si="21"/>
        <v>17294275</v>
      </c>
    </row>
    <row r="99" spans="1:23" x14ac:dyDescent="0.2">
      <c r="A99" s="250">
        <v>84</v>
      </c>
      <c r="B99" s="266">
        <v>11</v>
      </c>
      <c r="C99" s="267">
        <v>1</v>
      </c>
      <c r="D99" s="267" t="str">
        <f t="shared" si="22"/>
        <v>Block 11 Lot 1</v>
      </c>
      <c r="E99" s="268" t="s">
        <v>0</v>
      </c>
      <c r="F99" s="267">
        <v>934</v>
      </c>
      <c r="G99" s="269">
        <v>14600000</v>
      </c>
      <c r="H99" s="255">
        <f t="shared" si="13"/>
        <v>15631.691648822271</v>
      </c>
      <c r="I99" s="270">
        <f t="shared" si="19"/>
        <v>16692499.999999998</v>
      </c>
      <c r="J99" s="257" t="s">
        <v>229</v>
      </c>
      <c r="K99" s="258">
        <v>0.05</v>
      </c>
      <c r="L99" s="259">
        <f t="shared" si="23"/>
        <v>16042499.999999998</v>
      </c>
      <c r="M99" s="259">
        <f t="shared" si="24"/>
        <v>17176.12419700214</v>
      </c>
      <c r="N99" s="259">
        <f t="shared" si="14"/>
        <v>16042499.999999998</v>
      </c>
      <c r="O99" s="260">
        <f t="shared" si="20"/>
        <v>15240374.999999998</v>
      </c>
      <c r="P99" s="261">
        <f t="shared" si="25"/>
        <v>16317.317987152031</v>
      </c>
      <c r="Q99" s="262"/>
      <c r="R99" s="263">
        <f t="shared" si="18"/>
        <v>15240374.999999998</v>
      </c>
      <c r="S99" s="263"/>
      <c r="T99" s="263"/>
      <c r="U99" s="264"/>
      <c r="W99" s="265">
        <f t="shared" si="21"/>
        <v>15240374.999999998</v>
      </c>
    </row>
    <row r="100" spans="1:23" x14ac:dyDescent="0.2">
      <c r="A100" s="250">
        <v>85</v>
      </c>
      <c r="B100" s="266">
        <v>11</v>
      </c>
      <c r="C100" s="267">
        <v>2</v>
      </c>
      <c r="D100" s="267" t="str">
        <f t="shared" si="22"/>
        <v>Block 11 Lot 2</v>
      </c>
      <c r="E100" s="268" t="s">
        <v>0</v>
      </c>
      <c r="F100" s="267">
        <v>934</v>
      </c>
      <c r="G100" s="269">
        <v>14600000</v>
      </c>
      <c r="H100" s="255">
        <f t="shared" si="13"/>
        <v>15631.691648822271</v>
      </c>
      <c r="I100" s="270">
        <f t="shared" si="19"/>
        <v>16692499.999999998</v>
      </c>
      <c r="J100" s="257" t="s">
        <v>229</v>
      </c>
      <c r="K100" s="258">
        <v>0.05</v>
      </c>
      <c r="L100" s="259">
        <f t="shared" si="23"/>
        <v>16042499.999999998</v>
      </c>
      <c r="M100" s="259">
        <f t="shared" si="24"/>
        <v>17176.12419700214</v>
      </c>
      <c r="N100" s="259">
        <f t="shared" si="14"/>
        <v>16042499.999999998</v>
      </c>
      <c r="O100" s="260">
        <f t="shared" si="20"/>
        <v>15240374.999999998</v>
      </c>
      <c r="P100" s="261">
        <f t="shared" si="25"/>
        <v>16317.317987152031</v>
      </c>
      <c r="Q100" s="262"/>
      <c r="R100" s="263">
        <f t="shared" si="18"/>
        <v>15240374.999999998</v>
      </c>
      <c r="S100" s="263"/>
      <c r="T100" s="263"/>
      <c r="U100" s="264"/>
      <c r="V100" s="258">
        <v>0.02</v>
      </c>
      <c r="W100" s="265">
        <f t="shared" si="21"/>
        <v>14935567.499999998</v>
      </c>
    </row>
    <row r="101" spans="1:23" x14ac:dyDescent="0.2">
      <c r="A101" s="250">
        <v>86</v>
      </c>
      <c r="B101" s="266">
        <v>11</v>
      </c>
      <c r="C101" s="267">
        <v>3</v>
      </c>
      <c r="D101" s="267" t="str">
        <f t="shared" si="22"/>
        <v>Block 11 Lot 3</v>
      </c>
      <c r="E101" s="268" t="s">
        <v>0</v>
      </c>
      <c r="F101" s="267">
        <v>1001</v>
      </c>
      <c r="G101" s="269">
        <v>11870000</v>
      </c>
      <c r="H101" s="255">
        <f t="shared" si="13"/>
        <v>11858.141858141858</v>
      </c>
      <c r="I101" s="270">
        <f t="shared" si="19"/>
        <v>13552999.999999998</v>
      </c>
      <c r="J101" s="257" t="s">
        <v>229</v>
      </c>
      <c r="K101" s="258">
        <v>0.05</v>
      </c>
      <c r="L101" s="259">
        <f t="shared" si="23"/>
        <v>12902999.999999998</v>
      </c>
      <c r="M101" s="259">
        <f t="shared" si="24"/>
        <v>12890.109890109889</v>
      </c>
      <c r="N101" s="259">
        <f t="shared" si="14"/>
        <v>12902999.999999998</v>
      </c>
      <c r="O101" s="260">
        <f t="shared" si="20"/>
        <v>12257849.999999998</v>
      </c>
      <c r="P101" s="261">
        <f t="shared" si="25"/>
        <v>12245.604395604394</v>
      </c>
      <c r="Q101" s="262"/>
      <c r="R101" s="263">
        <f t="shared" si="18"/>
        <v>12257849.999999998</v>
      </c>
      <c r="S101" s="263"/>
      <c r="T101" s="263"/>
      <c r="U101" s="264"/>
      <c r="W101" s="265">
        <f t="shared" si="21"/>
        <v>12257849.999999998</v>
      </c>
    </row>
    <row r="102" spans="1:23" x14ac:dyDescent="0.2">
      <c r="A102" s="250">
        <v>87</v>
      </c>
      <c r="B102" s="266">
        <v>11</v>
      </c>
      <c r="C102" s="267">
        <v>5</v>
      </c>
      <c r="D102" s="267" t="str">
        <f t="shared" si="22"/>
        <v>Block 11 Lot 5</v>
      </c>
      <c r="E102" s="268" t="s">
        <v>0</v>
      </c>
      <c r="F102" s="267">
        <v>1000</v>
      </c>
      <c r="G102" s="269">
        <v>11980000</v>
      </c>
      <c r="H102" s="255">
        <f t="shared" si="13"/>
        <v>11980</v>
      </c>
      <c r="I102" s="270">
        <f t="shared" si="19"/>
        <v>13679499.999999998</v>
      </c>
      <c r="J102" s="257" t="s">
        <v>229</v>
      </c>
      <c r="K102" s="258">
        <v>0.05</v>
      </c>
      <c r="L102" s="259">
        <f t="shared" si="23"/>
        <v>13029499.999999998</v>
      </c>
      <c r="M102" s="259">
        <f t="shared" si="24"/>
        <v>13029.499999999998</v>
      </c>
      <c r="N102" s="259">
        <f t="shared" si="14"/>
        <v>13029499.999999998</v>
      </c>
      <c r="O102" s="260">
        <f t="shared" si="20"/>
        <v>12378024.999999998</v>
      </c>
      <c r="P102" s="261">
        <f t="shared" si="25"/>
        <v>12378.024999999998</v>
      </c>
      <c r="Q102" s="262"/>
      <c r="R102" s="263">
        <f t="shared" si="18"/>
        <v>12378024.999999998</v>
      </c>
      <c r="S102" s="263"/>
      <c r="T102" s="263"/>
      <c r="U102" s="264"/>
      <c r="W102" s="265">
        <f t="shared" si="21"/>
        <v>12378024.999999998</v>
      </c>
    </row>
    <row r="103" spans="1:23" x14ac:dyDescent="0.2">
      <c r="A103" s="250">
        <v>88</v>
      </c>
      <c r="B103" s="266">
        <v>11</v>
      </c>
      <c r="C103" s="267">
        <v>6</v>
      </c>
      <c r="D103" s="267" t="str">
        <f t="shared" si="22"/>
        <v>Block 11 Lot 6</v>
      </c>
      <c r="E103" s="268" t="s">
        <v>0</v>
      </c>
      <c r="F103" s="267">
        <v>1000</v>
      </c>
      <c r="G103" s="269">
        <v>11980000</v>
      </c>
      <c r="H103" s="255">
        <f t="shared" si="13"/>
        <v>11980</v>
      </c>
      <c r="I103" s="270">
        <f t="shared" si="19"/>
        <v>13679499.999999998</v>
      </c>
      <c r="J103" s="257" t="s">
        <v>229</v>
      </c>
      <c r="K103" s="258">
        <v>0.05</v>
      </c>
      <c r="L103" s="259">
        <f t="shared" si="23"/>
        <v>13029499.999999998</v>
      </c>
      <c r="M103" s="259">
        <f t="shared" si="24"/>
        <v>13029.499999999998</v>
      </c>
      <c r="N103" s="259">
        <f t="shared" si="14"/>
        <v>13029499.999999998</v>
      </c>
      <c r="O103" s="260">
        <f t="shared" si="20"/>
        <v>12378024.999999998</v>
      </c>
      <c r="P103" s="261">
        <f t="shared" si="25"/>
        <v>12378.024999999998</v>
      </c>
      <c r="Q103" s="262"/>
      <c r="R103" s="263">
        <f t="shared" si="18"/>
        <v>12378024.999999998</v>
      </c>
      <c r="S103" s="263"/>
      <c r="T103" s="263"/>
      <c r="U103" s="264"/>
      <c r="W103" s="265">
        <f t="shared" si="21"/>
        <v>12378024.999999998</v>
      </c>
    </row>
    <row r="104" spans="1:23" x14ac:dyDescent="0.2">
      <c r="A104" s="250">
        <v>89</v>
      </c>
      <c r="B104" s="266">
        <v>11</v>
      </c>
      <c r="C104" s="267">
        <v>7</v>
      </c>
      <c r="D104" s="267" t="str">
        <f t="shared" si="22"/>
        <v>Block 11 Lot 7</v>
      </c>
      <c r="E104" s="268" t="s">
        <v>0</v>
      </c>
      <c r="F104" s="267">
        <v>1000</v>
      </c>
      <c r="G104" s="269">
        <v>11980000</v>
      </c>
      <c r="H104" s="255">
        <f t="shared" si="13"/>
        <v>11980</v>
      </c>
      <c r="I104" s="270">
        <f t="shared" si="19"/>
        <v>13679499.999999998</v>
      </c>
      <c r="J104" s="257" t="s">
        <v>229</v>
      </c>
      <c r="K104" s="258">
        <v>0.05</v>
      </c>
      <c r="L104" s="259">
        <f t="shared" si="23"/>
        <v>13029499.999999998</v>
      </c>
      <c r="M104" s="259">
        <f t="shared" si="24"/>
        <v>13029.499999999998</v>
      </c>
      <c r="N104" s="259">
        <f t="shared" si="14"/>
        <v>13029499.999999998</v>
      </c>
      <c r="O104" s="260">
        <f t="shared" si="20"/>
        <v>12378024.999999998</v>
      </c>
      <c r="P104" s="261">
        <f t="shared" si="25"/>
        <v>12378.024999999998</v>
      </c>
      <c r="Q104" s="262"/>
      <c r="R104" s="263">
        <f t="shared" si="18"/>
        <v>12378024.999999998</v>
      </c>
      <c r="S104" s="263"/>
      <c r="T104" s="263"/>
      <c r="U104" s="264"/>
      <c r="W104" s="265">
        <f t="shared" si="21"/>
        <v>12378024.999999998</v>
      </c>
    </row>
    <row r="105" spans="1:23" x14ac:dyDescent="0.2">
      <c r="A105" s="250">
        <v>90</v>
      </c>
      <c r="B105" s="266">
        <v>11</v>
      </c>
      <c r="C105" s="267">
        <v>8</v>
      </c>
      <c r="D105" s="267" t="str">
        <f t="shared" si="22"/>
        <v>Block 11 Lot 8</v>
      </c>
      <c r="E105" s="268" t="s">
        <v>0</v>
      </c>
      <c r="F105" s="267">
        <v>850</v>
      </c>
      <c r="G105" s="269">
        <v>11060000</v>
      </c>
      <c r="H105" s="255">
        <f t="shared" si="13"/>
        <v>13011.764705882353</v>
      </c>
      <c r="I105" s="270">
        <f t="shared" si="19"/>
        <v>12621500</v>
      </c>
      <c r="J105" s="257" t="s">
        <v>229</v>
      </c>
      <c r="K105" s="258">
        <v>0.05</v>
      </c>
      <c r="L105" s="259">
        <f t="shared" si="23"/>
        <v>11971500</v>
      </c>
      <c r="M105" s="259">
        <f t="shared" si="24"/>
        <v>14084.117647058823</v>
      </c>
      <c r="N105" s="259">
        <f t="shared" si="14"/>
        <v>11971500</v>
      </c>
      <c r="O105" s="260">
        <f t="shared" si="20"/>
        <v>11372925</v>
      </c>
      <c r="P105" s="261">
        <f t="shared" si="25"/>
        <v>13379.911764705883</v>
      </c>
      <c r="Q105" s="262"/>
      <c r="R105" s="263">
        <f t="shared" si="18"/>
        <v>11372925</v>
      </c>
      <c r="S105" s="263"/>
      <c r="T105" s="263"/>
      <c r="U105" s="264"/>
      <c r="W105" s="265">
        <f t="shared" si="21"/>
        <v>11372925</v>
      </c>
    </row>
    <row r="106" spans="1:23" x14ac:dyDescent="0.2">
      <c r="A106" s="250">
        <v>91</v>
      </c>
      <c r="B106" s="266">
        <v>11</v>
      </c>
      <c r="C106" s="267">
        <v>9</v>
      </c>
      <c r="D106" s="267" t="str">
        <f t="shared" si="22"/>
        <v>Block 11 Lot 9</v>
      </c>
      <c r="E106" s="268" t="s">
        <v>0</v>
      </c>
      <c r="F106" s="267">
        <v>850</v>
      </c>
      <c r="G106" s="269">
        <v>10810000</v>
      </c>
      <c r="H106" s="255">
        <f t="shared" si="13"/>
        <v>12717.64705882353</v>
      </c>
      <c r="I106" s="270">
        <f t="shared" si="19"/>
        <v>12334000</v>
      </c>
      <c r="J106" s="257" t="s">
        <v>229</v>
      </c>
      <c r="K106" s="258">
        <v>0.05</v>
      </c>
      <c r="L106" s="259">
        <f t="shared" si="23"/>
        <v>11684000</v>
      </c>
      <c r="M106" s="259">
        <f t="shared" si="24"/>
        <v>13745.882352941177</v>
      </c>
      <c r="N106" s="259">
        <f t="shared" si="14"/>
        <v>11684000</v>
      </c>
      <c r="O106" s="260">
        <f t="shared" si="20"/>
        <v>11099800</v>
      </c>
      <c r="P106" s="261">
        <f t="shared" si="25"/>
        <v>13058.588235294117</v>
      </c>
      <c r="Q106" s="262"/>
      <c r="R106" s="263">
        <f t="shared" si="18"/>
        <v>11099800</v>
      </c>
      <c r="S106" s="263"/>
      <c r="T106" s="263"/>
      <c r="U106" s="264"/>
      <c r="W106" s="265">
        <f t="shared" si="21"/>
        <v>11099800</v>
      </c>
    </row>
    <row r="107" spans="1:23" x14ac:dyDescent="0.2">
      <c r="A107" s="250">
        <v>92</v>
      </c>
      <c r="B107" s="266">
        <v>11</v>
      </c>
      <c r="C107" s="267">
        <v>10</v>
      </c>
      <c r="D107" s="267" t="str">
        <f t="shared" si="22"/>
        <v>Block 11 Lot 10</v>
      </c>
      <c r="E107" s="268" t="s">
        <v>0</v>
      </c>
      <c r="F107" s="267">
        <v>877</v>
      </c>
      <c r="G107" s="269">
        <v>11130000</v>
      </c>
      <c r="H107" s="255">
        <f t="shared" si="13"/>
        <v>12690.992018244013</v>
      </c>
      <c r="I107" s="270">
        <f t="shared" si="19"/>
        <v>12702000</v>
      </c>
      <c r="J107" s="257" t="s">
        <v>229</v>
      </c>
      <c r="K107" s="258">
        <v>0.05</v>
      </c>
      <c r="L107" s="259">
        <f t="shared" si="23"/>
        <v>12052000</v>
      </c>
      <c r="M107" s="259">
        <f t="shared" si="24"/>
        <v>13742.303306727479</v>
      </c>
      <c r="N107" s="259">
        <f t="shared" si="14"/>
        <v>12052000</v>
      </c>
      <c r="O107" s="260">
        <f t="shared" si="20"/>
        <v>11449400</v>
      </c>
      <c r="P107" s="261">
        <f t="shared" si="25"/>
        <v>13055.188141391107</v>
      </c>
      <c r="Q107" s="262"/>
      <c r="R107" s="263">
        <f t="shared" si="18"/>
        <v>11449400</v>
      </c>
      <c r="S107" s="263"/>
      <c r="T107" s="263"/>
      <c r="U107" s="264"/>
      <c r="W107" s="265">
        <f t="shared" si="21"/>
        <v>11449400</v>
      </c>
    </row>
    <row r="108" spans="1:23" x14ac:dyDescent="0.2">
      <c r="A108" s="250">
        <v>93</v>
      </c>
      <c r="B108" s="266">
        <v>12</v>
      </c>
      <c r="C108" s="267">
        <v>1</v>
      </c>
      <c r="D108" s="267" t="str">
        <f t="shared" si="22"/>
        <v>Block 12 Lot 1</v>
      </c>
      <c r="E108" s="268" t="s">
        <v>0</v>
      </c>
      <c r="F108" s="267">
        <v>900</v>
      </c>
      <c r="G108" s="269">
        <v>11740000</v>
      </c>
      <c r="H108" s="255">
        <f t="shared" si="13"/>
        <v>13044.444444444445</v>
      </c>
      <c r="I108" s="270">
        <f t="shared" si="19"/>
        <v>13403499.999999998</v>
      </c>
      <c r="J108" s="257" t="s">
        <v>228</v>
      </c>
      <c r="K108" s="258">
        <v>0.05</v>
      </c>
      <c r="L108" s="259">
        <f t="shared" si="23"/>
        <v>12753499.999999998</v>
      </c>
      <c r="M108" s="259">
        <f t="shared" si="24"/>
        <v>14170.555555555553</v>
      </c>
      <c r="N108" s="259">
        <f t="shared" si="14"/>
        <v>12753499.999999998</v>
      </c>
      <c r="O108" s="260">
        <f t="shared" si="20"/>
        <v>12115824.999999998</v>
      </c>
      <c r="P108" s="261">
        <f t="shared" si="25"/>
        <v>13462.027777777776</v>
      </c>
      <c r="Q108" s="262"/>
      <c r="R108" s="263">
        <f t="shared" si="18"/>
        <v>12115824.999999998</v>
      </c>
      <c r="S108" s="263"/>
      <c r="T108" s="263"/>
      <c r="U108" s="264"/>
      <c r="V108" s="258">
        <v>0.02</v>
      </c>
      <c r="W108" s="265">
        <f t="shared" si="21"/>
        <v>11873508.499999998</v>
      </c>
    </row>
    <row r="109" spans="1:23" x14ac:dyDescent="0.2">
      <c r="A109" s="250">
        <v>94</v>
      </c>
      <c r="B109" s="266">
        <v>12</v>
      </c>
      <c r="C109" s="267">
        <v>2</v>
      </c>
      <c r="D109" s="267" t="str">
        <f t="shared" si="22"/>
        <v>Block 12 Lot 2</v>
      </c>
      <c r="E109" s="268" t="s">
        <v>0</v>
      </c>
      <c r="F109" s="267">
        <v>894</v>
      </c>
      <c r="G109" s="269">
        <v>12280000</v>
      </c>
      <c r="H109" s="255">
        <f t="shared" si="13"/>
        <v>13736.017897091722</v>
      </c>
      <c r="I109" s="270">
        <f t="shared" si="19"/>
        <v>14024499.999999998</v>
      </c>
      <c r="J109" s="257" t="s">
        <v>229</v>
      </c>
      <c r="K109" s="258">
        <v>0.05</v>
      </c>
      <c r="L109" s="259">
        <f t="shared" si="23"/>
        <v>13374499.999999998</v>
      </c>
      <c r="M109" s="259">
        <f t="shared" si="24"/>
        <v>14960.290827740489</v>
      </c>
      <c r="N109" s="259">
        <f t="shared" si="14"/>
        <v>13374499.999999998</v>
      </c>
      <c r="O109" s="260">
        <f t="shared" si="20"/>
        <v>12705774.999999998</v>
      </c>
      <c r="P109" s="261">
        <f t="shared" si="25"/>
        <v>14212.276286353466</v>
      </c>
      <c r="Q109" s="262"/>
      <c r="R109" s="263">
        <f t="shared" si="18"/>
        <v>12705774.999999998</v>
      </c>
      <c r="S109" s="263"/>
      <c r="T109" s="263"/>
      <c r="U109" s="264"/>
      <c r="W109" s="265">
        <f t="shared" si="21"/>
        <v>12705774.999999998</v>
      </c>
    </row>
    <row r="110" spans="1:23" x14ac:dyDescent="0.2">
      <c r="A110" s="250"/>
      <c r="B110" s="266">
        <v>12</v>
      </c>
      <c r="C110" s="267">
        <v>3</v>
      </c>
      <c r="D110" s="267" t="str">
        <f t="shared" si="22"/>
        <v>Block 12 Lot 3</v>
      </c>
      <c r="E110" s="268" t="s">
        <v>0</v>
      </c>
      <c r="F110" s="267">
        <v>900</v>
      </c>
      <c r="G110" s="269">
        <v>11740000</v>
      </c>
      <c r="H110" s="255">
        <f t="shared" si="13"/>
        <v>13044.444444444445</v>
      </c>
      <c r="I110" s="270">
        <f t="shared" si="19"/>
        <v>13403499.999999998</v>
      </c>
      <c r="J110" s="257" t="s">
        <v>228</v>
      </c>
      <c r="K110" s="258">
        <v>0.05</v>
      </c>
      <c r="L110" s="259">
        <f t="shared" si="23"/>
        <v>12753499.999999998</v>
      </c>
      <c r="M110" s="259">
        <f t="shared" si="24"/>
        <v>14170.555555555553</v>
      </c>
      <c r="N110" s="259">
        <f t="shared" si="14"/>
        <v>12753499.999999998</v>
      </c>
      <c r="O110" s="260">
        <f t="shared" si="20"/>
        <v>12115824.999999998</v>
      </c>
      <c r="P110" s="261">
        <f t="shared" si="25"/>
        <v>13462.027777777776</v>
      </c>
      <c r="Q110" s="262"/>
      <c r="R110" s="263">
        <f t="shared" si="18"/>
        <v>12115824.999999998</v>
      </c>
      <c r="S110" s="263"/>
      <c r="T110" s="263"/>
      <c r="U110" s="264"/>
      <c r="W110" s="265">
        <f t="shared" si="21"/>
        <v>12115824.999999998</v>
      </c>
    </row>
    <row r="111" spans="1:23" x14ac:dyDescent="0.2">
      <c r="A111" s="250">
        <v>95</v>
      </c>
      <c r="B111" s="266">
        <v>15</v>
      </c>
      <c r="C111" s="267">
        <v>1</v>
      </c>
      <c r="D111" s="267" t="str">
        <f t="shared" si="22"/>
        <v>Block 15 Lot 1</v>
      </c>
      <c r="E111" s="268" t="s">
        <v>0</v>
      </c>
      <c r="F111" s="267">
        <v>1945</v>
      </c>
      <c r="G111" s="269">
        <v>22680000</v>
      </c>
      <c r="H111" s="255">
        <f t="shared" si="13"/>
        <v>11660.668380462725</v>
      </c>
      <c r="I111" s="270">
        <f t="shared" si="19"/>
        <v>25984499.999999996</v>
      </c>
      <c r="J111" s="257" t="s">
        <v>229</v>
      </c>
      <c r="K111" s="258">
        <v>0.05</v>
      </c>
      <c r="L111" s="259">
        <f t="shared" si="23"/>
        <v>25334499.999999996</v>
      </c>
      <c r="M111" s="259">
        <f t="shared" si="24"/>
        <v>13025.449871465295</v>
      </c>
      <c r="N111" s="259">
        <f t="shared" si="14"/>
        <v>25334499.999999996</v>
      </c>
      <c r="O111" s="260">
        <f t="shared" si="20"/>
        <v>24067774.999999996</v>
      </c>
      <c r="P111" s="261">
        <f t="shared" si="25"/>
        <v>12374.177377892029</v>
      </c>
      <c r="Q111" s="262">
        <v>0</v>
      </c>
      <c r="R111" s="263">
        <f t="shared" si="18"/>
        <v>24067774.999999996</v>
      </c>
      <c r="S111" s="263" t="s">
        <v>228</v>
      </c>
      <c r="T111" s="263">
        <f>+F111</f>
        <v>1945</v>
      </c>
      <c r="U111" s="264" t="e">
        <f>+#REF!</f>
        <v>#REF!</v>
      </c>
      <c r="W111" s="265">
        <f t="shared" si="21"/>
        <v>24067774.999999996</v>
      </c>
    </row>
    <row r="112" spans="1:23" x14ac:dyDescent="0.2">
      <c r="A112" s="250">
        <v>96</v>
      </c>
      <c r="B112" s="266">
        <v>15</v>
      </c>
      <c r="C112" s="267">
        <v>2</v>
      </c>
      <c r="D112" s="267" t="str">
        <f t="shared" si="22"/>
        <v>Block 15 Lot 2</v>
      </c>
      <c r="E112" s="268" t="s">
        <v>0</v>
      </c>
      <c r="F112" s="267">
        <v>1300</v>
      </c>
      <c r="G112" s="269">
        <v>17400000</v>
      </c>
      <c r="H112" s="255">
        <f t="shared" si="13"/>
        <v>13384.615384615385</v>
      </c>
      <c r="I112" s="270">
        <f t="shared" si="19"/>
        <v>19912500</v>
      </c>
      <c r="J112" s="257" t="s">
        <v>229</v>
      </c>
      <c r="K112" s="258">
        <v>0.05</v>
      </c>
      <c r="L112" s="259">
        <f t="shared" si="23"/>
        <v>19262500</v>
      </c>
      <c r="M112" s="259">
        <f t="shared" si="24"/>
        <v>14817.307692307691</v>
      </c>
      <c r="N112" s="259">
        <f t="shared" si="14"/>
        <v>19262500</v>
      </c>
      <c r="O112" s="260">
        <f t="shared" si="20"/>
        <v>18299375</v>
      </c>
      <c r="P112" s="261">
        <f t="shared" si="25"/>
        <v>14076.442307692309</v>
      </c>
      <c r="Q112" s="262">
        <v>0</v>
      </c>
      <c r="R112" s="263">
        <f t="shared" si="18"/>
        <v>18299375</v>
      </c>
      <c r="S112" s="263" t="s">
        <v>228</v>
      </c>
      <c r="T112" s="263">
        <f>+F112</f>
        <v>1300</v>
      </c>
      <c r="U112" s="264" t="e">
        <f>+#REF!</f>
        <v>#REF!</v>
      </c>
      <c r="V112" s="258">
        <v>0.02</v>
      </c>
      <c r="W112" s="265">
        <f t="shared" si="21"/>
        <v>17933387.5</v>
      </c>
    </row>
    <row r="113" spans="1:23" x14ac:dyDescent="0.2">
      <c r="A113" s="250"/>
      <c r="B113" s="266">
        <v>15</v>
      </c>
      <c r="C113" s="267">
        <v>3</v>
      </c>
      <c r="D113" s="267" t="str">
        <f>CONCATENATE("Block"," ",B113," ","Lot"," ",C113)</f>
        <v>Block 15 Lot 3</v>
      </c>
      <c r="E113" s="268" t="s">
        <v>0</v>
      </c>
      <c r="F113" s="267">
        <v>1300</v>
      </c>
      <c r="G113" s="269">
        <v>17400000</v>
      </c>
      <c r="H113" s="255">
        <f t="shared" si="13"/>
        <v>13384.615384615385</v>
      </c>
      <c r="I113" s="270">
        <f t="shared" si="19"/>
        <v>19912500</v>
      </c>
      <c r="J113" s="257" t="s">
        <v>228</v>
      </c>
      <c r="K113" s="258">
        <v>0.05</v>
      </c>
      <c r="L113" s="259">
        <f t="shared" si="23"/>
        <v>19262500</v>
      </c>
      <c r="M113" s="259">
        <f t="shared" si="24"/>
        <v>14817.307692307691</v>
      </c>
      <c r="N113" s="259">
        <f t="shared" si="14"/>
        <v>19262500</v>
      </c>
      <c r="O113" s="260">
        <f t="shared" si="20"/>
        <v>18299375</v>
      </c>
      <c r="P113" s="261">
        <f t="shared" si="25"/>
        <v>14076.442307692309</v>
      </c>
      <c r="Q113" s="262"/>
      <c r="R113" s="263">
        <f t="shared" si="18"/>
        <v>18299375</v>
      </c>
      <c r="S113" s="263"/>
      <c r="T113" s="263"/>
      <c r="U113" s="264"/>
      <c r="W113" s="265">
        <f t="shared" si="21"/>
        <v>18299375</v>
      </c>
    </row>
    <row r="114" spans="1:23" x14ac:dyDescent="0.2">
      <c r="A114" s="250">
        <v>97</v>
      </c>
      <c r="B114" s="266">
        <v>15</v>
      </c>
      <c r="C114" s="267">
        <v>5</v>
      </c>
      <c r="D114" s="267" t="str">
        <f t="shared" ref="D114:D168" si="26">CONCATENATE("Block"," ",B114," ","Lot"," ",C114)</f>
        <v>Block 15 Lot 5</v>
      </c>
      <c r="E114" s="268" t="s">
        <v>0</v>
      </c>
      <c r="F114" s="267">
        <v>900</v>
      </c>
      <c r="G114" s="269">
        <v>11940000</v>
      </c>
      <c r="H114" s="255">
        <f t="shared" si="13"/>
        <v>13266.666666666666</v>
      </c>
      <c r="I114" s="270">
        <f t="shared" si="19"/>
        <v>13633499.999999998</v>
      </c>
      <c r="J114" s="257" t="s">
        <v>229</v>
      </c>
      <c r="K114" s="258">
        <v>0.05</v>
      </c>
      <c r="L114" s="259">
        <f t="shared" si="23"/>
        <v>12983499.999999998</v>
      </c>
      <c r="M114" s="259">
        <f t="shared" si="24"/>
        <v>14426.111111111109</v>
      </c>
      <c r="N114" s="259">
        <f t="shared" si="14"/>
        <v>12983499.999999998</v>
      </c>
      <c r="O114" s="260">
        <f t="shared" si="20"/>
        <v>12334324.999999998</v>
      </c>
      <c r="P114" s="261">
        <f t="shared" si="25"/>
        <v>13704.805555555553</v>
      </c>
      <c r="Q114" s="262"/>
      <c r="R114" s="263">
        <f t="shared" si="18"/>
        <v>12334324.999999998</v>
      </c>
      <c r="S114" s="263"/>
      <c r="T114" s="263"/>
      <c r="U114" s="264"/>
      <c r="W114" s="265">
        <f t="shared" si="21"/>
        <v>12334324.999999998</v>
      </c>
    </row>
    <row r="115" spans="1:23" x14ac:dyDescent="0.2">
      <c r="A115" s="250"/>
      <c r="B115" s="266">
        <v>15</v>
      </c>
      <c r="C115" s="267">
        <v>6</v>
      </c>
      <c r="D115" s="267" t="str">
        <f t="shared" si="26"/>
        <v>Block 15 Lot 6</v>
      </c>
      <c r="E115" s="268" t="s">
        <v>0</v>
      </c>
      <c r="F115" s="267">
        <v>851</v>
      </c>
      <c r="G115" s="269">
        <v>10690000</v>
      </c>
      <c r="H115" s="255">
        <f t="shared" si="13"/>
        <v>12561.692126909518</v>
      </c>
      <c r="I115" s="270">
        <f t="shared" si="19"/>
        <v>12196000</v>
      </c>
      <c r="J115" s="257" t="s">
        <v>228</v>
      </c>
      <c r="K115" s="258">
        <v>0.05</v>
      </c>
      <c r="L115" s="259">
        <f t="shared" si="23"/>
        <v>11546000</v>
      </c>
      <c r="M115" s="259">
        <f t="shared" si="24"/>
        <v>13567.567567567568</v>
      </c>
      <c r="N115" s="259">
        <f t="shared" si="14"/>
        <v>11546000</v>
      </c>
      <c r="O115" s="260">
        <f t="shared" si="20"/>
        <v>10968700</v>
      </c>
      <c r="P115" s="261">
        <f t="shared" si="25"/>
        <v>12889.18918918919</v>
      </c>
      <c r="Q115" s="262"/>
      <c r="R115" s="263">
        <f t="shared" si="18"/>
        <v>10968700</v>
      </c>
      <c r="S115" s="263"/>
      <c r="T115" s="263"/>
      <c r="U115" s="264"/>
      <c r="W115" s="265">
        <f t="shared" si="21"/>
        <v>10968700</v>
      </c>
    </row>
    <row r="116" spans="1:23" x14ac:dyDescent="0.2">
      <c r="A116" s="250">
        <v>98</v>
      </c>
      <c r="B116" s="266">
        <v>16</v>
      </c>
      <c r="C116" s="267">
        <v>1</v>
      </c>
      <c r="D116" s="267" t="str">
        <f t="shared" si="26"/>
        <v>Block 16 Lot 1</v>
      </c>
      <c r="E116" s="268" t="s">
        <v>1</v>
      </c>
      <c r="F116" s="267">
        <v>600</v>
      </c>
      <c r="G116" s="269">
        <v>11640000</v>
      </c>
      <c r="H116" s="255">
        <f t="shared" si="13"/>
        <v>19400</v>
      </c>
      <c r="I116" s="270">
        <f t="shared" si="19"/>
        <v>13288499.999999998</v>
      </c>
      <c r="J116" s="257" t="s">
        <v>229</v>
      </c>
      <c r="K116" s="258">
        <v>0.1</v>
      </c>
      <c r="L116" s="259">
        <f t="shared" si="23"/>
        <v>12638499.999999998</v>
      </c>
      <c r="M116" s="259">
        <f t="shared" si="24"/>
        <v>21064.166666666664</v>
      </c>
      <c r="N116" s="259">
        <f t="shared" si="14"/>
        <v>12638499.999999998</v>
      </c>
      <c r="O116" s="260">
        <f t="shared" si="20"/>
        <v>11374649.999999998</v>
      </c>
      <c r="P116" s="261">
        <f t="shared" si="25"/>
        <v>18957.749999999996</v>
      </c>
      <c r="Q116" s="262"/>
      <c r="R116" s="263">
        <f t="shared" si="18"/>
        <v>11374649.999999998</v>
      </c>
      <c r="S116" s="263"/>
      <c r="T116" s="263"/>
      <c r="U116" s="264"/>
      <c r="W116" s="265">
        <f t="shared" si="21"/>
        <v>11374649.999999998</v>
      </c>
    </row>
    <row r="117" spans="1:23" x14ac:dyDescent="0.2">
      <c r="A117" s="250">
        <v>99</v>
      </c>
      <c r="B117" s="266">
        <v>16</v>
      </c>
      <c r="C117" s="267">
        <v>2</v>
      </c>
      <c r="D117" s="267" t="str">
        <f t="shared" si="26"/>
        <v>Block 16 Lot 2</v>
      </c>
      <c r="E117" s="268" t="s">
        <v>1</v>
      </c>
      <c r="F117" s="267">
        <v>579</v>
      </c>
      <c r="G117" s="269">
        <v>10080000</v>
      </c>
      <c r="H117" s="255">
        <f t="shared" si="13"/>
        <v>17409.326424870465</v>
      </c>
      <c r="I117" s="270">
        <f t="shared" si="19"/>
        <v>11494500</v>
      </c>
      <c r="J117" s="257" t="s">
        <v>229</v>
      </c>
      <c r="K117" s="258">
        <v>0.1</v>
      </c>
      <c r="L117" s="259">
        <f t="shared" si="23"/>
        <v>10844500</v>
      </c>
      <c r="M117" s="259">
        <f t="shared" si="24"/>
        <v>18729.706390328152</v>
      </c>
      <c r="N117" s="259">
        <f t="shared" si="14"/>
        <v>10844500</v>
      </c>
      <c r="O117" s="260">
        <f t="shared" si="20"/>
        <v>9760050</v>
      </c>
      <c r="P117" s="261">
        <f t="shared" si="25"/>
        <v>16856.735751295339</v>
      </c>
      <c r="Q117" s="262">
        <v>0.04</v>
      </c>
      <c r="R117" s="263">
        <f t="shared" si="18"/>
        <v>9369648</v>
      </c>
      <c r="S117" s="263" t="s">
        <v>228</v>
      </c>
      <c r="T117" s="263">
        <f>+F117</f>
        <v>579</v>
      </c>
      <c r="U117" s="264" t="e">
        <f>+#REF!</f>
        <v>#REF!</v>
      </c>
      <c r="V117" s="258">
        <v>0.02</v>
      </c>
      <c r="W117" s="265">
        <f t="shared" si="21"/>
        <v>9182255.0399999991</v>
      </c>
    </row>
    <row r="118" spans="1:23" x14ac:dyDescent="0.2">
      <c r="A118" s="250">
        <v>100</v>
      </c>
      <c r="B118" s="266">
        <v>16</v>
      </c>
      <c r="C118" s="267">
        <v>3</v>
      </c>
      <c r="D118" s="267" t="str">
        <f t="shared" si="26"/>
        <v>Block 16 Lot 3</v>
      </c>
      <c r="E118" s="268" t="s">
        <v>1</v>
      </c>
      <c r="F118" s="267">
        <v>579</v>
      </c>
      <c r="G118" s="269">
        <v>10080000</v>
      </c>
      <c r="H118" s="255">
        <f t="shared" si="13"/>
        <v>17409.326424870465</v>
      </c>
      <c r="I118" s="270">
        <f t="shared" si="19"/>
        <v>11494500</v>
      </c>
      <c r="J118" s="257" t="s">
        <v>229</v>
      </c>
      <c r="K118" s="258">
        <v>0.1</v>
      </c>
      <c r="L118" s="259">
        <f t="shared" si="23"/>
        <v>10844500</v>
      </c>
      <c r="M118" s="259">
        <f t="shared" si="24"/>
        <v>18729.706390328152</v>
      </c>
      <c r="N118" s="259">
        <f t="shared" si="14"/>
        <v>10844500</v>
      </c>
      <c r="O118" s="260">
        <f t="shared" si="20"/>
        <v>9760050</v>
      </c>
      <c r="P118" s="261">
        <f t="shared" si="25"/>
        <v>16856.735751295339</v>
      </c>
      <c r="Q118" s="262"/>
      <c r="R118" s="263">
        <f t="shared" si="18"/>
        <v>9760050</v>
      </c>
      <c r="S118" s="263"/>
      <c r="T118" s="263"/>
      <c r="U118" s="264"/>
      <c r="W118" s="265">
        <f t="shared" si="21"/>
        <v>9760050</v>
      </c>
    </row>
    <row r="119" spans="1:23" x14ac:dyDescent="0.2">
      <c r="A119" s="250">
        <v>101</v>
      </c>
      <c r="B119" s="266">
        <v>16</v>
      </c>
      <c r="C119" s="267">
        <v>5</v>
      </c>
      <c r="D119" s="267" t="str">
        <f t="shared" si="26"/>
        <v>Block 16 Lot 5</v>
      </c>
      <c r="E119" s="268" t="s">
        <v>1</v>
      </c>
      <c r="F119" s="267">
        <v>600</v>
      </c>
      <c r="G119" s="269">
        <v>11230000</v>
      </c>
      <c r="H119" s="255">
        <f t="shared" si="13"/>
        <v>18716.666666666668</v>
      </c>
      <c r="I119" s="270">
        <f t="shared" si="19"/>
        <v>12816999.999999998</v>
      </c>
      <c r="J119" s="257" t="s">
        <v>229</v>
      </c>
      <c r="K119" s="258">
        <v>0.1</v>
      </c>
      <c r="L119" s="259">
        <f t="shared" si="23"/>
        <v>12166999.999999998</v>
      </c>
      <c r="M119" s="259">
        <f t="shared" si="24"/>
        <v>20278.333333333328</v>
      </c>
      <c r="N119" s="259">
        <f t="shared" si="14"/>
        <v>12166999.999999998</v>
      </c>
      <c r="O119" s="260">
        <f t="shared" si="20"/>
        <v>10950299.999999998</v>
      </c>
      <c r="P119" s="261">
        <f t="shared" si="25"/>
        <v>18250.499999999996</v>
      </c>
      <c r="Q119" s="262"/>
      <c r="R119" s="263">
        <f t="shared" si="18"/>
        <v>10950299.999999998</v>
      </c>
      <c r="S119" s="263"/>
      <c r="T119" s="263"/>
      <c r="U119" s="264"/>
      <c r="W119" s="265">
        <f t="shared" si="21"/>
        <v>10950299.999999998</v>
      </c>
    </row>
    <row r="120" spans="1:23" x14ac:dyDescent="0.2">
      <c r="A120" s="250">
        <v>102</v>
      </c>
      <c r="B120" s="266">
        <v>16</v>
      </c>
      <c r="C120" s="267">
        <v>6</v>
      </c>
      <c r="D120" s="267" t="str">
        <f t="shared" si="26"/>
        <v>Block 16 Lot 6</v>
      </c>
      <c r="E120" s="268" t="s">
        <v>1</v>
      </c>
      <c r="F120" s="267">
        <v>600</v>
      </c>
      <c r="G120" s="269">
        <v>11230000</v>
      </c>
      <c r="H120" s="255">
        <f t="shared" si="13"/>
        <v>18716.666666666668</v>
      </c>
      <c r="I120" s="270">
        <f t="shared" si="19"/>
        <v>12816999.999999998</v>
      </c>
      <c r="J120" s="257" t="s">
        <v>229</v>
      </c>
      <c r="K120" s="258">
        <v>0.1</v>
      </c>
      <c r="L120" s="259">
        <f t="shared" si="23"/>
        <v>12166999.999999998</v>
      </c>
      <c r="M120" s="259">
        <f t="shared" si="24"/>
        <v>20278.333333333328</v>
      </c>
      <c r="N120" s="259">
        <f t="shared" si="14"/>
        <v>12166999.999999998</v>
      </c>
      <c r="O120" s="260">
        <f t="shared" si="20"/>
        <v>10950299.999999998</v>
      </c>
      <c r="P120" s="261">
        <f t="shared" si="25"/>
        <v>18250.499999999996</v>
      </c>
      <c r="Q120" s="262"/>
      <c r="R120" s="263">
        <f t="shared" si="18"/>
        <v>10950299.999999998</v>
      </c>
      <c r="S120" s="263"/>
      <c r="T120" s="263"/>
      <c r="U120" s="264"/>
      <c r="V120" s="258">
        <v>0.02</v>
      </c>
      <c r="W120" s="265">
        <f t="shared" si="21"/>
        <v>10731293.999999998</v>
      </c>
    </row>
    <row r="121" spans="1:23" x14ac:dyDescent="0.2">
      <c r="A121" s="250">
        <v>103</v>
      </c>
      <c r="B121" s="266">
        <v>16</v>
      </c>
      <c r="C121" s="267">
        <v>7</v>
      </c>
      <c r="D121" s="267" t="str">
        <f t="shared" si="26"/>
        <v>Block 16 Lot 7</v>
      </c>
      <c r="E121" s="268" t="s">
        <v>1</v>
      </c>
      <c r="F121" s="267">
        <v>549</v>
      </c>
      <c r="G121" s="269">
        <v>9590000</v>
      </c>
      <c r="H121" s="255">
        <f t="shared" si="13"/>
        <v>17468.123861566484</v>
      </c>
      <c r="I121" s="270">
        <f t="shared" si="19"/>
        <v>10931000</v>
      </c>
      <c r="J121" s="257" t="s">
        <v>229</v>
      </c>
      <c r="K121" s="258">
        <v>0.1</v>
      </c>
      <c r="L121" s="259">
        <f t="shared" si="23"/>
        <v>10281000</v>
      </c>
      <c r="M121" s="259">
        <f t="shared" si="24"/>
        <v>18726.775956284153</v>
      </c>
      <c r="N121" s="259">
        <f t="shared" si="14"/>
        <v>10281000</v>
      </c>
      <c r="O121" s="260">
        <f t="shared" si="20"/>
        <v>9252900</v>
      </c>
      <c r="P121" s="261">
        <f t="shared" si="25"/>
        <v>16854.098360655738</v>
      </c>
      <c r="Q121" s="262"/>
      <c r="R121" s="263">
        <f t="shared" si="18"/>
        <v>9252900</v>
      </c>
      <c r="S121" s="263"/>
      <c r="T121" s="263"/>
      <c r="U121" s="264"/>
      <c r="W121" s="265">
        <f t="shared" si="21"/>
        <v>9252900</v>
      </c>
    </row>
    <row r="122" spans="1:23" x14ac:dyDescent="0.2">
      <c r="A122" s="250">
        <v>104</v>
      </c>
      <c r="B122" s="266">
        <v>16</v>
      </c>
      <c r="C122" s="267">
        <v>8</v>
      </c>
      <c r="D122" s="267" t="str">
        <f t="shared" si="26"/>
        <v>Block 16 Lot 8</v>
      </c>
      <c r="E122" s="268" t="s">
        <v>1</v>
      </c>
      <c r="F122" s="267">
        <v>549</v>
      </c>
      <c r="G122" s="269">
        <v>10480000</v>
      </c>
      <c r="H122" s="255">
        <f t="shared" si="13"/>
        <v>19089.253187613842</v>
      </c>
      <c r="I122" s="270">
        <f t="shared" si="19"/>
        <v>11954500</v>
      </c>
      <c r="J122" s="257" t="s">
        <v>229</v>
      </c>
      <c r="K122" s="258">
        <v>0.1</v>
      </c>
      <c r="L122" s="259">
        <f t="shared" si="23"/>
        <v>11304500</v>
      </c>
      <c r="M122" s="259">
        <f t="shared" si="24"/>
        <v>20591.074681238617</v>
      </c>
      <c r="N122" s="259">
        <f t="shared" si="14"/>
        <v>11304500</v>
      </c>
      <c r="O122" s="260">
        <f t="shared" si="20"/>
        <v>10174050</v>
      </c>
      <c r="P122" s="261">
        <f t="shared" si="25"/>
        <v>18531.967213114753</v>
      </c>
      <c r="Q122" s="262"/>
      <c r="R122" s="263">
        <f t="shared" si="18"/>
        <v>10174050</v>
      </c>
      <c r="S122" s="263"/>
      <c r="T122" s="263"/>
      <c r="U122" s="264"/>
      <c r="V122" s="258"/>
      <c r="W122" s="265">
        <f t="shared" si="21"/>
        <v>10174050</v>
      </c>
    </row>
    <row r="123" spans="1:23" x14ac:dyDescent="0.2">
      <c r="A123" s="250">
        <v>105</v>
      </c>
      <c r="B123" s="266">
        <v>16</v>
      </c>
      <c r="C123" s="267">
        <v>9</v>
      </c>
      <c r="D123" s="267" t="str">
        <f t="shared" si="26"/>
        <v>Block 16 Lot 9</v>
      </c>
      <c r="E123" s="268" t="s">
        <v>1</v>
      </c>
      <c r="F123" s="267">
        <v>600</v>
      </c>
      <c r="G123" s="269">
        <v>11640000</v>
      </c>
      <c r="H123" s="255">
        <f t="shared" si="13"/>
        <v>19400</v>
      </c>
      <c r="I123" s="270">
        <f t="shared" si="19"/>
        <v>13288499.999999998</v>
      </c>
      <c r="J123" s="257" t="s">
        <v>229</v>
      </c>
      <c r="K123" s="258">
        <v>0.1</v>
      </c>
      <c r="L123" s="259">
        <f t="shared" si="23"/>
        <v>12638499.999999998</v>
      </c>
      <c r="M123" s="259">
        <f t="shared" si="24"/>
        <v>21064.166666666664</v>
      </c>
      <c r="N123" s="259">
        <f t="shared" si="14"/>
        <v>12638499.999999998</v>
      </c>
      <c r="O123" s="260">
        <f t="shared" si="20"/>
        <v>11374649.999999998</v>
      </c>
      <c r="P123" s="261">
        <f t="shared" si="25"/>
        <v>18957.749999999996</v>
      </c>
      <c r="Q123" s="262">
        <v>0.02</v>
      </c>
      <c r="R123" s="263">
        <f t="shared" si="18"/>
        <v>11147156.999999998</v>
      </c>
      <c r="S123" s="263" t="s">
        <v>228</v>
      </c>
      <c r="T123" s="263">
        <f>+F123</f>
        <v>600</v>
      </c>
      <c r="U123" s="264" t="e">
        <f>+#REF!</f>
        <v>#REF!</v>
      </c>
      <c r="W123" s="265">
        <f t="shared" si="21"/>
        <v>11147156.999999998</v>
      </c>
    </row>
    <row r="124" spans="1:23" x14ac:dyDescent="0.2">
      <c r="A124" s="250">
        <v>106</v>
      </c>
      <c r="B124" s="266">
        <v>17</v>
      </c>
      <c r="C124" s="267">
        <v>1</v>
      </c>
      <c r="D124" s="267" t="str">
        <f t="shared" si="26"/>
        <v>Block 17 Lot 1</v>
      </c>
      <c r="E124" s="268" t="s">
        <v>1</v>
      </c>
      <c r="F124" s="267">
        <v>601</v>
      </c>
      <c r="G124" s="269">
        <v>11660000</v>
      </c>
      <c r="H124" s="255">
        <f t="shared" si="13"/>
        <v>19400.998336106488</v>
      </c>
      <c r="I124" s="270">
        <f t="shared" si="19"/>
        <v>13311499.999999998</v>
      </c>
      <c r="J124" s="257" t="s">
        <v>229</v>
      </c>
      <c r="K124" s="258">
        <v>0.1</v>
      </c>
      <c r="L124" s="259">
        <f t="shared" si="23"/>
        <v>12661499.999999998</v>
      </c>
      <c r="M124" s="259">
        <f t="shared" si="24"/>
        <v>21067.387687188017</v>
      </c>
      <c r="N124" s="259">
        <f t="shared" si="14"/>
        <v>12661499.999999998</v>
      </c>
      <c r="O124" s="260">
        <f t="shared" si="20"/>
        <v>11395349.999999998</v>
      </c>
      <c r="P124" s="261">
        <f t="shared" si="25"/>
        <v>18960.648918469215</v>
      </c>
      <c r="Q124" s="262"/>
      <c r="R124" s="263">
        <f t="shared" si="18"/>
        <v>11395349.999999998</v>
      </c>
      <c r="S124" s="263"/>
      <c r="T124" s="263"/>
      <c r="U124" s="264"/>
      <c r="W124" s="265">
        <f t="shared" si="21"/>
        <v>11395349.999999998</v>
      </c>
    </row>
    <row r="125" spans="1:23" x14ac:dyDescent="0.2">
      <c r="A125" s="250">
        <v>107</v>
      </c>
      <c r="B125" s="266">
        <v>17</v>
      </c>
      <c r="C125" s="267">
        <v>2</v>
      </c>
      <c r="D125" s="267" t="str">
        <f t="shared" si="26"/>
        <v>Block 17 Lot 2</v>
      </c>
      <c r="E125" s="268" t="s">
        <v>1</v>
      </c>
      <c r="F125" s="267">
        <v>463</v>
      </c>
      <c r="G125" s="269">
        <v>8190000</v>
      </c>
      <c r="H125" s="255">
        <f t="shared" si="13"/>
        <v>17688.984881209504</v>
      </c>
      <c r="I125" s="270">
        <f t="shared" si="19"/>
        <v>9321000</v>
      </c>
      <c r="J125" s="257" t="s">
        <v>229</v>
      </c>
      <c r="K125" s="258">
        <v>0.1</v>
      </c>
      <c r="L125" s="259">
        <f t="shared" si="23"/>
        <v>8671000</v>
      </c>
      <c r="M125" s="259">
        <f t="shared" si="24"/>
        <v>18727.861771058317</v>
      </c>
      <c r="N125" s="259">
        <f t="shared" si="14"/>
        <v>8671000</v>
      </c>
      <c r="O125" s="260">
        <f t="shared" si="20"/>
        <v>7803900</v>
      </c>
      <c r="P125" s="261">
        <f t="shared" si="25"/>
        <v>16855.075593952482</v>
      </c>
      <c r="Q125" s="262"/>
      <c r="R125" s="263">
        <f t="shared" si="18"/>
        <v>7803900</v>
      </c>
      <c r="S125" s="263"/>
      <c r="T125" s="263"/>
      <c r="U125" s="264"/>
      <c r="W125" s="265">
        <f t="shared" si="21"/>
        <v>7803900</v>
      </c>
    </row>
    <row r="126" spans="1:23" x14ac:dyDescent="0.2">
      <c r="A126" s="250">
        <v>108</v>
      </c>
      <c r="B126" s="266">
        <v>17</v>
      </c>
      <c r="C126" s="267">
        <v>3</v>
      </c>
      <c r="D126" s="267" t="str">
        <f t="shared" si="26"/>
        <v>Block 17 Lot 3</v>
      </c>
      <c r="E126" s="268" t="s">
        <v>1</v>
      </c>
      <c r="F126" s="267">
        <v>600</v>
      </c>
      <c r="G126" s="269">
        <v>11230000</v>
      </c>
      <c r="H126" s="255">
        <f t="shared" si="13"/>
        <v>18716.666666666668</v>
      </c>
      <c r="I126" s="270">
        <f t="shared" si="19"/>
        <v>12816999.999999998</v>
      </c>
      <c r="J126" s="257" t="s">
        <v>229</v>
      </c>
      <c r="K126" s="258">
        <v>0.1</v>
      </c>
      <c r="L126" s="259">
        <f t="shared" si="23"/>
        <v>12166999.999999998</v>
      </c>
      <c r="M126" s="259">
        <f t="shared" si="24"/>
        <v>20278.333333333328</v>
      </c>
      <c r="N126" s="259">
        <f t="shared" si="14"/>
        <v>12166999.999999998</v>
      </c>
      <c r="O126" s="260">
        <f t="shared" si="20"/>
        <v>10950299.999999998</v>
      </c>
      <c r="P126" s="261">
        <f t="shared" si="25"/>
        <v>18250.499999999996</v>
      </c>
      <c r="Q126" s="262"/>
      <c r="R126" s="263">
        <f t="shared" si="18"/>
        <v>10950299.999999998</v>
      </c>
      <c r="S126" s="263"/>
      <c r="T126" s="263"/>
      <c r="U126" s="264"/>
      <c r="V126" s="258">
        <v>0.02</v>
      </c>
      <c r="W126" s="265">
        <f t="shared" si="21"/>
        <v>10731293.999999998</v>
      </c>
    </row>
    <row r="127" spans="1:23" x14ac:dyDescent="0.2">
      <c r="A127" s="250">
        <v>109</v>
      </c>
      <c r="B127" s="266">
        <v>17</v>
      </c>
      <c r="C127" s="267">
        <v>5</v>
      </c>
      <c r="D127" s="267" t="str">
        <f t="shared" si="26"/>
        <v>Block 17 Lot 5</v>
      </c>
      <c r="E127" s="268" t="s">
        <v>1</v>
      </c>
      <c r="F127" s="267">
        <v>601</v>
      </c>
      <c r="G127" s="269">
        <v>11660000</v>
      </c>
      <c r="H127" s="255">
        <f t="shared" si="13"/>
        <v>19400.998336106488</v>
      </c>
      <c r="I127" s="270">
        <f t="shared" si="19"/>
        <v>13311499.999999998</v>
      </c>
      <c r="J127" s="257" t="s">
        <v>229</v>
      </c>
      <c r="K127" s="258">
        <v>0.1</v>
      </c>
      <c r="L127" s="259">
        <f t="shared" si="23"/>
        <v>12661499.999999998</v>
      </c>
      <c r="M127" s="259">
        <f t="shared" si="24"/>
        <v>21067.387687188017</v>
      </c>
      <c r="N127" s="259">
        <f t="shared" si="14"/>
        <v>12661499.999999998</v>
      </c>
      <c r="O127" s="260">
        <f t="shared" si="20"/>
        <v>11395349.999999998</v>
      </c>
      <c r="P127" s="261">
        <f t="shared" si="25"/>
        <v>18960.648918469215</v>
      </c>
      <c r="Q127" s="262"/>
      <c r="R127" s="263">
        <f t="shared" si="18"/>
        <v>11395349.999999998</v>
      </c>
      <c r="S127" s="263"/>
      <c r="T127" s="263"/>
      <c r="U127" s="264"/>
      <c r="W127" s="265">
        <f t="shared" si="21"/>
        <v>11395349.999999998</v>
      </c>
    </row>
    <row r="128" spans="1:23" x14ac:dyDescent="0.2">
      <c r="A128" s="250">
        <v>110</v>
      </c>
      <c r="B128" s="266">
        <v>17</v>
      </c>
      <c r="C128" s="267">
        <v>6</v>
      </c>
      <c r="D128" s="267" t="str">
        <f t="shared" si="26"/>
        <v>Block 17 Lot 6</v>
      </c>
      <c r="E128" s="268" t="s">
        <v>1</v>
      </c>
      <c r="F128" s="267">
        <v>463</v>
      </c>
      <c r="G128" s="269">
        <v>8500000</v>
      </c>
      <c r="H128" s="255">
        <f t="shared" si="13"/>
        <v>18358.531317494599</v>
      </c>
      <c r="I128" s="270">
        <f t="shared" si="19"/>
        <v>9677500</v>
      </c>
      <c r="J128" s="257" t="s">
        <v>229</v>
      </c>
      <c r="K128" s="258">
        <v>0.1</v>
      </c>
      <c r="L128" s="259">
        <f t="shared" si="23"/>
        <v>9027500</v>
      </c>
      <c r="M128" s="259">
        <f t="shared" si="24"/>
        <v>19497.840172786178</v>
      </c>
      <c r="N128" s="259">
        <f t="shared" si="14"/>
        <v>9027500</v>
      </c>
      <c r="O128" s="260">
        <f t="shared" si="20"/>
        <v>8124750</v>
      </c>
      <c r="P128" s="261">
        <f t="shared" si="25"/>
        <v>17548.056155507558</v>
      </c>
      <c r="Q128" s="262"/>
      <c r="R128" s="263">
        <f t="shared" si="18"/>
        <v>8124750</v>
      </c>
      <c r="S128" s="263"/>
      <c r="T128" s="263"/>
      <c r="U128" s="264"/>
      <c r="W128" s="265">
        <f t="shared" si="21"/>
        <v>8124750</v>
      </c>
    </row>
    <row r="129" spans="1:23" x14ac:dyDescent="0.2">
      <c r="A129" s="250">
        <v>111</v>
      </c>
      <c r="B129" s="266">
        <v>17</v>
      </c>
      <c r="C129" s="267">
        <v>7</v>
      </c>
      <c r="D129" s="267" t="str">
        <f t="shared" si="26"/>
        <v>Block 17 Lot 7</v>
      </c>
      <c r="E129" s="268" t="s">
        <v>1</v>
      </c>
      <c r="F129" s="267">
        <v>600</v>
      </c>
      <c r="G129" s="269">
        <v>10820000</v>
      </c>
      <c r="H129" s="255">
        <f t="shared" ref="H129:H184" si="27">+G129/F129</f>
        <v>18033.333333333332</v>
      </c>
      <c r="I129" s="270">
        <f t="shared" si="19"/>
        <v>12345500</v>
      </c>
      <c r="J129" s="257" t="s">
        <v>229</v>
      </c>
      <c r="K129" s="258">
        <v>0.1</v>
      </c>
      <c r="L129" s="259">
        <f t="shared" si="23"/>
        <v>11695500</v>
      </c>
      <c r="M129" s="259">
        <f t="shared" si="24"/>
        <v>19492.5</v>
      </c>
      <c r="N129" s="259">
        <f t="shared" ref="N129:N184" si="28">+L129-(L129*0%)</f>
        <v>11695500</v>
      </c>
      <c r="O129" s="260">
        <f t="shared" si="20"/>
        <v>10525950</v>
      </c>
      <c r="P129" s="261">
        <f t="shared" si="25"/>
        <v>17543.25</v>
      </c>
      <c r="Q129" s="262"/>
      <c r="R129" s="263">
        <f t="shared" si="18"/>
        <v>10525950</v>
      </c>
      <c r="S129" s="263"/>
      <c r="T129" s="263"/>
      <c r="U129" s="264"/>
      <c r="W129" s="265">
        <f t="shared" si="21"/>
        <v>10525950</v>
      </c>
    </row>
    <row r="130" spans="1:23" x14ac:dyDescent="0.2">
      <c r="A130" s="250">
        <v>112</v>
      </c>
      <c r="B130" s="266">
        <v>18</v>
      </c>
      <c r="C130" s="267">
        <v>1</v>
      </c>
      <c r="D130" s="267" t="str">
        <f t="shared" si="26"/>
        <v>Block 18 Lot 1</v>
      </c>
      <c r="E130" s="268" t="s">
        <v>1</v>
      </c>
      <c r="F130" s="267">
        <v>588</v>
      </c>
      <c r="G130" s="269">
        <v>11020000</v>
      </c>
      <c r="H130" s="255">
        <f t="shared" si="27"/>
        <v>18741.496598639456</v>
      </c>
      <c r="I130" s="270">
        <f t="shared" si="19"/>
        <v>12575500</v>
      </c>
      <c r="J130" s="257" t="s">
        <v>229</v>
      </c>
      <c r="K130" s="258">
        <v>0.1</v>
      </c>
      <c r="L130" s="259">
        <f t="shared" ref="L130:L161" si="29">+(I130-650000)</f>
        <v>11925500</v>
      </c>
      <c r="M130" s="259">
        <f t="shared" ref="M130:M161" si="30">+L130/F130</f>
        <v>20281.462585034013</v>
      </c>
      <c r="N130" s="259">
        <f t="shared" si="28"/>
        <v>11925500</v>
      </c>
      <c r="O130" s="260">
        <f t="shared" si="20"/>
        <v>10732950</v>
      </c>
      <c r="P130" s="261">
        <f t="shared" ref="P130:P161" si="31">+O130/F130</f>
        <v>18253.316326530614</v>
      </c>
      <c r="Q130" s="262"/>
      <c r="R130" s="263">
        <f t="shared" ref="R130:R184" si="32">+O130-(O130*Q130)</f>
        <v>10732950</v>
      </c>
      <c r="S130" s="263"/>
      <c r="T130" s="263"/>
      <c r="U130" s="264"/>
      <c r="W130" s="265">
        <f t="shared" si="21"/>
        <v>10732950</v>
      </c>
    </row>
    <row r="131" spans="1:23" x14ac:dyDescent="0.2">
      <c r="A131" s="250">
        <v>113</v>
      </c>
      <c r="B131" s="266">
        <v>18</v>
      </c>
      <c r="C131" s="271">
        <v>2</v>
      </c>
      <c r="D131" s="267" t="str">
        <f t="shared" si="26"/>
        <v>Block 18 Lot 2</v>
      </c>
      <c r="E131" s="268" t="s">
        <v>1</v>
      </c>
      <c r="F131" s="267">
        <v>450</v>
      </c>
      <c r="G131" s="269">
        <v>7980000</v>
      </c>
      <c r="H131" s="255">
        <f t="shared" si="27"/>
        <v>17733.333333333332</v>
      </c>
      <c r="I131" s="270">
        <f t="shared" ref="I131:I184" si="33">+((G131-650000)*1.15)+650000</f>
        <v>9079500</v>
      </c>
      <c r="J131" s="257" t="s">
        <v>229</v>
      </c>
      <c r="K131" s="258">
        <v>0.1</v>
      </c>
      <c r="L131" s="259">
        <f t="shared" si="29"/>
        <v>8429500</v>
      </c>
      <c r="M131" s="259">
        <f t="shared" si="30"/>
        <v>18732.222222222223</v>
      </c>
      <c r="N131" s="259">
        <f t="shared" si="28"/>
        <v>8429500</v>
      </c>
      <c r="O131" s="260">
        <f t="shared" ref="O131:O184" si="34">+N131-(N131*K131)</f>
        <v>7586550</v>
      </c>
      <c r="P131" s="261">
        <f t="shared" si="31"/>
        <v>16859</v>
      </c>
      <c r="Q131" s="262">
        <v>0.2</v>
      </c>
      <c r="R131" s="263">
        <f t="shared" si="32"/>
        <v>6069240</v>
      </c>
      <c r="S131" s="263" t="s">
        <v>228</v>
      </c>
      <c r="T131" s="263">
        <f>+F131</f>
        <v>450</v>
      </c>
      <c r="U131" s="264" t="e">
        <f>+#REF!</f>
        <v>#REF!</v>
      </c>
      <c r="V131" s="258">
        <v>0.02</v>
      </c>
      <c r="W131" s="265">
        <f t="shared" ref="W131:W184" si="35">+R131-(R131*V131)</f>
        <v>5947855.2000000002</v>
      </c>
    </row>
    <row r="132" spans="1:23" x14ac:dyDescent="0.2">
      <c r="A132" s="250"/>
      <c r="B132" s="266">
        <v>18</v>
      </c>
      <c r="C132" s="271">
        <v>3</v>
      </c>
      <c r="D132" s="267" t="str">
        <f t="shared" si="26"/>
        <v>Block 18 Lot 3</v>
      </c>
      <c r="E132" s="268" t="s">
        <v>1</v>
      </c>
      <c r="F132" s="267">
        <v>450</v>
      </c>
      <c r="G132" s="269">
        <v>9410000</v>
      </c>
      <c r="H132" s="255">
        <f t="shared" si="27"/>
        <v>20911.111111111109</v>
      </c>
      <c r="I132" s="270">
        <f t="shared" si="33"/>
        <v>10724000</v>
      </c>
      <c r="J132" s="257" t="s">
        <v>228</v>
      </c>
      <c r="K132" s="258">
        <v>0.1</v>
      </c>
      <c r="L132" s="259">
        <f t="shared" si="29"/>
        <v>10074000</v>
      </c>
      <c r="M132" s="259">
        <f t="shared" si="30"/>
        <v>22386.666666666668</v>
      </c>
      <c r="N132" s="259">
        <f t="shared" si="28"/>
        <v>10074000</v>
      </c>
      <c r="O132" s="260">
        <f t="shared" si="34"/>
        <v>9066600</v>
      </c>
      <c r="P132" s="261">
        <f t="shared" si="31"/>
        <v>20148</v>
      </c>
      <c r="Q132" s="262"/>
      <c r="R132" s="263">
        <f t="shared" si="32"/>
        <v>9066600</v>
      </c>
      <c r="S132" s="263"/>
      <c r="T132" s="263"/>
      <c r="U132" s="264"/>
      <c r="W132" s="265">
        <f t="shared" si="35"/>
        <v>9066600</v>
      </c>
    </row>
    <row r="133" spans="1:23" x14ac:dyDescent="0.2">
      <c r="A133" s="250">
        <v>114</v>
      </c>
      <c r="B133" s="266">
        <v>18</v>
      </c>
      <c r="C133" s="271">
        <v>5</v>
      </c>
      <c r="D133" s="267" t="str">
        <f t="shared" si="26"/>
        <v>Block 18 Lot 5</v>
      </c>
      <c r="E133" s="268" t="s">
        <v>1</v>
      </c>
      <c r="F133" s="267">
        <v>600</v>
      </c>
      <c r="G133" s="269">
        <v>11230000</v>
      </c>
      <c r="H133" s="255">
        <f t="shared" si="27"/>
        <v>18716.666666666668</v>
      </c>
      <c r="I133" s="270">
        <f t="shared" si="33"/>
        <v>12816999.999999998</v>
      </c>
      <c r="J133" s="257" t="s">
        <v>229</v>
      </c>
      <c r="K133" s="258">
        <v>0.1</v>
      </c>
      <c r="L133" s="259">
        <f t="shared" si="29"/>
        <v>12166999.999999998</v>
      </c>
      <c r="M133" s="259">
        <f t="shared" si="30"/>
        <v>20278.333333333328</v>
      </c>
      <c r="N133" s="259">
        <f t="shared" si="28"/>
        <v>12166999.999999998</v>
      </c>
      <c r="O133" s="260">
        <f t="shared" si="34"/>
        <v>10950299.999999998</v>
      </c>
      <c r="P133" s="261">
        <f t="shared" si="31"/>
        <v>18250.499999999996</v>
      </c>
      <c r="Q133" s="262"/>
      <c r="R133" s="263">
        <f t="shared" si="32"/>
        <v>10950299.999999998</v>
      </c>
      <c r="S133" s="263"/>
      <c r="T133" s="263"/>
      <c r="U133" s="264"/>
      <c r="W133" s="265">
        <f t="shared" si="35"/>
        <v>10950299.999999998</v>
      </c>
    </row>
    <row r="134" spans="1:23" x14ac:dyDescent="0.2">
      <c r="A134" s="250">
        <v>115</v>
      </c>
      <c r="B134" s="266">
        <v>18</v>
      </c>
      <c r="C134" s="271">
        <v>6</v>
      </c>
      <c r="D134" s="267" t="str">
        <f t="shared" si="26"/>
        <v>Block 18 Lot 6</v>
      </c>
      <c r="E134" s="268" t="s">
        <v>1</v>
      </c>
      <c r="F134" s="267">
        <v>500</v>
      </c>
      <c r="G134" s="269">
        <v>8790000</v>
      </c>
      <c r="H134" s="255">
        <f t="shared" si="27"/>
        <v>17580</v>
      </c>
      <c r="I134" s="270">
        <f t="shared" si="33"/>
        <v>10011000</v>
      </c>
      <c r="J134" s="257" t="s">
        <v>229</v>
      </c>
      <c r="K134" s="258">
        <v>0.1</v>
      </c>
      <c r="L134" s="259">
        <f t="shared" si="29"/>
        <v>9361000</v>
      </c>
      <c r="M134" s="259">
        <f t="shared" si="30"/>
        <v>18722</v>
      </c>
      <c r="N134" s="259">
        <f t="shared" si="28"/>
        <v>9361000</v>
      </c>
      <c r="O134" s="260">
        <f t="shared" si="34"/>
        <v>8424900</v>
      </c>
      <c r="P134" s="261">
        <f t="shared" si="31"/>
        <v>16849.8</v>
      </c>
      <c r="Q134" s="262"/>
      <c r="R134" s="263">
        <f t="shared" si="32"/>
        <v>8424900</v>
      </c>
      <c r="S134" s="263"/>
      <c r="T134" s="263"/>
      <c r="U134" s="264"/>
      <c r="W134" s="265">
        <f t="shared" si="35"/>
        <v>8424900</v>
      </c>
    </row>
    <row r="135" spans="1:23" x14ac:dyDescent="0.2">
      <c r="A135" s="250">
        <v>116</v>
      </c>
      <c r="B135" s="266">
        <v>18</v>
      </c>
      <c r="C135" s="267">
        <v>7</v>
      </c>
      <c r="D135" s="267" t="str">
        <f t="shared" si="26"/>
        <v>Block 18 Lot 7</v>
      </c>
      <c r="E135" s="268" t="s">
        <v>1</v>
      </c>
      <c r="F135" s="267">
        <v>500</v>
      </c>
      <c r="G135" s="269">
        <v>8790000</v>
      </c>
      <c r="H135" s="255">
        <f t="shared" si="27"/>
        <v>17580</v>
      </c>
      <c r="I135" s="270">
        <f t="shared" si="33"/>
        <v>10011000</v>
      </c>
      <c r="J135" s="257" t="s">
        <v>229</v>
      </c>
      <c r="K135" s="258">
        <v>0.1</v>
      </c>
      <c r="L135" s="259">
        <f t="shared" si="29"/>
        <v>9361000</v>
      </c>
      <c r="M135" s="259">
        <f t="shared" si="30"/>
        <v>18722</v>
      </c>
      <c r="N135" s="259">
        <f t="shared" si="28"/>
        <v>9361000</v>
      </c>
      <c r="O135" s="260">
        <f t="shared" si="34"/>
        <v>8424900</v>
      </c>
      <c r="P135" s="261">
        <f t="shared" si="31"/>
        <v>16849.8</v>
      </c>
      <c r="Q135" s="262"/>
      <c r="R135" s="263">
        <f t="shared" si="32"/>
        <v>8424900</v>
      </c>
      <c r="S135" s="263"/>
      <c r="T135" s="263"/>
      <c r="U135" s="264"/>
      <c r="W135" s="265">
        <f t="shared" si="35"/>
        <v>8424900</v>
      </c>
    </row>
    <row r="136" spans="1:23" x14ac:dyDescent="0.2">
      <c r="A136" s="250">
        <v>117</v>
      </c>
      <c r="B136" s="266">
        <v>18</v>
      </c>
      <c r="C136" s="267">
        <v>8</v>
      </c>
      <c r="D136" s="267" t="str">
        <f t="shared" si="26"/>
        <v>Block 18 Lot 8</v>
      </c>
      <c r="E136" s="268" t="s">
        <v>1</v>
      </c>
      <c r="F136" s="267">
        <v>500</v>
      </c>
      <c r="G136" s="269">
        <v>10840000</v>
      </c>
      <c r="H136" s="255">
        <f t="shared" si="27"/>
        <v>21680</v>
      </c>
      <c r="I136" s="270">
        <f t="shared" si="33"/>
        <v>12368500</v>
      </c>
      <c r="J136" s="257" t="s">
        <v>229</v>
      </c>
      <c r="K136" s="258">
        <v>0.1</v>
      </c>
      <c r="L136" s="259">
        <f t="shared" si="29"/>
        <v>11718500</v>
      </c>
      <c r="M136" s="259">
        <f t="shared" si="30"/>
        <v>23437</v>
      </c>
      <c r="N136" s="259">
        <f t="shared" si="28"/>
        <v>11718500</v>
      </c>
      <c r="O136" s="260">
        <f t="shared" si="34"/>
        <v>10546650</v>
      </c>
      <c r="P136" s="261">
        <f t="shared" si="31"/>
        <v>21093.3</v>
      </c>
      <c r="Q136" s="262"/>
      <c r="R136" s="263">
        <f t="shared" si="32"/>
        <v>10546650</v>
      </c>
      <c r="S136" s="263"/>
      <c r="T136" s="263"/>
      <c r="U136" s="264"/>
      <c r="V136" s="258">
        <v>0.02</v>
      </c>
      <c r="W136" s="265">
        <f t="shared" si="35"/>
        <v>10335717</v>
      </c>
    </row>
    <row r="137" spans="1:23" x14ac:dyDescent="0.2">
      <c r="A137" s="250">
        <v>118</v>
      </c>
      <c r="B137" s="266">
        <v>18</v>
      </c>
      <c r="C137" s="267">
        <v>9</v>
      </c>
      <c r="D137" s="267" t="str">
        <f t="shared" si="26"/>
        <v>Block 18 Lot 9</v>
      </c>
      <c r="E137" s="268" t="s">
        <v>1</v>
      </c>
      <c r="F137" s="267">
        <v>500</v>
      </c>
      <c r="G137" s="269">
        <v>10710000</v>
      </c>
      <c r="H137" s="255">
        <f t="shared" si="27"/>
        <v>21420</v>
      </c>
      <c r="I137" s="270">
        <f t="shared" si="33"/>
        <v>12219000</v>
      </c>
      <c r="J137" s="257" t="s">
        <v>229</v>
      </c>
      <c r="K137" s="258">
        <v>0.1</v>
      </c>
      <c r="L137" s="259">
        <f t="shared" si="29"/>
        <v>11569000</v>
      </c>
      <c r="M137" s="259">
        <f t="shared" si="30"/>
        <v>23138</v>
      </c>
      <c r="N137" s="259">
        <f t="shared" si="28"/>
        <v>11569000</v>
      </c>
      <c r="O137" s="260">
        <f t="shared" si="34"/>
        <v>10412100</v>
      </c>
      <c r="P137" s="261">
        <f t="shared" si="31"/>
        <v>20824.2</v>
      </c>
      <c r="Q137" s="262"/>
      <c r="R137" s="263">
        <f t="shared" si="32"/>
        <v>10412100</v>
      </c>
      <c r="S137" s="263"/>
      <c r="T137" s="263"/>
      <c r="U137" s="264"/>
      <c r="W137" s="265">
        <f t="shared" si="35"/>
        <v>10412100</v>
      </c>
    </row>
    <row r="138" spans="1:23" x14ac:dyDescent="0.2">
      <c r="A138" s="250">
        <v>119</v>
      </c>
      <c r="B138" s="266">
        <v>18</v>
      </c>
      <c r="C138" s="267">
        <v>10</v>
      </c>
      <c r="D138" s="267" t="str">
        <f t="shared" si="26"/>
        <v>Block 18 Lot 10</v>
      </c>
      <c r="E138" s="268" t="s">
        <v>1</v>
      </c>
      <c r="F138" s="267">
        <v>500</v>
      </c>
      <c r="G138" s="269">
        <v>10380000</v>
      </c>
      <c r="H138" s="255">
        <f t="shared" si="27"/>
        <v>20760</v>
      </c>
      <c r="I138" s="270">
        <f t="shared" si="33"/>
        <v>11839500</v>
      </c>
      <c r="J138" s="257" t="s">
        <v>229</v>
      </c>
      <c r="K138" s="258">
        <v>0.1</v>
      </c>
      <c r="L138" s="259">
        <f t="shared" si="29"/>
        <v>11189500</v>
      </c>
      <c r="M138" s="259">
        <f t="shared" si="30"/>
        <v>22379</v>
      </c>
      <c r="N138" s="259">
        <f t="shared" si="28"/>
        <v>11189500</v>
      </c>
      <c r="O138" s="260">
        <f t="shared" si="34"/>
        <v>10070550</v>
      </c>
      <c r="P138" s="261">
        <f t="shared" si="31"/>
        <v>20141.099999999999</v>
      </c>
      <c r="Q138" s="262"/>
      <c r="R138" s="263">
        <f t="shared" si="32"/>
        <v>10070550</v>
      </c>
      <c r="S138" s="263"/>
      <c r="T138" s="263"/>
      <c r="U138" s="264"/>
      <c r="W138" s="265">
        <f t="shared" si="35"/>
        <v>10070550</v>
      </c>
    </row>
    <row r="139" spans="1:23" x14ac:dyDescent="0.2">
      <c r="A139" s="250"/>
      <c r="B139" s="266">
        <v>18</v>
      </c>
      <c r="C139" s="267">
        <v>11</v>
      </c>
      <c r="D139" s="267" t="str">
        <f t="shared" si="26"/>
        <v>Block 18 Lot 11</v>
      </c>
      <c r="E139" s="268" t="s">
        <v>1</v>
      </c>
      <c r="F139" s="267">
        <v>450</v>
      </c>
      <c r="G139" s="269">
        <v>9410000</v>
      </c>
      <c r="H139" s="255">
        <f t="shared" si="27"/>
        <v>20911.111111111109</v>
      </c>
      <c r="I139" s="270">
        <f t="shared" si="33"/>
        <v>10724000</v>
      </c>
      <c r="J139" s="257" t="s">
        <v>228</v>
      </c>
      <c r="K139" s="258">
        <v>0.1</v>
      </c>
      <c r="L139" s="259">
        <f t="shared" si="29"/>
        <v>10074000</v>
      </c>
      <c r="M139" s="259">
        <f t="shared" si="30"/>
        <v>22386.666666666668</v>
      </c>
      <c r="N139" s="259">
        <f t="shared" si="28"/>
        <v>10074000</v>
      </c>
      <c r="O139" s="260">
        <f t="shared" si="34"/>
        <v>9066600</v>
      </c>
      <c r="P139" s="261">
        <f t="shared" si="31"/>
        <v>20148</v>
      </c>
      <c r="Q139" s="262"/>
      <c r="R139" s="263">
        <f t="shared" si="32"/>
        <v>9066600</v>
      </c>
      <c r="S139" s="263"/>
      <c r="T139" s="263"/>
      <c r="U139" s="264"/>
      <c r="W139" s="265">
        <f t="shared" si="35"/>
        <v>9066600</v>
      </c>
    </row>
    <row r="140" spans="1:23" x14ac:dyDescent="0.2">
      <c r="A140" s="250">
        <v>120</v>
      </c>
      <c r="B140" s="266">
        <v>19</v>
      </c>
      <c r="C140" s="267">
        <v>1</v>
      </c>
      <c r="D140" s="267" t="str">
        <f t="shared" si="26"/>
        <v>Block 19 Lot 1</v>
      </c>
      <c r="E140" s="268" t="s">
        <v>1</v>
      </c>
      <c r="F140" s="267">
        <v>600</v>
      </c>
      <c r="G140" s="269">
        <v>11230000</v>
      </c>
      <c r="H140" s="255">
        <f t="shared" si="27"/>
        <v>18716.666666666668</v>
      </c>
      <c r="I140" s="270">
        <f t="shared" si="33"/>
        <v>12816999.999999998</v>
      </c>
      <c r="J140" s="257" t="s">
        <v>229</v>
      </c>
      <c r="K140" s="258">
        <v>0.1</v>
      </c>
      <c r="L140" s="259">
        <f t="shared" si="29"/>
        <v>12166999.999999998</v>
      </c>
      <c r="M140" s="259">
        <f t="shared" si="30"/>
        <v>20278.333333333328</v>
      </c>
      <c r="N140" s="259">
        <f t="shared" si="28"/>
        <v>12166999.999999998</v>
      </c>
      <c r="O140" s="260">
        <f t="shared" si="34"/>
        <v>10950299.999999998</v>
      </c>
      <c r="P140" s="261">
        <f t="shared" si="31"/>
        <v>18250.499999999996</v>
      </c>
      <c r="Q140" s="262"/>
      <c r="R140" s="263">
        <f t="shared" si="32"/>
        <v>10950299.999999998</v>
      </c>
      <c r="S140" s="263"/>
      <c r="T140" s="263"/>
      <c r="U140" s="264"/>
      <c r="V140" s="258">
        <v>0.02</v>
      </c>
      <c r="W140" s="265">
        <f t="shared" si="35"/>
        <v>10731293.999999998</v>
      </c>
    </row>
    <row r="141" spans="1:23" x14ac:dyDescent="0.2">
      <c r="A141" s="250">
        <v>121</v>
      </c>
      <c r="B141" s="266">
        <v>19</v>
      </c>
      <c r="C141" s="267">
        <v>2</v>
      </c>
      <c r="D141" s="267" t="str">
        <f t="shared" si="26"/>
        <v>Block 19 Lot 2</v>
      </c>
      <c r="E141" s="268" t="s">
        <v>1</v>
      </c>
      <c r="F141" s="267">
        <v>550</v>
      </c>
      <c r="G141" s="269">
        <v>9230000</v>
      </c>
      <c r="H141" s="255">
        <f t="shared" si="27"/>
        <v>16781.81818181818</v>
      </c>
      <c r="I141" s="270">
        <f t="shared" si="33"/>
        <v>10517000</v>
      </c>
      <c r="J141" s="257" t="s">
        <v>229</v>
      </c>
      <c r="K141" s="258">
        <v>0.1</v>
      </c>
      <c r="L141" s="259">
        <f t="shared" si="29"/>
        <v>9867000</v>
      </c>
      <c r="M141" s="259">
        <f t="shared" si="30"/>
        <v>17940</v>
      </c>
      <c r="N141" s="259">
        <f t="shared" si="28"/>
        <v>9867000</v>
      </c>
      <c r="O141" s="260">
        <f t="shared" si="34"/>
        <v>8880300</v>
      </c>
      <c r="P141" s="261">
        <f t="shared" si="31"/>
        <v>16146</v>
      </c>
      <c r="Q141" s="262"/>
      <c r="R141" s="263">
        <f t="shared" si="32"/>
        <v>8880300</v>
      </c>
      <c r="S141" s="263"/>
      <c r="T141" s="263"/>
      <c r="U141" s="264"/>
      <c r="W141" s="265">
        <f t="shared" si="35"/>
        <v>8880300</v>
      </c>
    </row>
    <row r="142" spans="1:23" x14ac:dyDescent="0.2">
      <c r="A142" s="250">
        <v>122</v>
      </c>
      <c r="B142" s="266">
        <v>19</v>
      </c>
      <c r="C142" s="267">
        <v>3</v>
      </c>
      <c r="D142" s="267" t="str">
        <f t="shared" si="26"/>
        <v>Block 19 Lot 3</v>
      </c>
      <c r="E142" s="268" t="s">
        <v>1</v>
      </c>
      <c r="F142" s="267">
        <v>570</v>
      </c>
      <c r="G142" s="269">
        <v>9160000</v>
      </c>
      <c r="H142" s="255">
        <f t="shared" si="27"/>
        <v>16070.17543859649</v>
      </c>
      <c r="I142" s="270">
        <f t="shared" si="33"/>
        <v>10436500</v>
      </c>
      <c r="J142" s="257" t="s">
        <v>229</v>
      </c>
      <c r="K142" s="258">
        <v>0.1</v>
      </c>
      <c r="L142" s="259">
        <f t="shared" si="29"/>
        <v>9786500</v>
      </c>
      <c r="M142" s="259">
        <f t="shared" si="30"/>
        <v>17169.298245614034</v>
      </c>
      <c r="N142" s="259">
        <f t="shared" si="28"/>
        <v>9786500</v>
      </c>
      <c r="O142" s="260">
        <f t="shared" si="34"/>
        <v>8807850</v>
      </c>
      <c r="P142" s="261">
        <f t="shared" si="31"/>
        <v>15452.368421052632</v>
      </c>
      <c r="Q142" s="262"/>
      <c r="R142" s="263">
        <f t="shared" si="32"/>
        <v>8807850</v>
      </c>
      <c r="S142" s="263"/>
      <c r="T142" s="263"/>
      <c r="U142" s="264"/>
      <c r="W142" s="265">
        <f t="shared" si="35"/>
        <v>8807850</v>
      </c>
    </row>
    <row r="143" spans="1:23" x14ac:dyDescent="0.2">
      <c r="A143" s="250">
        <v>123</v>
      </c>
      <c r="B143" s="266">
        <v>19</v>
      </c>
      <c r="C143" s="267">
        <v>5</v>
      </c>
      <c r="D143" s="267" t="str">
        <f t="shared" si="26"/>
        <v>Block 19 Lot 5</v>
      </c>
      <c r="E143" s="268" t="s">
        <v>1</v>
      </c>
      <c r="F143" s="267">
        <v>570</v>
      </c>
      <c r="G143" s="269">
        <v>10310000</v>
      </c>
      <c r="H143" s="255">
        <f t="shared" si="27"/>
        <v>18087.719298245614</v>
      </c>
      <c r="I143" s="270">
        <f t="shared" si="33"/>
        <v>11759000</v>
      </c>
      <c r="J143" s="257" t="s">
        <v>229</v>
      </c>
      <c r="K143" s="258">
        <v>0.1</v>
      </c>
      <c r="L143" s="259">
        <f t="shared" si="29"/>
        <v>11109000</v>
      </c>
      <c r="M143" s="259">
        <f t="shared" si="30"/>
        <v>19489.473684210527</v>
      </c>
      <c r="N143" s="259">
        <f t="shared" si="28"/>
        <v>11109000</v>
      </c>
      <c r="O143" s="260">
        <f t="shared" si="34"/>
        <v>9998100</v>
      </c>
      <c r="P143" s="261">
        <f t="shared" si="31"/>
        <v>17540.526315789473</v>
      </c>
      <c r="Q143" s="262"/>
      <c r="R143" s="263">
        <f t="shared" si="32"/>
        <v>9998100</v>
      </c>
      <c r="S143" s="263"/>
      <c r="T143" s="263"/>
      <c r="U143" s="264"/>
      <c r="W143" s="265">
        <f t="shared" si="35"/>
        <v>9998100</v>
      </c>
    </row>
    <row r="144" spans="1:23" x14ac:dyDescent="0.2">
      <c r="A144" s="250">
        <v>124</v>
      </c>
      <c r="B144" s="266">
        <v>20</v>
      </c>
      <c r="C144" s="267">
        <v>1</v>
      </c>
      <c r="D144" s="267" t="str">
        <f t="shared" si="26"/>
        <v>Block 20 Lot 1</v>
      </c>
      <c r="E144" s="268" t="s">
        <v>1</v>
      </c>
      <c r="F144" s="267">
        <v>600</v>
      </c>
      <c r="G144" s="269">
        <v>11640000</v>
      </c>
      <c r="H144" s="255">
        <f t="shared" si="27"/>
        <v>19400</v>
      </c>
      <c r="I144" s="270">
        <f t="shared" si="33"/>
        <v>13288499.999999998</v>
      </c>
      <c r="J144" s="257" t="s">
        <v>229</v>
      </c>
      <c r="K144" s="258">
        <v>0.1</v>
      </c>
      <c r="L144" s="259">
        <f t="shared" si="29"/>
        <v>12638499.999999998</v>
      </c>
      <c r="M144" s="259">
        <f t="shared" si="30"/>
        <v>21064.166666666664</v>
      </c>
      <c r="N144" s="259">
        <f t="shared" si="28"/>
        <v>12638499.999999998</v>
      </c>
      <c r="O144" s="260">
        <f t="shared" si="34"/>
        <v>11374649.999999998</v>
      </c>
      <c r="P144" s="261">
        <f t="shared" si="31"/>
        <v>18957.749999999996</v>
      </c>
      <c r="Q144" s="262"/>
      <c r="R144" s="263">
        <f t="shared" si="32"/>
        <v>11374649.999999998</v>
      </c>
      <c r="S144" s="263"/>
      <c r="T144" s="263"/>
      <c r="U144" s="264"/>
      <c r="W144" s="265">
        <f t="shared" si="35"/>
        <v>11374649.999999998</v>
      </c>
    </row>
    <row r="145" spans="1:23" x14ac:dyDescent="0.2">
      <c r="A145" s="250">
        <v>125</v>
      </c>
      <c r="B145" s="266">
        <v>20</v>
      </c>
      <c r="C145" s="267">
        <v>2</v>
      </c>
      <c r="D145" s="267" t="str">
        <f t="shared" si="26"/>
        <v>Block 20 Lot 2</v>
      </c>
      <c r="E145" s="268" t="s">
        <v>1</v>
      </c>
      <c r="F145" s="267">
        <v>540</v>
      </c>
      <c r="G145" s="269">
        <v>9810000</v>
      </c>
      <c r="H145" s="255">
        <f t="shared" si="27"/>
        <v>18166.666666666668</v>
      </c>
      <c r="I145" s="270">
        <f t="shared" si="33"/>
        <v>11184000</v>
      </c>
      <c r="J145" s="257" t="s">
        <v>229</v>
      </c>
      <c r="K145" s="258">
        <v>0.1</v>
      </c>
      <c r="L145" s="259">
        <f t="shared" si="29"/>
        <v>10534000</v>
      </c>
      <c r="M145" s="259">
        <f t="shared" si="30"/>
        <v>19507.407407407409</v>
      </c>
      <c r="N145" s="259">
        <f t="shared" si="28"/>
        <v>10534000</v>
      </c>
      <c r="O145" s="260">
        <f t="shared" si="34"/>
        <v>9480600</v>
      </c>
      <c r="P145" s="261">
        <f t="shared" si="31"/>
        <v>17556.666666666668</v>
      </c>
      <c r="Q145" s="262"/>
      <c r="R145" s="263">
        <f t="shared" si="32"/>
        <v>9480600</v>
      </c>
      <c r="S145" s="263"/>
      <c r="T145" s="263"/>
      <c r="U145" s="264"/>
      <c r="W145" s="265">
        <f t="shared" si="35"/>
        <v>9480600</v>
      </c>
    </row>
    <row r="146" spans="1:23" x14ac:dyDescent="0.2">
      <c r="A146" s="250">
        <v>126</v>
      </c>
      <c r="B146" s="266">
        <v>20</v>
      </c>
      <c r="C146" s="267">
        <v>3</v>
      </c>
      <c r="D146" s="267" t="str">
        <f t="shared" si="26"/>
        <v>Block 20 Lot 3</v>
      </c>
      <c r="E146" s="268" t="s">
        <v>1</v>
      </c>
      <c r="F146" s="267">
        <v>540</v>
      </c>
      <c r="G146" s="269">
        <v>9810000</v>
      </c>
      <c r="H146" s="255">
        <f t="shared" si="27"/>
        <v>18166.666666666668</v>
      </c>
      <c r="I146" s="270">
        <f t="shared" si="33"/>
        <v>11184000</v>
      </c>
      <c r="J146" s="257" t="s">
        <v>229</v>
      </c>
      <c r="K146" s="258">
        <v>0.1</v>
      </c>
      <c r="L146" s="259">
        <f t="shared" si="29"/>
        <v>10534000</v>
      </c>
      <c r="M146" s="259">
        <f t="shared" si="30"/>
        <v>19507.407407407409</v>
      </c>
      <c r="N146" s="259">
        <f t="shared" si="28"/>
        <v>10534000</v>
      </c>
      <c r="O146" s="260">
        <f t="shared" si="34"/>
        <v>9480600</v>
      </c>
      <c r="P146" s="261">
        <f t="shared" si="31"/>
        <v>17556.666666666668</v>
      </c>
      <c r="Q146" s="262"/>
      <c r="R146" s="263">
        <f t="shared" si="32"/>
        <v>9480600</v>
      </c>
      <c r="S146" s="263"/>
      <c r="T146" s="263"/>
      <c r="U146" s="264"/>
      <c r="W146" s="265">
        <f t="shared" si="35"/>
        <v>9480600</v>
      </c>
    </row>
    <row r="147" spans="1:23" x14ac:dyDescent="0.2">
      <c r="A147" s="250">
        <v>127</v>
      </c>
      <c r="B147" s="266">
        <v>21</v>
      </c>
      <c r="C147" s="267">
        <v>1</v>
      </c>
      <c r="D147" s="267" t="str">
        <f t="shared" si="26"/>
        <v>Block 21 Lot 1</v>
      </c>
      <c r="E147" s="268" t="s">
        <v>1</v>
      </c>
      <c r="F147" s="267">
        <v>600</v>
      </c>
      <c r="G147" s="269">
        <v>11640000</v>
      </c>
      <c r="H147" s="255">
        <f t="shared" si="27"/>
        <v>19400</v>
      </c>
      <c r="I147" s="270">
        <f t="shared" si="33"/>
        <v>13288499.999999998</v>
      </c>
      <c r="J147" s="257" t="s">
        <v>229</v>
      </c>
      <c r="K147" s="258">
        <v>0.1</v>
      </c>
      <c r="L147" s="259">
        <f t="shared" si="29"/>
        <v>12638499.999999998</v>
      </c>
      <c r="M147" s="259">
        <f t="shared" si="30"/>
        <v>21064.166666666664</v>
      </c>
      <c r="N147" s="259">
        <f t="shared" si="28"/>
        <v>12638499.999999998</v>
      </c>
      <c r="O147" s="260">
        <f t="shared" si="34"/>
        <v>11374649.999999998</v>
      </c>
      <c r="P147" s="261">
        <f t="shared" si="31"/>
        <v>18957.749999999996</v>
      </c>
      <c r="Q147" s="262"/>
      <c r="R147" s="263">
        <f t="shared" si="32"/>
        <v>11374649.999999998</v>
      </c>
      <c r="S147" s="263"/>
      <c r="T147" s="263"/>
      <c r="U147" s="264"/>
      <c r="W147" s="265">
        <f t="shared" si="35"/>
        <v>11374649.999999998</v>
      </c>
    </row>
    <row r="148" spans="1:23" x14ac:dyDescent="0.2">
      <c r="A148" s="250">
        <v>128</v>
      </c>
      <c r="B148" s="266">
        <v>21</v>
      </c>
      <c r="C148" s="267">
        <v>2</v>
      </c>
      <c r="D148" s="267" t="str">
        <f t="shared" si="26"/>
        <v>Block 21 Lot 2</v>
      </c>
      <c r="E148" s="268" t="s">
        <v>1</v>
      </c>
      <c r="F148" s="267">
        <v>550</v>
      </c>
      <c r="G148" s="269">
        <v>9980000</v>
      </c>
      <c r="H148" s="255">
        <f t="shared" si="27"/>
        <v>18145.454545454544</v>
      </c>
      <c r="I148" s="270">
        <f t="shared" si="33"/>
        <v>11379500</v>
      </c>
      <c r="J148" s="257" t="s">
        <v>229</v>
      </c>
      <c r="K148" s="258">
        <v>0.1</v>
      </c>
      <c r="L148" s="259">
        <f t="shared" si="29"/>
        <v>10729500</v>
      </c>
      <c r="M148" s="259">
        <f t="shared" si="30"/>
        <v>19508.18181818182</v>
      </c>
      <c r="N148" s="259">
        <f t="shared" si="28"/>
        <v>10729500</v>
      </c>
      <c r="O148" s="260">
        <f t="shared" si="34"/>
        <v>9656550</v>
      </c>
      <c r="P148" s="261">
        <f t="shared" si="31"/>
        <v>17557.363636363636</v>
      </c>
      <c r="Q148" s="262"/>
      <c r="R148" s="263">
        <f t="shared" si="32"/>
        <v>9656550</v>
      </c>
      <c r="S148" s="263"/>
      <c r="T148" s="263"/>
      <c r="U148" s="264"/>
      <c r="W148" s="265">
        <f t="shared" si="35"/>
        <v>9656550</v>
      </c>
    </row>
    <row r="149" spans="1:23" x14ac:dyDescent="0.2">
      <c r="A149" s="250">
        <v>129</v>
      </c>
      <c r="B149" s="266">
        <v>21</v>
      </c>
      <c r="C149" s="267">
        <v>3</v>
      </c>
      <c r="D149" s="267" t="str">
        <f t="shared" si="26"/>
        <v>Block 21 Lot 3</v>
      </c>
      <c r="E149" s="268" t="s">
        <v>1</v>
      </c>
      <c r="F149" s="267">
        <v>550</v>
      </c>
      <c r="G149" s="269">
        <v>9980000</v>
      </c>
      <c r="H149" s="255">
        <f t="shared" si="27"/>
        <v>18145.454545454544</v>
      </c>
      <c r="I149" s="270">
        <f t="shared" si="33"/>
        <v>11379500</v>
      </c>
      <c r="J149" s="257" t="s">
        <v>229</v>
      </c>
      <c r="K149" s="258">
        <v>0.1</v>
      </c>
      <c r="L149" s="259">
        <f t="shared" si="29"/>
        <v>10729500</v>
      </c>
      <c r="M149" s="259">
        <f t="shared" si="30"/>
        <v>19508.18181818182</v>
      </c>
      <c r="N149" s="259">
        <f t="shared" si="28"/>
        <v>10729500</v>
      </c>
      <c r="O149" s="260">
        <f t="shared" si="34"/>
        <v>9656550</v>
      </c>
      <c r="P149" s="261">
        <f t="shared" si="31"/>
        <v>17557.363636363636</v>
      </c>
      <c r="Q149" s="262"/>
      <c r="R149" s="263">
        <f t="shared" si="32"/>
        <v>9656550</v>
      </c>
      <c r="S149" s="263"/>
      <c r="T149" s="263"/>
      <c r="U149" s="264"/>
      <c r="W149" s="265">
        <f t="shared" si="35"/>
        <v>9656550</v>
      </c>
    </row>
    <row r="150" spans="1:23" x14ac:dyDescent="0.2">
      <c r="A150" s="250">
        <v>130</v>
      </c>
      <c r="B150" s="266">
        <v>21</v>
      </c>
      <c r="C150" s="267">
        <v>5</v>
      </c>
      <c r="D150" s="267" t="str">
        <f t="shared" si="26"/>
        <v>Block 21 Lot 5</v>
      </c>
      <c r="E150" s="268" t="s">
        <v>1</v>
      </c>
      <c r="F150" s="267">
        <v>601</v>
      </c>
      <c r="G150" s="269">
        <v>10430000</v>
      </c>
      <c r="H150" s="255">
        <f t="shared" si="27"/>
        <v>17354.40931780366</v>
      </c>
      <c r="I150" s="270">
        <f t="shared" si="33"/>
        <v>11897000</v>
      </c>
      <c r="J150" s="257" t="s">
        <v>229</v>
      </c>
      <c r="K150" s="258">
        <v>0.1</v>
      </c>
      <c r="L150" s="259">
        <f t="shared" si="29"/>
        <v>11247000</v>
      </c>
      <c r="M150" s="259">
        <f t="shared" si="30"/>
        <v>18713.810316139767</v>
      </c>
      <c r="N150" s="259">
        <f t="shared" si="28"/>
        <v>11247000</v>
      </c>
      <c r="O150" s="260">
        <f t="shared" si="34"/>
        <v>10122300</v>
      </c>
      <c r="P150" s="261">
        <f t="shared" si="31"/>
        <v>16842.429284525791</v>
      </c>
      <c r="Q150" s="262"/>
      <c r="R150" s="263">
        <f t="shared" si="32"/>
        <v>10122300</v>
      </c>
      <c r="S150" s="263"/>
      <c r="T150" s="263"/>
      <c r="U150" s="264"/>
      <c r="V150" s="258">
        <v>0.02</v>
      </c>
      <c r="W150" s="265">
        <f t="shared" si="35"/>
        <v>9919854</v>
      </c>
    </row>
    <row r="151" spans="1:23" x14ac:dyDescent="0.2">
      <c r="A151" s="250">
        <v>131</v>
      </c>
      <c r="B151" s="266">
        <v>23</v>
      </c>
      <c r="C151" s="267">
        <v>1</v>
      </c>
      <c r="D151" s="267" t="str">
        <f t="shared" si="26"/>
        <v>Block 23 Lot 1</v>
      </c>
      <c r="E151" s="268" t="s">
        <v>1</v>
      </c>
      <c r="F151" s="267">
        <v>529</v>
      </c>
      <c r="G151" s="269">
        <v>8890000</v>
      </c>
      <c r="H151" s="255">
        <f t="shared" si="27"/>
        <v>16805.293005671079</v>
      </c>
      <c r="I151" s="270">
        <f t="shared" si="33"/>
        <v>10126000</v>
      </c>
      <c r="J151" s="257" t="s">
        <v>229</v>
      </c>
      <c r="K151" s="258">
        <v>0.1</v>
      </c>
      <c r="L151" s="259">
        <f t="shared" si="29"/>
        <v>9476000</v>
      </c>
      <c r="M151" s="259">
        <f t="shared" si="30"/>
        <v>17913.043478260868</v>
      </c>
      <c r="N151" s="259">
        <f t="shared" si="28"/>
        <v>9476000</v>
      </c>
      <c r="O151" s="260">
        <f t="shared" si="34"/>
        <v>8528400</v>
      </c>
      <c r="P151" s="261">
        <f t="shared" si="31"/>
        <v>16121.739130434782</v>
      </c>
      <c r="Q151" s="262"/>
      <c r="R151" s="263">
        <f t="shared" si="32"/>
        <v>8528400</v>
      </c>
      <c r="S151" s="263"/>
      <c r="T151" s="263"/>
      <c r="U151" s="264"/>
      <c r="W151" s="265">
        <f t="shared" si="35"/>
        <v>8528400</v>
      </c>
    </row>
    <row r="152" spans="1:23" x14ac:dyDescent="0.2">
      <c r="A152" s="250">
        <v>132</v>
      </c>
      <c r="B152" s="266">
        <v>23</v>
      </c>
      <c r="C152" s="267">
        <v>2</v>
      </c>
      <c r="D152" s="267" t="str">
        <f t="shared" si="26"/>
        <v>Block 23 Lot 2</v>
      </c>
      <c r="E152" s="268" t="s">
        <v>1</v>
      </c>
      <c r="F152" s="267">
        <v>595</v>
      </c>
      <c r="G152" s="269">
        <v>9910000</v>
      </c>
      <c r="H152" s="255">
        <f t="shared" si="27"/>
        <v>16655.462184873948</v>
      </c>
      <c r="I152" s="270">
        <f t="shared" si="33"/>
        <v>11299000</v>
      </c>
      <c r="J152" s="257" t="s">
        <v>229</v>
      </c>
      <c r="K152" s="258">
        <v>0.1</v>
      </c>
      <c r="L152" s="259">
        <f t="shared" si="29"/>
        <v>10649000</v>
      </c>
      <c r="M152" s="259">
        <f t="shared" si="30"/>
        <v>17897.478991596639</v>
      </c>
      <c r="N152" s="259">
        <f t="shared" si="28"/>
        <v>10649000</v>
      </c>
      <c r="O152" s="260">
        <f t="shared" si="34"/>
        <v>9584100</v>
      </c>
      <c r="P152" s="261">
        <f t="shared" si="31"/>
        <v>16107.731092436974</v>
      </c>
      <c r="Q152" s="262"/>
      <c r="R152" s="263">
        <f t="shared" si="32"/>
        <v>9584100</v>
      </c>
      <c r="S152" s="263"/>
      <c r="T152" s="263"/>
      <c r="U152" s="264"/>
      <c r="V152" s="258">
        <v>0.02</v>
      </c>
      <c r="W152" s="265">
        <f t="shared" si="35"/>
        <v>9392418</v>
      </c>
    </row>
    <row r="153" spans="1:23" x14ac:dyDescent="0.2">
      <c r="A153" s="250">
        <v>133</v>
      </c>
      <c r="B153" s="266">
        <v>23</v>
      </c>
      <c r="C153" s="267">
        <v>3</v>
      </c>
      <c r="D153" s="267" t="str">
        <f t="shared" si="26"/>
        <v>Block 23 Lot 3</v>
      </c>
      <c r="E153" s="268" t="s">
        <v>1</v>
      </c>
      <c r="F153" s="267">
        <v>600</v>
      </c>
      <c r="G153" s="269">
        <v>10380000</v>
      </c>
      <c r="H153" s="255">
        <f t="shared" si="27"/>
        <v>17300</v>
      </c>
      <c r="I153" s="270">
        <f t="shared" si="33"/>
        <v>11839500</v>
      </c>
      <c r="J153" s="257" t="s">
        <v>229</v>
      </c>
      <c r="K153" s="258">
        <v>0.1</v>
      </c>
      <c r="L153" s="259">
        <f t="shared" si="29"/>
        <v>11189500</v>
      </c>
      <c r="M153" s="259">
        <f t="shared" si="30"/>
        <v>18649.166666666668</v>
      </c>
      <c r="N153" s="259">
        <f t="shared" si="28"/>
        <v>11189500</v>
      </c>
      <c r="O153" s="260">
        <f t="shared" si="34"/>
        <v>10070550</v>
      </c>
      <c r="P153" s="261">
        <f t="shared" si="31"/>
        <v>16784.25</v>
      </c>
      <c r="Q153" s="262"/>
      <c r="R153" s="263">
        <f t="shared" si="32"/>
        <v>10070550</v>
      </c>
      <c r="S153" s="263"/>
      <c r="T153" s="263"/>
      <c r="U153" s="264"/>
      <c r="V153" s="258">
        <v>0.02</v>
      </c>
      <c r="W153" s="265">
        <f t="shared" si="35"/>
        <v>9869139</v>
      </c>
    </row>
    <row r="154" spans="1:23" x14ac:dyDescent="0.2">
      <c r="A154" s="250">
        <v>134</v>
      </c>
      <c r="B154" s="266">
        <v>23</v>
      </c>
      <c r="C154" s="267">
        <v>5</v>
      </c>
      <c r="D154" s="267" t="str">
        <f t="shared" si="26"/>
        <v>Block 23 Lot 5</v>
      </c>
      <c r="E154" s="268" t="s">
        <v>1</v>
      </c>
      <c r="F154" s="267">
        <v>600</v>
      </c>
      <c r="G154" s="269">
        <v>10380000</v>
      </c>
      <c r="H154" s="255">
        <f t="shared" si="27"/>
        <v>17300</v>
      </c>
      <c r="I154" s="270">
        <f t="shared" si="33"/>
        <v>11839500</v>
      </c>
      <c r="J154" s="257" t="s">
        <v>229</v>
      </c>
      <c r="K154" s="258">
        <v>0.1</v>
      </c>
      <c r="L154" s="259">
        <f t="shared" si="29"/>
        <v>11189500</v>
      </c>
      <c r="M154" s="259">
        <f t="shared" si="30"/>
        <v>18649.166666666668</v>
      </c>
      <c r="N154" s="259">
        <f t="shared" si="28"/>
        <v>11189500</v>
      </c>
      <c r="O154" s="260">
        <f t="shared" si="34"/>
        <v>10070550</v>
      </c>
      <c r="P154" s="261">
        <f t="shared" si="31"/>
        <v>16784.25</v>
      </c>
      <c r="Q154" s="262"/>
      <c r="R154" s="263">
        <f t="shared" si="32"/>
        <v>10070550</v>
      </c>
      <c r="S154" s="263"/>
      <c r="T154" s="263"/>
      <c r="U154" s="264"/>
      <c r="W154" s="265">
        <f t="shared" si="35"/>
        <v>10070550</v>
      </c>
    </row>
    <row r="155" spans="1:23" x14ac:dyDescent="0.2">
      <c r="A155" s="250">
        <v>135</v>
      </c>
      <c r="B155" s="266">
        <v>23</v>
      </c>
      <c r="C155" s="267">
        <v>6</v>
      </c>
      <c r="D155" s="267" t="str">
        <f t="shared" si="26"/>
        <v>Block 23 Lot 6</v>
      </c>
      <c r="E155" s="268" t="s">
        <v>1</v>
      </c>
      <c r="F155" s="267">
        <v>600</v>
      </c>
      <c r="G155" s="269">
        <v>10380000</v>
      </c>
      <c r="H155" s="255">
        <f t="shared" si="27"/>
        <v>17300</v>
      </c>
      <c r="I155" s="270">
        <f t="shared" si="33"/>
        <v>11839500</v>
      </c>
      <c r="J155" s="257" t="s">
        <v>229</v>
      </c>
      <c r="K155" s="258">
        <v>0.1</v>
      </c>
      <c r="L155" s="259">
        <f t="shared" si="29"/>
        <v>11189500</v>
      </c>
      <c r="M155" s="259">
        <f t="shared" si="30"/>
        <v>18649.166666666668</v>
      </c>
      <c r="N155" s="259">
        <f t="shared" si="28"/>
        <v>11189500</v>
      </c>
      <c r="O155" s="260">
        <f t="shared" si="34"/>
        <v>10070550</v>
      </c>
      <c r="P155" s="261">
        <f t="shared" si="31"/>
        <v>16784.25</v>
      </c>
      <c r="Q155" s="262"/>
      <c r="R155" s="263">
        <f t="shared" si="32"/>
        <v>10070550</v>
      </c>
      <c r="S155" s="263"/>
      <c r="T155" s="263"/>
      <c r="U155" s="264"/>
      <c r="W155" s="265">
        <f t="shared" si="35"/>
        <v>10070550</v>
      </c>
    </row>
    <row r="156" spans="1:23" x14ac:dyDescent="0.2">
      <c r="A156" s="250">
        <v>136</v>
      </c>
      <c r="B156" s="266">
        <v>23</v>
      </c>
      <c r="C156" s="267">
        <v>7</v>
      </c>
      <c r="D156" s="267" t="str">
        <f t="shared" si="26"/>
        <v>Block 23 Lot 7</v>
      </c>
      <c r="E156" s="268" t="s">
        <v>1</v>
      </c>
      <c r="F156" s="267">
        <v>600</v>
      </c>
      <c r="G156" s="269">
        <v>11160000</v>
      </c>
      <c r="H156" s="255">
        <f t="shared" si="27"/>
        <v>18600</v>
      </c>
      <c r="I156" s="270">
        <f t="shared" si="33"/>
        <v>12736499.999999998</v>
      </c>
      <c r="J156" s="257" t="s">
        <v>229</v>
      </c>
      <c r="K156" s="258">
        <v>0.1</v>
      </c>
      <c r="L156" s="259">
        <f t="shared" si="29"/>
        <v>12086499.999999998</v>
      </c>
      <c r="M156" s="259">
        <f t="shared" si="30"/>
        <v>20144.166666666664</v>
      </c>
      <c r="N156" s="259">
        <f t="shared" si="28"/>
        <v>12086499.999999998</v>
      </c>
      <c r="O156" s="260">
        <f t="shared" si="34"/>
        <v>10877849.999999998</v>
      </c>
      <c r="P156" s="261">
        <f t="shared" si="31"/>
        <v>18129.749999999996</v>
      </c>
      <c r="Q156" s="262"/>
      <c r="R156" s="263">
        <f t="shared" si="32"/>
        <v>10877849.999999998</v>
      </c>
      <c r="S156" s="263"/>
      <c r="T156" s="263"/>
      <c r="U156" s="264"/>
      <c r="W156" s="265">
        <f t="shared" si="35"/>
        <v>10877849.999999998</v>
      </c>
    </row>
    <row r="157" spans="1:23" x14ac:dyDescent="0.2">
      <c r="A157" s="250">
        <v>137</v>
      </c>
      <c r="B157" s="266">
        <v>23</v>
      </c>
      <c r="C157" s="267">
        <v>8</v>
      </c>
      <c r="D157" s="267" t="str">
        <f t="shared" si="26"/>
        <v>Block 23 Lot 8</v>
      </c>
      <c r="E157" s="268" t="s">
        <v>1</v>
      </c>
      <c r="F157" s="267">
        <v>600</v>
      </c>
      <c r="G157" s="269">
        <v>10930000</v>
      </c>
      <c r="H157" s="255">
        <f t="shared" si="27"/>
        <v>18216.666666666668</v>
      </c>
      <c r="I157" s="270">
        <f t="shared" si="33"/>
        <v>12472000</v>
      </c>
      <c r="J157" s="257" t="s">
        <v>229</v>
      </c>
      <c r="K157" s="258">
        <v>0.1</v>
      </c>
      <c r="L157" s="259">
        <f t="shared" si="29"/>
        <v>11822000</v>
      </c>
      <c r="M157" s="259">
        <f t="shared" si="30"/>
        <v>19703.333333333332</v>
      </c>
      <c r="N157" s="259">
        <f t="shared" si="28"/>
        <v>11822000</v>
      </c>
      <c r="O157" s="260">
        <f t="shared" si="34"/>
        <v>10639800</v>
      </c>
      <c r="P157" s="261">
        <f t="shared" si="31"/>
        <v>17733</v>
      </c>
      <c r="Q157" s="262"/>
      <c r="R157" s="263">
        <f t="shared" si="32"/>
        <v>10639800</v>
      </c>
      <c r="S157" s="263"/>
      <c r="T157" s="263"/>
      <c r="U157" s="264"/>
      <c r="W157" s="265">
        <f t="shared" si="35"/>
        <v>10639800</v>
      </c>
    </row>
    <row r="158" spans="1:23" x14ac:dyDescent="0.2">
      <c r="A158" s="250"/>
      <c r="B158" s="266">
        <v>23</v>
      </c>
      <c r="C158" s="267">
        <v>9</v>
      </c>
      <c r="D158" s="267" t="str">
        <f t="shared" si="26"/>
        <v>Block 23 Lot 9</v>
      </c>
      <c r="E158" s="268" t="s">
        <v>1</v>
      </c>
      <c r="F158" s="267">
        <v>450</v>
      </c>
      <c r="G158" s="269">
        <v>7660000</v>
      </c>
      <c r="H158" s="255">
        <f t="shared" si="27"/>
        <v>17022.222222222223</v>
      </c>
      <c r="I158" s="270">
        <f t="shared" si="33"/>
        <v>8711500</v>
      </c>
      <c r="J158" s="257" t="s">
        <v>228</v>
      </c>
      <c r="K158" s="258">
        <v>0.1</v>
      </c>
      <c r="L158" s="259">
        <f t="shared" si="29"/>
        <v>8061500</v>
      </c>
      <c r="M158" s="259">
        <f t="shared" si="30"/>
        <v>17914.444444444445</v>
      </c>
      <c r="N158" s="259">
        <f t="shared" si="28"/>
        <v>8061500</v>
      </c>
      <c r="O158" s="260">
        <f t="shared" si="34"/>
        <v>7255350</v>
      </c>
      <c r="P158" s="261">
        <f t="shared" si="31"/>
        <v>16123</v>
      </c>
      <c r="Q158" s="262"/>
      <c r="R158" s="263">
        <f t="shared" si="32"/>
        <v>7255350</v>
      </c>
      <c r="S158" s="263"/>
      <c r="T158" s="263"/>
      <c r="U158" s="264"/>
      <c r="W158" s="265">
        <f t="shared" si="35"/>
        <v>7255350</v>
      </c>
    </row>
    <row r="159" spans="1:23" x14ac:dyDescent="0.2">
      <c r="A159" s="250"/>
      <c r="B159" s="266">
        <v>23</v>
      </c>
      <c r="C159" s="267">
        <v>10</v>
      </c>
      <c r="D159" s="267" t="str">
        <f t="shared" si="26"/>
        <v>Block 23 Lot 10</v>
      </c>
      <c r="E159" s="268" t="s">
        <v>1</v>
      </c>
      <c r="F159" s="267">
        <v>450</v>
      </c>
      <c r="G159" s="269">
        <v>7660000</v>
      </c>
      <c r="H159" s="255">
        <f t="shared" si="27"/>
        <v>17022.222222222223</v>
      </c>
      <c r="I159" s="270">
        <f t="shared" si="33"/>
        <v>8711500</v>
      </c>
      <c r="J159" s="257" t="s">
        <v>228</v>
      </c>
      <c r="K159" s="258">
        <v>0.1</v>
      </c>
      <c r="L159" s="259">
        <f t="shared" si="29"/>
        <v>8061500</v>
      </c>
      <c r="M159" s="259">
        <f t="shared" si="30"/>
        <v>17914.444444444445</v>
      </c>
      <c r="N159" s="259">
        <f t="shared" si="28"/>
        <v>8061500</v>
      </c>
      <c r="O159" s="260">
        <f t="shared" si="34"/>
        <v>7255350</v>
      </c>
      <c r="P159" s="261">
        <f t="shared" si="31"/>
        <v>16123</v>
      </c>
      <c r="Q159" s="262"/>
      <c r="R159" s="263">
        <f t="shared" si="32"/>
        <v>7255350</v>
      </c>
      <c r="S159" s="263"/>
      <c r="T159" s="263"/>
      <c r="U159" s="264"/>
      <c r="W159" s="265">
        <f t="shared" si="35"/>
        <v>7255350</v>
      </c>
    </row>
    <row r="160" spans="1:23" x14ac:dyDescent="0.2">
      <c r="A160" s="250">
        <v>138</v>
      </c>
      <c r="B160" s="266">
        <v>23</v>
      </c>
      <c r="C160" s="267">
        <v>11</v>
      </c>
      <c r="D160" s="267" t="str">
        <f t="shared" si="26"/>
        <v>Block 23 Lot 11</v>
      </c>
      <c r="E160" s="268" t="s">
        <v>1</v>
      </c>
      <c r="F160" s="267">
        <v>450</v>
      </c>
      <c r="G160" s="269">
        <v>7660000</v>
      </c>
      <c r="H160" s="255">
        <f t="shared" si="27"/>
        <v>17022.222222222223</v>
      </c>
      <c r="I160" s="270">
        <f t="shared" si="33"/>
        <v>8711500</v>
      </c>
      <c r="J160" s="257" t="s">
        <v>229</v>
      </c>
      <c r="K160" s="258">
        <v>0.1</v>
      </c>
      <c r="L160" s="259">
        <f t="shared" si="29"/>
        <v>8061500</v>
      </c>
      <c r="M160" s="259">
        <f t="shared" si="30"/>
        <v>17914.444444444445</v>
      </c>
      <c r="N160" s="259">
        <f t="shared" si="28"/>
        <v>8061500</v>
      </c>
      <c r="O160" s="260">
        <f t="shared" si="34"/>
        <v>7255350</v>
      </c>
      <c r="P160" s="261">
        <f t="shared" si="31"/>
        <v>16123</v>
      </c>
      <c r="Q160" s="262">
        <v>0.04</v>
      </c>
      <c r="R160" s="263">
        <f t="shared" si="32"/>
        <v>6965136</v>
      </c>
      <c r="S160" s="263" t="s">
        <v>228</v>
      </c>
      <c r="T160" s="263">
        <f>+F160</f>
        <v>450</v>
      </c>
      <c r="U160" s="264" t="e">
        <f>+#REF!</f>
        <v>#REF!</v>
      </c>
      <c r="W160" s="265">
        <f t="shared" si="35"/>
        <v>6965136</v>
      </c>
    </row>
    <row r="161" spans="1:25" x14ac:dyDescent="0.2">
      <c r="A161" s="250">
        <v>138</v>
      </c>
      <c r="B161" s="266">
        <v>23</v>
      </c>
      <c r="C161" s="267">
        <v>12</v>
      </c>
      <c r="D161" s="267" t="str">
        <f t="shared" si="26"/>
        <v>Block 23 Lot 12</v>
      </c>
      <c r="E161" s="268" t="s">
        <v>1</v>
      </c>
      <c r="F161" s="267">
        <v>450</v>
      </c>
      <c r="G161" s="269">
        <v>7660000</v>
      </c>
      <c r="H161" s="255">
        <f t="shared" si="27"/>
        <v>17022.222222222223</v>
      </c>
      <c r="I161" s="270">
        <f t="shared" si="33"/>
        <v>8711500</v>
      </c>
      <c r="J161" s="257" t="s">
        <v>229</v>
      </c>
      <c r="K161" s="258">
        <v>0.1</v>
      </c>
      <c r="L161" s="259">
        <f t="shared" si="29"/>
        <v>8061500</v>
      </c>
      <c r="M161" s="259">
        <f t="shared" si="30"/>
        <v>17914.444444444445</v>
      </c>
      <c r="N161" s="259">
        <f t="shared" si="28"/>
        <v>8061500</v>
      </c>
      <c r="O161" s="260">
        <f t="shared" si="34"/>
        <v>7255350</v>
      </c>
      <c r="P161" s="261">
        <f t="shared" si="31"/>
        <v>16123</v>
      </c>
      <c r="Q161" s="262"/>
      <c r="R161" s="263">
        <f t="shared" si="32"/>
        <v>7255350</v>
      </c>
      <c r="S161" s="263"/>
      <c r="T161" s="263"/>
      <c r="U161" s="264"/>
      <c r="W161" s="265">
        <f t="shared" si="35"/>
        <v>7255350</v>
      </c>
      <c r="Y161" s="259"/>
    </row>
    <row r="162" spans="1:25" x14ac:dyDescent="0.2">
      <c r="A162" s="250">
        <v>139</v>
      </c>
      <c r="B162" s="266">
        <v>23</v>
      </c>
      <c r="C162" s="267">
        <v>15</v>
      </c>
      <c r="D162" s="267" t="str">
        <f t="shared" si="26"/>
        <v>Block 23 Lot 15</v>
      </c>
      <c r="E162" s="268" t="s">
        <v>1</v>
      </c>
      <c r="F162" s="267">
        <v>480</v>
      </c>
      <c r="G162" s="269">
        <v>8750000</v>
      </c>
      <c r="H162" s="255">
        <f t="shared" si="27"/>
        <v>18229.166666666668</v>
      </c>
      <c r="I162" s="270">
        <f t="shared" si="33"/>
        <v>9965000</v>
      </c>
      <c r="J162" s="257" t="s">
        <v>229</v>
      </c>
      <c r="K162" s="258">
        <v>0.1</v>
      </c>
      <c r="L162" s="259">
        <f t="shared" ref="L162:L184" si="36">+(I162-650000)</f>
        <v>9315000</v>
      </c>
      <c r="M162" s="259">
        <f t="shared" ref="M162:M184" si="37">+L162/F162</f>
        <v>19406.25</v>
      </c>
      <c r="N162" s="259">
        <f t="shared" si="28"/>
        <v>9315000</v>
      </c>
      <c r="O162" s="260">
        <f t="shared" si="34"/>
        <v>8383500</v>
      </c>
      <c r="P162" s="261">
        <f t="shared" ref="P162:P184" si="38">+O162/F162</f>
        <v>17465.625</v>
      </c>
      <c r="Q162" s="262"/>
      <c r="R162" s="263">
        <f t="shared" si="32"/>
        <v>8383500</v>
      </c>
      <c r="S162" s="263"/>
      <c r="T162" s="263"/>
      <c r="U162" s="264"/>
      <c r="W162" s="265">
        <f t="shared" si="35"/>
        <v>8383500</v>
      </c>
    </row>
    <row r="163" spans="1:25" x14ac:dyDescent="0.2">
      <c r="A163" s="250">
        <v>140</v>
      </c>
      <c r="B163" s="266">
        <v>23</v>
      </c>
      <c r="C163" s="267">
        <v>16</v>
      </c>
      <c r="D163" s="267" t="str">
        <f t="shared" si="26"/>
        <v>Block 23 Lot 16</v>
      </c>
      <c r="E163" s="268" t="s">
        <v>1</v>
      </c>
      <c r="F163" s="267">
        <v>570</v>
      </c>
      <c r="G163" s="269">
        <v>9160000</v>
      </c>
      <c r="H163" s="255">
        <f t="shared" si="27"/>
        <v>16070.17543859649</v>
      </c>
      <c r="I163" s="270">
        <f t="shared" si="33"/>
        <v>10436500</v>
      </c>
      <c r="J163" s="257" t="s">
        <v>229</v>
      </c>
      <c r="K163" s="258">
        <v>0.1</v>
      </c>
      <c r="L163" s="259">
        <f t="shared" si="36"/>
        <v>9786500</v>
      </c>
      <c r="M163" s="259">
        <f t="shared" si="37"/>
        <v>17169.298245614034</v>
      </c>
      <c r="N163" s="259">
        <f t="shared" si="28"/>
        <v>9786500</v>
      </c>
      <c r="O163" s="260">
        <f t="shared" si="34"/>
        <v>8807850</v>
      </c>
      <c r="P163" s="261">
        <f t="shared" si="38"/>
        <v>15452.368421052632</v>
      </c>
      <c r="Q163" s="262"/>
      <c r="R163" s="263">
        <f t="shared" si="32"/>
        <v>8807850</v>
      </c>
      <c r="S163" s="263"/>
      <c r="T163" s="263"/>
      <c r="U163" s="264"/>
      <c r="V163" s="258"/>
      <c r="W163" s="265">
        <f t="shared" si="35"/>
        <v>8807850</v>
      </c>
    </row>
    <row r="164" spans="1:25" x14ac:dyDescent="0.2">
      <c r="A164" s="250"/>
      <c r="B164" s="266">
        <v>23</v>
      </c>
      <c r="C164" s="267">
        <v>17</v>
      </c>
      <c r="D164" s="267" t="str">
        <f t="shared" si="26"/>
        <v>Block 23 Lot 17</v>
      </c>
      <c r="E164" s="268" t="s">
        <v>1</v>
      </c>
      <c r="F164" s="267">
        <v>600</v>
      </c>
      <c r="G164" s="269">
        <v>10380000</v>
      </c>
      <c r="H164" s="255">
        <f t="shared" si="27"/>
        <v>17300</v>
      </c>
      <c r="I164" s="270">
        <f t="shared" si="33"/>
        <v>11839500</v>
      </c>
      <c r="J164" s="257" t="s">
        <v>228</v>
      </c>
      <c r="K164" s="258">
        <v>0.1</v>
      </c>
      <c r="L164" s="259">
        <f t="shared" si="36"/>
        <v>11189500</v>
      </c>
      <c r="M164" s="259">
        <f t="shared" si="37"/>
        <v>18649.166666666668</v>
      </c>
      <c r="N164" s="259">
        <f t="shared" si="28"/>
        <v>11189500</v>
      </c>
      <c r="O164" s="260">
        <f t="shared" si="34"/>
        <v>10070550</v>
      </c>
      <c r="P164" s="261">
        <f t="shared" si="38"/>
        <v>16784.25</v>
      </c>
      <c r="Q164" s="262"/>
      <c r="R164" s="263">
        <f t="shared" si="32"/>
        <v>10070550</v>
      </c>
      <c r="S164" s="263"/>
      <c r="T164" s="263"/>
      <c r="U164" s="264"/>
      <c r="W164" s="265">
        <f t="shared" si="35"/>
        <v>10070550</v>
      </c>
    </row>
    <row r="165" spans="1:25" x14ac:dyDescent="0.2">
      <c r="A165" s="250">
        <v>141</v>
      </c>
      <c r="B165" s="266">
        <v>25</v>
      </c>
      <c r="C165" s="267">
        <v>1</v>
      </c>
      <c r="D165" s="267" t="str">
        <f t="shared" si="26"/>
        <v>Block 25 Lot 1</v>
      </c>
      <c r="E165" s="268" t="s">
        <v>1</v>
      </c>
      <c r="F165" s="267">
        <v>600</v>
      </c>
      <c r="G165" s="269">
        <v>10380000</v>
      </c>
      <c r="H165" s="255">
        <f t="shared" si="27"/>
        <v>17300</v>
      </c>
      <c r="I165" s="270">
        <f>+((G165-650000)*1.15)+650000</f>
        <v>11839500</v>
      </c>
      <c r="J165" s="257" t="s">
        <v>229</v>
      </c>
      <c r="K165" s="258">
        <v>0.1</v>
      </c>
      <c r="L165" s="259">
        <f t="shared" si="36"/>
        <v>11189500</v>
      </c>
      <c r="M165" s="259">
        <f t="shared" si="37"/>
        <v>18649.166666666668</v>
      </c>
      <c r="N165" s="259">
        <f t="shared" si="28"/>
        <v>11189500</v>
      </c>
      <c r="O165" s="260">
        <f t="shared" si="34"/>
        <v>10070550</v>
      </c>
      <c r="P165" s="261">
        <f t="shared" si="38"/>
        <v>16784.25</v>
      </c>
      <c r="Q165" s="262"/>
      <c r="R165" s="263">
        <f t="shared" si="32"/>
        <v>10070550</v>
      </c>
      <c r="S165" s="263"/>
      <c r="T165" s="263"/>
      <c r="U165" s="264"/>
      <c r="V165" s="258">
        <v>0.02</v>
      </c>
      <c r="W165" s="265">
        <f t="shared" si="35"/>
        <v>9869139</v>
      </c>
    </row>
    <row r="166" spans="1:25" x14ac:dyDescent="0.2">
      <c r="A166" s="250">
        <v>142</v>
      </c>
      <c r="B166" s="266">
        <v>25</v>
      </c>
      <c r="C166" s="267">
        <v>2</v>
      </c>
      <c r="D166" s="267" t="str">
        <f t="shared" si="26"/>
        <v>Block 25 Lot 2</v>
      </c>
      <c r="E166" s="268" t="s">
        <v>1</v>
      </c>
      <c r="F166" s="267">
        <v>545</v>
      </c>
      <c r="G166" s="269">
        <v>8430000</v>
      </c>
      <c r="H166" s="255">
        <f t="shared" si="27"/>
        <v>15467.889908256881</v>
      </c>
      <c r="I166" s="270">
        <f t="shared" si="33"/>
        <v>9597000</v>
      </c>
      <c r="J166" s="257" t="s">
        <v>229</v>
      </c>
      <c r="K166" s="258">
        <v>0.1</v>
      </c>
      <c r="L166" s="259">
        <f t="shared" si="36"/>
        <v>8947000</v>
      </c>
      <c r="M166" s="259">
        <f t="shared" si="37"/>
        <v>16416.51376146789</v>
      </c>
      <c r="N166" s="259">
        <f t="shared" si="28"/>
        <v>8947000</v>
      </c>
      <c r="O166" s="260">
        <f t="shared" si="34"/>
        <v>8052300</v>
      </c>
      <c r="P166" s="261">
        <f t="shared" si="38"/>
        <v>14774.862385321101</v>
      </c>
      <c r="Q166" s="262"/>
      <c r="R166" s="263">
        <f t="shared" si="32"/>
        <v>8052300</v>
      </c>
      <c r="S166" s="263"/>
      <c r="T166" s="263"/>
      <c r="U166" s="264"/>
      <c r="W166" s="265">
        <f t="shared" si="35"/>
        <v>8052300</v>
      </c>
    </row>
    <row r="167" spans="1:25" x14ac:dyDescent="0.2">
      <c r="A167" s="250">
        <v>143</v>
      </c>
      <c r="B167" s="266">
        <v>25</v>
      </c>
      <c r="C167" s="267">
        <v>3</v>
      </c>
      <c r="D167" s="267" t="str">
        <f t="shared" si="26"/>
        <v>Block 25 Lot 3</v>
      </c>
      <c r="E167" s="268" t="s">
        <v>1</v>
      </c>
      <c r="F167" s="267">
        <v>540</v>
      </c>
      <c r="G167" s="269">
        <v>8360000</v>
      </c>
      <c r="H167" s="255">
        <f t="shared" si="27"/>
        <v>15481.481481481482</v>
      </c>
      <c r="I167" s="270">
        <f t="shared" si="33"/>
        <v>9516500</v>
      </c>
      <c r="J167" s="257" t="s">
        <v>229</v>
      </c>
      <c r="K167" s="258">
        <v>0.1</v>
      </c>
      <c r="L167" s="259">
        <f t="shared" si="36"/>
        <v>8866500</v>
      </c>
      <c r="M167" s="259">
        <f t="shared" si="37"/>
        <v>16419.444444444445</v>
      </c>
      <c r="N167" s="259">
        <f t="shared" si="28"/>
        <v>8866500</v>
      </c>
      <c r="O167" s="260">
        <f t="shared" si="34"/>
        <v>7979850</v>
      </c>
      <c r="P167" s="261">
        <f t="shared" si="38"/>
        <v>14777.5</v>
      </c>
      <c r="Q167" s="262">
        <v>0.04</v>
      </c>
      <c r="R167" s="263">
        <f t="shared" si="32"/>
        <v>7660656</v>
      </c>
      <c r="S167" s="263" t="s">
        <v>228</v>
      </c>
      <c r="T167" s="263">
        <f>+F167</f>
        <v>540</v>
      </c>
      <c r="U167" s="264" t="e">
        <f>+#REF!</f>
        <v>#REF!</v>
      </c>
      <c r="V167" s="258"/>
      <c r="W167" s="265">
        <f t="shared" si="35"/>
        <v>7660656</v>
      </c>
    </row>
    <row r="168" spans="1:25" x14ac:dyDescent="0.2">
      <c r="A168" s="250">
        <v>144</v>
      </c>
      <c r="B168" s="266">
        <v>25</v>
      </c>
      <c r="C168" s="267">
        <v>5</v>
      </c>
      <c r="D168" s="267" t="str">
        <f t="shared" si="26"/>
        <v>Block 25 Lot 5</v>
      </c>
      <c r="E168" s="268" t="s">
        <v>1</v>
      </c>
      <c r="F168" s="267">
        <v>540</v>
      </c>
      <c r="G168" s="269">
        <v>8360000</v>
      </c>
      <c r="H168" s="255">
        <f t="shared" si="27"/>
        <v>15481.481481481482</v>
      </c>
      <c r="I168" s="270">
        <f t="shared" si="33"/>
        <v>9516500</v>
      </c>
      <c r="J168" s="257" t="s">
        <v>229</v>
      </c>
      <c r="K168" s="258">
        <v>0.1</v>
      </c>
      <c r="L168" s="259">
        <f t="shared" si="36"/>
        <v>8866500</v>
      </c>
      <c r="M168" s="259">
        <f t="shared" si="37"/>
        <v>16419.444444444445</v>
      </c>
      <c r="N168" s="259">
        <f t="shared" si="28"/>
        <v>8866500</v>
      </c>
      <c r="O168" s="260">
        <f t="shared" si="34"/>
        <v>7979850</v>
      </c>
      <c r="P168" s="261">
        <f t="shared" si="38"/>
        <v>14777.5</v>
      </c>
      <c r="Q168" s="262">
        <v>0.04</v>
      </c>
      <c r="R168" s="263">
        <f t="shared" si="32"/>
        <v>7660656</v>
      </c>
      <c r="S168" s="263" t="s">
        <v>228</v>
      </c>
      <c r="T168" s="263">
        <f>+F168</f>
        <v>540</v>
      </c>
      <c r="U168" s="264" t="e">
        <f>+#REF!</f>
        <v>#REF!</v>
      </c>
      <c r="W168" s="265">
        <f t="shared" si="35"/>
        <v>7660656</v>
      </c>
    </row>
    <row r="169" spans="1:25" x14ac:dyDescent="0.2">
      <c r="A169" s="250">
        <v>145</v>
      </c>
      <c r="B169" s="266">
        <v>25</v>
      </c>
      <c r="C169" s="267">
        <v>6</v>
      </c>
      <c r="D169" s="267" t="str">
        <f>CONCATENATE("Block"," ",B169," ","Lot"," ",C169)</f>
        <v>Block 25 Lot 6</v>
      </c>
      <c r="E169" s="268" t="s">
        <v>1</v>
      </c>
      <c r="F169" s="267">
        <v>520</v>
      </c>
      <c r="G169" s="269">
        <v>8410000</v>
      </c>
      <c r="H169" s="255">
        <f t="shared" si="27"/>
        <v>16173.076923076924</v>
      </c>
      <c r="I169" s="270">
        <f t="shared" si="33"/>
        <v>9574000</v>
      </c>
      <c r="J169" s="257" t="s">
        <v>229</v>
      </c>
      <c r="K169" s="258">
        <v>0.1</v>
      </c>
      <c r="L169" s="259">
        <f t="shared" si="36"/>
        <v>8924000</v>
      </c>
      <c r="M169" s="259">
        <f t="shared" si="37"/>
        <v>17161.538461538461</v>
      </c>
      <c r="N169" s="259">
        <f t="shared" si="28"/>
        <v>8924000</v>
      </c>
      <c r="O169" s="260">
        <f t="shared" si="34"/>
        <v>8031600</v>
      </c>
      <c r="P169" s="261">
        <f t="shared" si="38"/>
        <v>15445.384615384615</v>
      </c>
      <c r="Q169" s="262">
        <v>0.02</v>
      </c>
      <c r="R169" s="263">
        <f t="shared" si="32"/>
        <v>7870968</v>
      </c>
      <c r="S169" s="263" t="s">
        <v>228</v>
      </c>
      <c r="T169" s="263">
        <f>+F169</f>
        <v>520</v>
      </c>
      <c r="U169" s="264" t="e">
        <f>+#REF!</f>
        <v>#REF!</v>
      </c>
      <c r="W169" s="265">
        <f t="shared" si="35"/>
        <v>7870968</v>
      </c>
    </row>
    <row r="170" spans="1:25" x14ac:dyDescent="0.2">
      <c r="A170" s="250">
        <v>146</v>
      </c>
      <c r="B170" s="266">
        <v>26</v>
      </c>
      <c r="C170" s="267">
        <v>1</v>
      </c>
      <c r="D170" s="267" t="str">
        <f t="shared" ref="D170:D176" si="39">CONCATENATE("Block"," ",B170," ","Lot"," ",C170)</f>
        <v>Block 26 Lot 1</v>
      </c>
      <c r="E170" s="268" t="s">
        <v>0</v>
      </c>
      <c r="F170" s="267">
        <v>759</v>
      </c>
      <c r="G170" s="269">
        <v>8940000</v>
      </c>
      <c r="H170" s="255">
        <f t="shared" si="27"/>
        <v>11778.656126482214</v>
      </c>
      <c r="I170" s="270">
        <f t="shared" si="33"/>
        <v>10183500</v>
      </c>
      <c r="J170" s="257" t="s">
        <v>229</v>
      </c>
      <c r="K170" s="258" t="e">
        <f>+#REF!-5%</f>
        <v>#REF!</v>
      </c>
      <c r="L170" s="259">
        <f t="shared" si="36"/>
        <v>9533500</v>
      </c>
      <c r="M170" s="259">
        <f t="shared" si="37"/>
        <v>12560.60606060606</v>
      </c>
      <c r="N170" s="259">
        <f t="shared" si="28"/>
        <v>9533500</v>
      </c>
      <c r="O170" s="260" t="e">
        <f t="shared" si="34"/>
        <v>#REF!</v>
      </c>
      <c r="P170" s="261" t="e">
        <f t="shared" si="38"/>
        <v>#REF!</v>
      </c>
      <c r="Q170" s="262"/>
      <c r="R170" s="263" t="e">
        <f t="shared" si="32"/>
        <v>#REF!</v>
      </c>
      <c r="S170" s="263"/>
      <c r="T170" s="263"/>
      <c r="U170" s="264"/>
      <c r="V170" s="258"/>
      <c r="W170" s="265" t="e">
        <f t="shared" si="35"/>
        <v>#REF!</v>
      </c>
    </row>
    <row r="171" spans="1:25" x14ac:dyDescent="0.2">
      <c r="A171" s="250">
        <v>147</v>
      </c>
      <c r="B171" s="266">
        <v>26</v>
      </c>
      <c r="C171" s="267">
        <v>2</v>
      </c>
      <c r="D171" s="267" t="str">
        <f t="shared" si="39"/>
        <v>Block 26 Lot 2</v>
      </c>
      <c r="E171" s="268" t="s">
        <v>0</v>
      </c>
      <c r="F171" s="267">
        <v>739</v>
      </c>
      <c r="G171" s="269">
        <v>8720000</v>
      </c>
      <c r="H171" s="255">
        <f t="shared" si="27"/>
        <v>11799.729364005412</v>
      </c>
      <c r="I171" s="270">
        <f t="shared" si="33"/>
        <v>9930500</v>
      </c>
      <c r="J171" s="257" t="s">
        <v>229</v>
      </c>
      <c r="K171" s="258" t="e">
        <f>+#REF!-5%</f>
        <v>#REF!</v>
      </c>
      <c r="L171" s="259">
        <f t="shared" si="36"/>
        <v>9280500</v>
      </c>
      <c r="M171" s="259">
        <f t="shared" si="37"/>
        <v>12558.186738836264</v>
      </c>
      <c r="N171" s="259">
        <f t="shared" si="28"/>
        <v>9280500</v>
      </c>
      <c r="O171" s="260" t="e">
        <f t="shared" si="34"/>
        <v>#REF!</v>
      </c>
      <c r="P171" s="261" t="e">
        <f t="shared" si="38"/>
        <v>#REF!</v>
      </c>
      <c r="Q171" s="262"/>
      <c r="R171" s="263" t="e">
        <f t="shared" si="32"/>
        <v>#REF!</v>
      </c>
      <c r="S171" s="263"/>
      <c r="T171" s="263"/>
      <c r="U171" s="264"/>
      <c r="W171" s="265" t="e">
        <f t="shared" si="35"/>
        <v>#REF!</v>
      </c>
    </row>
    <row r="172" spans="1:25" x14ac:dyDescent="0.2">
      <c r="A172" s="250"/>
      <c r="B172" s="266">
        <v>27</v>
      </c>
      <c r="C172" s="267">
        <v>1</v>
      </c>
      <c r="D172" s="267" t="str">
        <f t="shared" si="39"/>
        <v>Block 27 Lot 1</v>
      </c>
      <c r="E172" s="268" t="s">
        <v>0</v>
      </c>
      <c r="F172" s="267">
        <v>1000</v>
      </c>
      <c r="G172" s="269">
        <v>12970000</v>
      </c>
      <c r="H172" s="255">
        <f t="shared" si="27"/>
        <v>12970</v>
      </c>
      <c r="I172" s="270">
        <f t="shared" si="33"/>
        <v>14817999.999999998</v>
      </c>
      <c r="J172" s="257" t="s">
        <v>228</v>
      </c>
      <c r="K172" s="258" t="e">
        <f>+#REF!-5%</f>
        <v>#REF!</v>
      </c>
      <c r="L172" s="259">
        <f t="shared" si="36"/>
        <v>14167999.999999998</v>
      </c>
      <c r="M172" s="259">
        <f t="shared" si="37"/>
        <v>14167.999999999998</v>
      </c>
      <c r="N172" s="259">
        <f t="shared" si="28"/>
        <v>14167999.999999998</v>
      </c>
      <c r="O172" s="260" t="e">
        <f t="shared" si="34"/>
        <v>#REF!</v>
      </c>
      <c r="P172" s="261" t="e">
        <f t="shared" si="38"/>
        <v>#REF!</v>
      </c>
      <c r="Q172" s="262"/>
      <c r="R172" s="263" t="e">
        <f t="shared" si="32"/>
        <v>#REF!</v>
      </c>
      <c r="S172" s="263"/>
      <c r="T172" s="263"/>
      <c r="U172" s="264"/>
      <c r="W172" s="265" t="e">
        <f t="shared" si="35"/>
        <v>#REF!</v>
      </c>
    </row>
    <row r="173" spans="1:25" x14ac:dyDescent="0.2">
      <c r="A173" s="250"/>
      <c r="B173" s="266">
        <v>27</v>
      </c>
      <c r="C173" s="267">
        <v>2</v>
      </c>
      <c r="D173" s="267" t="str">
        <f t="shared" si="39"/>
        <v>Block 27 Lot 2</v>
      </c>
      <c r="E173" s="268" t="s">
        <v>0</v>
      </c>
      <c r="F173" s="267">
        <v>1000</v>
      </c>
      <c r="G173" s="269">
        <v>12230000</v>
      </c>
      <c r="H173" s="255">
        <f t="shared" si="27"/>
        <v>12230</v>
      </c>
      <c r="I173" s="270">
        <f t="shared" si="33"/>
        <v>13966999.999999998</v>
      </c>
      <c r="J173" s="257" t="s">
        <v>228</v>
      </c>
      <c r="K173" s="258" t="e">
        <f>+#REF!-5%</f>
        <v>#REF!</v>
      </c>
      <c r="L173" s="259">
        <f t="shared" si="36"/>
        <v>13316999.999999998</v>
      </c>
      <c r="M173" s="259">
        <f t="shared" si="37"/>
        <v>13316.999999999998</v>
      </c>
      <c r="N173" s="259">
        <f t="shared" si="28"/>
        <v>13316999.999999998</v>
      </c>
      <c r="O173" s="260" t="e">
        <f t="shared" si="34"/>
        <v>#REF!</v>
      </c>
      <c r="P173" s="261" t="e">
        <f t="shared" si="38"/>
        <v>#REF!</v>
      </c>
      <c r="Q173" s="262"/>
      <c r="R173" s="263" t="e">
        <f t="shared" si="32"/>
        <v>#REF!</v>
      </c>
      <c r="S173" s="263"/>
      <c r="T173" s="263"/>
      <c r="U173" s="264"/>
      <c r="W173" s="265" t="e">
        <f t="shared" si="35"/>
        <v>#REF!</v>
      </c>
    </row>
    <row r="174" spans="1:25" x14ac:dyDescent="0.2">
      <c r="A174" s="250"/>
      <c r="B174" s="266">
        <v>27</v>
      </c>
      <c r="C174" s="267">
        <v>3</v>
      </c>
      <c r="D174" s="267" t="str">
        <f t="shared" si="39"/>
        <v>Block 27 Lot 3</v>
      </c>
      <c r="E174" s="268" t="s">
        <v>0</v>
      </c>
      <c r="F174" s="267">
        <v>1000</v>
      </c>
      <c r="G174" s="269">
        <v>12230000</v>
      </c>
      <c r="H174" s="255">
        <f t="shared" si="27"/>
        <v>12230</v>
      </c>
      <c r="I174" s="270">
        <f t="shared" si="33"/>
        <v>13966999.999999998</v>
      </c>
      <c r="J174" s="257" t="s">
        <v>228</v>
      </c>
      <c r="K174" s="258" t="e">
        <f>+#REF!-5%</f>
        <v>#REF!</v>
      </c>
      <c r="L174" s="259">
        <f t="shared" si="36"/>
        <v>13316999.999999998</v>
      </c>
      <c r="M174" s="259">
        <f t="shared" si="37"/>
        <v>13316.999999999998</v>
      </c>
      <c r="N174" s="259">
        <f t="shared" si="28"/>
        <v>13316999.999999998</v>
      </c>
      <c r="O174" s="260" t="e">
        <f t="shared" si="34"/>
        <v>#REF!</v>
      </c>
      <c r="P174" s="261" t="e">
        <f t="shared" si="38"/>
        <v>#REF!</v>
      </c>
      <c r="Q174" s="262"/>
      <c r="R174" s="263" t="e">
        <f t="shared" si="32"/>
        <v>#REF!</v>
      </c>
      <c r="S174" s="263"/>
      <c r="T174" s="263"/>
      <c r="U174" s="264"/>
      <c r="W174" s="265" t="e">
        <f t="shared" si="35"/>
        <v>#REF!</v>
      </c>
    </row>
    <row r="175" spans="1:25" x14ac:dyDescent="0.2">
      <c r="A175" s="250">
        <v>148</v>
      </c>
      <c r="B175" s="266">
        <v>27</v>
      </c>
      <c r="C175" s="267">
        <v>5</v>
      </c>
      <c r="D175" s="267" t="str">
        <f t="shared" si="39"/>
        <v>Block 27 Lot 5</v>
      </c>
      <c r="E175" s="268" t="s">
        <v>0</v>
      </c>
      <c r="F175" s="267">
        <v>854</v>
      </c>
      <c r="G175" s="269">
        <v>11180000</v>
      </c>
      <c r="H175" s="255">
        <f t="shared" si="27"/>
        <v>13091.334894613583</v>
      </c>
      <c r="I175" s="270">
        <f t="shared" si="33"/>
        <v>12759499.999999998</v>
      </c>
      <c r="J175" s="257" t="s">
        <v>229</v>
      </c>
      <c r="K175" s="258" t="e">
        <f>+#REF!-5%</f>
        <v>#REF!</v>
      </c>
      <c r="L175" s="259">
        <f t="shared" si="36"/>
        <v>12109499.999999998</v>
      </c>
      <c r="M175" s="259">
        <f t="shared" si="37"/>
        <v>14179.742388758779</v>
      </c>
      <c r="N175" s="259">
        <f t="shared" si="28"/>
        <v>12109499.999999998</v>
      </c>
      <c r="O175" s="260" t="e">
        <f t="shared" si="34"/>
        <v>#REF!</v>
      </c>
      <c r="P175" s="261" t="e">
        <f t="shared" si="38"/>
        <v>#REF!</v>
      </c>
      <c r="Q175" s="262"/>
      <c r="R175" s="263" t="e">
        <f t="shared" si="32"/>
        <v>#REF!</v>
      </c>
      <c r="S175" s="263"/>
      <c r="T175" s="263"/>
      <c r="U175" s="264"/>
      <c r="W175" s="265" t="e">
        <f t="shared" si="35"/>
        <v>#REF!</v>
      </c>
    </row>
    <row r="176" spans="1:25" ht="16" thickBot="1" x14ac:dyDescent="0.25">
      <c r="A176" s="250">
        <v>149</v>
      </c>
      <c r="B176" s="272">
        <v>27</v>
      </c>
      <c r="C176" s="273">
        <v>6</v>
      </c>
      <c r="D176" s="267" t="str">
        <f t="shared" si="39"/>
        <v>Block 27 Lot 6</v>
      </c>
      <c r="E176" s="274" t="s">
        <v>0</v>
      </c>
      <c r="F176" s="273">
        <v>754</v>
      </c>
      <c r="G176" s="275">
        <v>9940000</v>
      </c>
      <c r="H176" s="255">
        <f t="shared" si="27"/>
        <v>13183.023872679045</v>
      </c>
      <c r="I176" s="276">
        <f t="shared" si="33"/>
        <v>11333500</v>
      </c>
      <c r="J176" s="257" t="s">
        <v>229</v>
      </c>
      <c r="K176" s="258" t="e">
        <f>+#REF!-5%</f>
        <v>#REF!</v>
      </c>
      <c r="L176" s="259">
        <f t="shared" si="36"/>
        <v>10683500</v>
      </c>
      <c r="M176" s="259">
        <f t="shared" si="37"/>
        <v>14169.098143236075</v>
      </c>
      <c r="N176" s="259">
        <f t="shared" si="28"/>
        <v>10683500</v>
      </c>
      <c r="O176" s="260" t="e">
        <f t="shared" si="34"/>
        <v>#REF!</v>
      </c>
      <c r="P176" s="261" t="e">
        <f t="shared" si="38"/>
        <v>#REF!</v>
      </c>
      <c r="Q176" s="262"/>
      <c r="R176" s="263" t="e">
        <f t="shared" si="32"/>
        <v>#REF!</v>
      </c>
      <c r="S176" s="263"/>
      <c r="T176" s="263"/>
      <c r="U176" s="264"/>
      <c r="W176" s="265" t="e">
        <f t="shared" si="35"/>
        <v>#REF!</v>
      </c>
      <c r="Y176" s="265"/>
    </row>
    <row r="177" spans="1:24" x14ac:dyDescent="0.2">
      <c r="A177" s="250"/>
      <c r="B177" s="277">
        <v>27</v>
      </c>
      <c r="C177" s="278">
        <v>7</v>
      </c>
      <c r="D177" s="278"/>
      <c r="E177" s="279" t="s">
        <v>0</v>
      </c>
      <c r="F177" s="278">
        <v>758</v>
      </c>
      <c r="G177" s="280">
        <v>9990000</v>
      </c>
      <c r="H177" s="255">
        <f t="shared" si="27"/>
        <v>13179.419525065963</v>
      </c>
      <c r="I177" s="255">
        <f t="shared" si="33"/>
        <v>11391000</v>
      </c>
      <c r="J177" s="257" t="s">
        <v>228</v>
      </c>
      <c r="K177" s="258" t="e">
        <f>+#REF!-5%</f>
        <v>#REF!</v>
      </c>
      <c r="L177" s="259">
        <f t="shared" si="36"/>
        <v>10741000</v>
      </c>
      <c r="M177" s="259">
        <f t="shared" si="37"/>
        <v>14170.184696569921</v>
      </c>
      <c r="N177" s="259">
        <f t="shared" si="28"/>
        <v>10741000</v>
      </c>
      <c r="O177" s="260" t="e">
        <f t="shared" si="34"/>
        <v>#REF!</v>
      </c>
      <c r="P177" s="261" t="e">
        <f t="shared" si="38"/>
        <v>#REF!</v>
      </c>
      <c r="Q177" s="262"/>
      <c r="R177" s="263" t="e">
        <f t="shared" si="32"/>
        <v>#REF!</v>
      </c>
      <c r="S177" s="263"/>
      <c r="T177" s="263"/>
      <c r="U177" s="264"/>
      <c r="W177" s="265" t="e">
        <f t="shared" si="35"/>
        <v>#REF!</v>
      </c>
    </row>
    <row r="178" spans="1:24" x14ac:dyDescent="0.2">
      <c r="A178" s="250"/>
      <c r="B178" s="281">
        <v>27</v>
      </c>
      <c r="C178" s="282">
        <v>8</v>
      </c>
      <c r="D178" s="282"/>
      <c r="E178" s="283" t="s">
        <v>0</v>
      </c>
      <c r="F178" s="282">
        <v>850</v>
      </c>
      <c r="G178" s="284">
        <v>11380000</v>
      </c>
      <c r="H178" s="255">
        <f t="shared" si="27"/>
        <v>13388.235294117647</v>
      </c>
      <c r="I178" s="255">
        <f t="shared" si="33"/>
        <v>12989499.999999998</v>
      </c>
      <c r="J178" s="257" t="s">
        <v>228</v>
      </c>
      <c r="K178" s="258" t="e">
        <f>+#REF!-5%</f>
        <v>#REF!</v>
      </c>
      <c r="L178" s="259">
        <f t="shared" si="36"/>
        <v>12339499.999999998</v>
      </c>
      <c r="M178" s="259">
        <f t="shared" si="37"/>
        <v>14517.058823529409</v>
      </c>
      <c r="N178" s="259">
        <f t="shared" si="28"/>
        <v>12339499.999999998</v>
      </c>
      <c r="O178" s="260" t="e">
        <f t="shared" si="34"/>
        <v>#REF!</v>
      </c>
      <c r="P178" s="261" t="e">
        <f t="shared" si="38"/>
        <v>#REF!</v>
      </c>
      <c r="Q178" s="262"/>
      <c r="R178" s="263" t="e">
        <f t="shared" si="32"/>
        <v>#REF!</v>
      </c>
      <c r="S178" s="263"/>
      <c r="T178" s="263"/>
      <c r="U178" s="264"/>
      <c r="W178" s="265" t="e">
        <f t="shared" si="35"/>
        <v>#REF!</v>
      </c>
    </row>
    <row r="179" spans="1:24" ht="16" thickBot="1" x14ac:dyDescent="0.25">
      <c r="A179" s="250"/>
      <c r="B179" s="285">
        <v>27</v>
      </c>
      <c r="C179" s="286">
        <v>9</v>
      </c>
      <c r="D179" s="286"/>
      <c r="E179" s="287" t="s">
        <v>0</v>
      </c>
      <c r="F179" s="286">
        <v>875</v>
      </c>
      <c r="G179" s="288">
        <v>10450000</v>
      </c>
      <c r="H179" s="255">
        <f t="shared" si="27"/>
        <v>11942.857142857143</v>
      </c>
      <c r="I179" s="255">
        <f t="shared" si="33"/>
        <v>11920000</v>
      </c>
      <c r="J179" s="257" t="s">
        <v>228</v>
      </c>
      <c r="K179" s="258" t="e">
        <f>+#REF!-5%</f>
        <v>#REF!</v>
      </c>
      <c r="L179" s="259">
        <f t="shared" si="36"/>
        <v>11270000</v>
      </c>
      <c r="M179" s="259">
        <f t="shared" si="37"/>
        <v>12880</v>
      </c>
      <c r="N179" s="259">
        <f t="shared" si="28"/>
        <v>11270000</v>
      </c>
      <c r="O179" s="260" t="e">
        <f t="shared" si="34"/>
        <v>#REF!</v>
      </c>
      <c r="P179" s="261" t="e">
        <f t="shared" si="38"/>
        <v>#REF!</v>
      </c>
      <c r="Q179" s="262"/>
      <c r="R179" s="263" t="e">
        <f t="shared" si="32"/>
        <v>#REF!</v>
      </c>
      <c r="S179" s="263"/>
      <c r="T179" s="263"/>
      <c r="U179" s="264"/>
      <c r="W179" s="265" t="e">
        <f t="shared" si="35"/>
        <v>#REF!</v>
      </c>
    </row>
    <row r="180" spans="1:24" x14ac:dyDescent="0.2">
      <c r="A180" s="250"/>
      <c r="B180" s="277">
        <v>27</v>
      </c>
      <c r="C180" s="278">
        <v>10</v>
      </c>
      <c r="D180" s="278"/>
      <c r="E180" s="279" t="s">
        <v>0</v>
      </c>
      <c r="F180" s="278">
        <v>880</v>
      </c>
      <c r="G180" s="280">
        <v>10510000</v>
      </c>
      <c r="H180" s="255">
        <f t="shared" si="27"/>
        <v>11943.181818181818</v>
      </c>
      <c r="I180" s="255">
        <f t="shared" si="33"/>
        <v>11989000</v>
      </c>
      <c r="J180" s="257" t="s">
        <v>228</v>
      </c>
      <c r="K180" s="258" t="e">
        <f>+#REF!-5%</f>
        <v>#REF!</v>
      </c>
      <c r="L180" s="259">
        <f t="shared" si="36"/>
        <v>11339000</v>
      </c>
      <c r="M180" s="259">
        <f t="shared" si="37"/>
        <v>12885.227272727272</v>
      </c>
      <c r="N180" s="259">
        <f t="shared" si="28"/>
        <v>11339000</v>
      </c>
      <c r="O180" s="260" t="e">
        <f t="shared" si="34"/>
        <v>#REF!</v>
      </c>
      <c r="P180" s="261" t="e">
        <f t="shared" si="38"/>
        <v>#REF!</v>
      </c>
      <c r="Q180" s="262"/>
      <c r="R180" s="263" t="e">
        <f t="shared" si="32"/>
        <v>#REF!</v>
      </c>
      <c r="S180" s="263"/>
      <c r="T180" s="263"/>
      <c r="U180" s="264"/>
      <c r="W180" s="265" t="e">
        <f t="shared" si="35"/>
        <v>#REF!</v>
      </c>
    </row>
    <row r="181" spans="1:24" x14ac:dyDescent="0.2">
      <c r="A181" s="250"/>
      <c r="B181" s="281">
        <v>27</v>
      </c>
      <c r="C181" s="282">
        <v>11</v>
      </c>
      <c r="D181" s="282"/>
      <c r="E181" s="283" t="s">
        <v>0</v>
      </c>
      <c r="F181" s="282">
        <v>1000</v>
      </c>
      <c r="G181" s="284">
        <v>12600000</v>
      </c>
      <c r="H181" s="255">
        <f t="shared" si="27"/>
        <v>12600</v>
      </c>
      <c r="I181" s="255">
        <f t="shared" si="33"/>
        <v>14392499.999999998</v>
      </c>
      <c r="J181" s="257" t="s">
        <v>228</v>
      </c>
      <c r="K181" s="258" t="e">
        <f>+#REF!-5%</f>
        <v>#REF!</v>
      </c>
      <c r="L181" s="259">
        <f t="shared" si="36"/>
        <v>13742499.999999998</v>
      </c>
      <c r="M181" s="259">
        <f t="shared" si="37"/>
        <v>13742.499999999998</v>
      </c>
      <c r="N181" s="259">
        <f t="shared" si="28"/>
        <v>13742499.999999998</v>
      </c>
      <c r="O181" s="260" t="e">
        <f t="shared" si="34"/>
        <v>#REF!</v>
      </c>
      <c r="P181" s="261" t="e">
        <f t="shared" si="38"/>
        <v>#REF!</v>
      </c>
      <c r="Q181" s="262"/>
      <c r="R181" s="263" t="e">
        <f t="shared" si="32"/>
        <v>#REF!</v>
      </c>
      <c r="S181" s="263"/>
      <c r="T181" s="263"/>
      <c r="U181" s="264"/>
      <c r="W181" s="265" t="e">
        <f t="shared" si="35"/>
        <v>#REF!</v>
      </c>
    </row>
    <row r="182" spans="1:24" x14ac:dyDescent="0.2">
      <c r="A182" s="250"/>
      <c r="B182" s="281">
        <v>27</v>
      </c>
      <c r="C182" s="282">
        <v>12</v>
      </c>
      <c r="D182" s="282"/>
      <c r="E182" s="283" t="s">
        <v>0</v>
      </c>
      <c r="F182" s="282">
        <v>999</v>
      </c>
      <c r="G182" s="284">
        <v>14830000</v>
      </c>
      <c r="H182" s="255">
        <f t="shared" si="27"/>
        <v>14844.844844844845</v>
      </c>
      <c r="I182" s="255">
        <f t="shared" si="33"/>
        <v>16957000</v>
      </c>
      <c r="J182" s="257" t="s">
        <v>228</v>
      </c>
      <c r="K182" s="258" t="e">
        <f>+#REF!-5%</f>
        <v>#REF!</v>
      </c>
      <c r="L182" s="259">
        <f t="shared" si="36"/>
        <v>16307000</v>
      </c>
      <c r="M182" s="259">
        <f t="shared" si="37"/>
        <v>16323.323323323324</v>
      </c>
      <c r="N182" s="259">
        <f t="shared" si="28"/>
        <v>16307000</v>
      </c>
      <c r="O182" s="260" t="e">
        <f t="shared" si="34"/>
        <v>#REF!</v>
      </c>
      <c r="P182" s="261" t="e">
        <f t="shared" si="38"/>
        <v>#REF!</v>
      </c>
      <c r="Q182" s="262"/>
      <c r="R182" s="263" t="e">
        <f t="shared" si="32"/>
        <v>#REF!</v>
      </c>
      <c r="S182" s="263"/>
      <c r="T182" s="263"/>
      <c r="U182" s="264"/>
      <c r="W182" s="265" t="e">
        <f t="shared" si="35"/>
        <v>#REF!</v>
      </c>
    </row>
    <row r="183" spans="1:24" x14ac:dyDescent="0.2">
      <c r="A183" s="250"/>
      <c r="B183" s="281">
        <v>27</v>
      </c>
      <c r="C183" s="282">
        <v>15</v>
      </c>
      <c r="D183" s="282"/>
      <c r="E183" s="283" t="s">
        <v>0</v>
      </c>
      <c r="F183" s="282">
        <v>999</v>
      </c>
      <c r="G183" s="284">
        <v>14080000</v>
      </c>
      <c r="H183" s="255">
        <f t="shared" si="27"/>
        <v>14094.094094094095</v>
      </c>
      <c r="I183" s="255">
        <f t="shared" si="33"/>
        <v>16094499.999999998</v>
      </c>
      <c r="J183" s="257" t="s">
        <v>228</v>
      </c>
      <c r="K183" s="258" t="e">
        <f>+#REF!-5%</f>
        <v>#REF!</v>
      </c>
      <c r="L183" s="259">
        <f t="shared" si="36"/>
        <v>15444499.999999998</v>
      </c>
      <c r="M183" s="259">
        <f t="shared" si="37"/>
        <v>15459.959959959959</v>
      </c>
      <c r="N183" s="259">
        <f t="shared" si="28"/>
        <v>15444499.999999998</v>
      </c>
      <c r="O183" s="260" t="e">
        <f t="shared" si="34"/>
        <v>#REF!</v>
      </c>
      <c r="P183" s="261" t="e">
        <f t="shared" si="38"/>
        <v>#REF!</v>
      </c>
      <c r="Q183" s="262"/>
      <c r="R183" s="263" t="e">
        <f t="shared" si="32"/>
        <v>#REF!</v>
      </c>
      <c r="S183" s="263"/>
      <c r="T183" s="263"/>
      <c r="U183" s="264"/>
      <c r="W183" s="265" t="e">
        <f t="shared" si="35"/>
        <v>#REF!</v>
      </c>
    </row>
    <row r="184" spans="1:24" ht="16" thickBot="1" x14ac:dyDescent="0.25">
      <c r="A184" s="250"/>
      <c r="B184" s="285">
        <v>27</v>
      </c>
      <c r="C184" s="289">
        <v>16</v>
      </c>
      <c r="D184" s="289"/>
      <c r="E184" s="287" t="s">
        <v>0</v>
      </c>
      <c r="F184" s="286">
        <v>999</v>
      </c>
      <c r="G184" s="288">
        <v>14830000</v>
      </c>
      <c r="H184" s="255">
        <f t="shared" si="27"/>
        <v>14844.844844844845</v>
      </c>
      <c r="I184" s="255">
        <f t="shared" si="33"/>
        <v>16957000</v>
      </c>
      <c r="J184" s="257" t="s">
        <v>228</v>
      </c>
      <c r="K184" s="258" t="e">
        <f>+#REF!-5%</f>
        <v>#REF!</v>
      </c>
      <c r="L184" s="259">
        <f t="shared" si="36"/>
        <v>16307000</v>
      </c>
      <c r="M184" s="259">
        <f t="shared" si="37"/>
        <v>16323.323323323324</v>
      </c>
      <c r="N184" s="259">
        <f t="shared" si="28"/>
        <v>16307000</v>
      </c>
      <c r="O184" s="260" t="e">
        <f t="shared" si="34"/>
        <v>#REF!</v>
      </c>
      <c r="P184" s="261" t="e">
        <f t="shared" si="38"/>
        <v>#REF!</v>
      </c>
      <c r="Q184" s="262"/>
      <c r="R184" s="263" t="e">
        <f t="shared" si="32"/>
        <v>#REF!</v>
      </c>
      <c r="S184" s="263"/>
      <c r="T184" s="263"/>
      <c r="U184" s="264"/>
      <c r="W184" s="265" t="e">
        <f t="shared" si="35"/>
        <v>#REF!</v>
      </c>
    </row>
    <row r="185" spans="1:24" x14ac:dyDescent="0.2">
      <c r="A185" s="250"/>
      <c r="H185" s="255"/>
      <c r="K185" s="290"/>
      <c r="L185" s="221" t="s">
        <v>230</v>
      </c>
      <c r="O185" s="221" t="s">
        <v>231</v>
      </c>
      <c r="Q185" s="291" t="s">
        <v>232</v>
      </c>
      <c r="R185" s="290"/>
      <c r="S185" s="290"/>
      <c r="T185" s="290"/>
      <c r="U185" s="292"/>
    </row>
    <row r="186" spans="1:24" x14ac:dyDescent="0.2">
      <c r="B186" s="228" t="s">
        <v>96</v>
      </c>
      <c r="C186" s="293">
        <f>+SUM(C188:C189)</f>
        <v>175</v>
      </c>
      <c r="D186" s="293"/>
      <c r="F186" s="294">
        <f>+SUM(F9:F185)</f>
        <v>122641</v>
      </c>
      <c r="G186" s="295">
        <f>+SUM(G10:G184)</f>
        <v>1880370000</v>
      </c>
      <c r="H186" s="259">
        <f>+SUM(H9:H184)</f>
        <v>2791656.2413492501</v>
      </c>
      <c r="I186" s="296">
        <f>+(((G186-(185*650000))*1.15)+(185*650000))</f>
        <v>2144387999.9999998</v>
      </c>
      <c r="J186" s="257"/>
      <c r="K186" s="290"/>
      <c r="L186" s="297">
        <f>+SUM(L10:L184)</f>
        <v>2031613000</v>
      </c>
      <c r="M186" s="297"/>
      <c r="N186" s="290"/>
      <c r="O186" s="297" t="e">
        <f>+SUM(O10:O184)</f>
        <v>#REF!</v>
      </c>
      <c r="P186" s="298"/>
      <c r="Q186" s="291" t="s">
        <v>233</v>
      </c>
      <c r="R186" s="297" t="e">
        <f>+SUM(R10:R184)</f>
        <v>#REF!</v>
      </c>
      <c r="S186" s="297"/>
      <c r="T186" s="297"/>
      <c r="U186" s="299"/>
      <c r="V186" s="298"/>
      <c r="W186" s="297" t="e">
        <f>+SUM(W10:W184)</f>
        <v>#REF!</v>
      </c>
      <c r="X186" s="300"/>
    </row>
    <row r="187" spans="1:24" x14ac:dyDescent="0.2">
      <c r="B187" s="228"/>
      <c r="C187" s="293"/>
      <c r="D187" s="293"/>
      <c r="F187" s="294"/>
      <c r="G187" s="295"/>
      <c r="H187" s="259"/>
      <c r="I187" s="296"/>
      <c r="J187" s="257"/>
      <c r="K187" s="291"/>
      <c r="L187" s="301">
        <f>+(L186/1.12)</f>
        <v>1813940178.5714283</v>
      </c>
      <c r="M187" s="301"/>
      <c r="N187" s="290"/>
      <c r="O187" s="259"/>
      <c r="P187" s="302"/>
      <c r="Q187" s="303" t="s">
        <v>234</v>
      </c>
      <c r="R187" s="301" t="e">
        <f>+(R186/1.12)</f>
        <v>#REF!</v>
      </c>
      <c r="S187" s="301"/>
      <c r="T187" s="301"/>
      <c r="U187" s="304"/>
      <c r="V187" s="298"/>
      <c r="W187" s="301" t="e">
        <f>+(W186/1.12)</f>
        <v>#REF!</v>
      </c>
      <c r="X187" s="300"/>
    </row>
    <row r="188" spans="1:24" x14ac:dyDescent="0.2">
      <c r="B188" s="305" t="s">
        <v>235</v>
      </c>
      <c r="C188" s="306">
        <f>+COUNTIF($E$10:$E$184,"Orchard")</f>
        <v>65</v>
      </c>
      <c r="D188" s="306"/>
      <c r="E188" s="305" t="s">
        <v>235</v>
      </c>
      <c r="F188" s="307">
        <f>+SUMIF($E$10:$E$184,"Orchard",$F$10:$F$184)</f>
        <v>62024</v>
      </c>
      <c r="G188" s="307">
        <f>+SUMIF($E$10:$E$184,"Orchard",$G$10:$G$184)</f>
        <v>813070000</v>
      </c>
      <c r="H188" s="307"/>
      <c r="I188" s="307">
        <f>+SUMIF($E$10:$E$184,"Orchard",$I$10:$I$184)</f>
        <v>928692999.99999988</v>
      </c>
      <c r="J188" s="308"/>
      <c r="K188" s="290"/>
      <c r="L188" s="307">
        <f>+SUMIF($E$10:$E$184,"Orchard",$L$10:$L$184)</f>
        <v>886443000</v>
      </c>
      <c r="M188" s="307"/>
      <c r="N188" s="290"/>
      <c r="O188" s="307" t="e">
        <f>+SUMIF($E$10:$E$184,"Orchard",$O$10:$O$184)</f>
        <v>#REF!</v>
      </c>
      <c r="P188" s="290"/>
      <c r="Q188" s="291"/>
      <c r="R188" s="307" t="e">
        <f>+SUMIF($E$10:$E$184,"Orchard",$R$10:$R$184)</f>
        <v>#REF!</v>
      </c>
      <c r="S188" s="307"/>
      <c r="T188" s="307"/>
      <c r="U188" s="309"/>
      <c r="V188" s="290"/>
      <c r="W188" s="307" t="e">
        <f>+SUMIF($E$10:$E$184,"Orchard",$W$10:$W$184)</f>
        <v>#REF!</v>
      </c>
      <c r="X188" s="290"/>
    </row>
    <row r="189" spans="1:24" s="317" customFormat="1" x14ac:dyDescent="0.2">
      <c r="A189" s="310"/>
      <c r="B189" s="310" t="s">
        <v>236</v>
      </c>
      <c r="C189" s="311">
        <f>+COUNTIF($E$10:$E$184,"gARDEN")</f>
        <v>110</v>
      </c>
      <c r="D189" s="311"/>
      <c r="E189" s="310" t="s">
        <v>236</v>
      </c>
      <c r="F189" s="312">
        <f>+SUMIF($E$10:$E$184,"Garden",$F$10:$F$184)</f>
        <v>60617</v>
      </c>
      <c r="G189" s="312">
        <f>+SUMIF($E$10:$E$184,"Garden",$G$10:$G$184)</f>
        <v>1067300000</v>
      </c>
      <c r="H189" s="312"/>
      <c r="I189" s="312">
        <f>+SUMIF($E$10:$E$184,"gARDEN",$I$10:$I$184)</f>
        <v>1216670000</v>
      </c>
      <c r="J189" s="313"/>
      <c r="K189" s="314"/>
      <c r="L189" s="312">
        <f>+SUMIF($E$10:$E$184,"Garden",$L$10:$L$184)</f>
        <v>1145170000</v>
      </c>
      <c r="M189" s="312"/>
      <c r="N189" s="314"/>
      <c r="O189" s="312">
        <f>+SUMIF($E$10:$E$184,"Garden",$O$10:$O$184)</f>
        <v>1030653000</v>
      </c>
      <c r="P189" s="314"/>
      <c r="Q189" s="315"/>
      <c r="R189" s="312">
        <f>+SUMIF($E$10:$E$184,"Garden",$R$10:$R$184)</f>
        <v>1026863658</v>
      </c>
      <c r="S189" s="312"/>
      <c r="T189" s="312"/>
      <c r="U189" s="316"/>
      <c r="V189" s="314"/>
      <c r="W189" s="312">
        <f>+SUMIF($E$10:$E$184,"Garden",$W$10:$W$184)</f>
        <v>1023621483.24</v>
      </c>
    </row>
    <row r="190" spans="1:24" s="290" customFormat="1" ht="15" customHeight="1" thickBot="1" x14ac:dyDescent="0.25">
      <c r="A190" s="318">
        <v>46569</v>
      </c>
      <c r="B190" s="319" t="s">
        <v>237</v>
      </c>
      <c r="C190" s="320"/>
      <c r="D190" s="320"/>
      <c r="E190" s="320"/>
      <c r="F190" s="263">
        <f>SUBTOTAL(109,F10:F176)</f>
        <v>115281</v>
      </c>
      <c r="G190" s="320"/>
      <c r="H190" s="320"/>
      <c r="I190" s="320"/>
      <c r="J190" s="320"/>
      <c r="K190" s="321"/>
      <c r="N190" s="322" t="s">
        <v>238</v>
      </c>
      <c r="O190" s="323"/>
      <c r="P190" s="323"/>
      <c r="Q190" s="324"/>
      <c r="R190" s="325"/>
      <c r="S190" s="325"/>
      <c r="T190" s="325"/>
      <c r="U190" s="326"/>
      <c r="V190" s="323" t="s">
        <v>239</v>
      </c>
      <c r="W190" s="307"/>
      <c r="X190" s="221" t="s">
        <v>240</v>
      </c>
    </row>
    <row r="191" spans="1:24" ht="15" customHeight="1" x14ac:dyDescent="0.2">
      <c r="B191" s="305" t="s">
        <v>235</v>
      </c>
      <c r="C191" s="327">
        <f>+COUNTIFS($E$10:$E$184,"Orchard",$J$10:$J$184,"unsold")</f>
        <v>45</v>
      </c>
      <c r="D191" s="327"/>
      <c r="E191" s="305" t="s">
        <v>235</v>
      </c>
      <c r="F191" s="327">
        <f>+SUMIFS($F$10:$F$184,$E$10:$E$184,"Orchard",$J$10:$J$184,"unsold")</f>
        <v>42713</v>
      </c>
      <c r="G191" s="327">
        <f>+SUMIFS($G$10:$G$184,$E$10:$E$184,"Orchard",$J$10:$J$184,"unsold")</f>
        <v>550510000</v>
      </c>
      <c r="H191" s="328"/>
      <c r="I191" s="327">
        <f>+SUMIFS($I$10:$I$184,$E$10:$E$184,"Orchard",$J$10:$J$184,"unsold")</f>
        <v>628699000</v>
      </c>
      <c r="J191" s="328"/>
      <c r="L191" s="327">
        <f>+SUMIFS($L$10:$L$184,$E$10:$E$184,"Orchard",$J$10:$J$184,"unsold")</f>
        <v>599449000</v>
      </c>
      <c r="M191" s="327">
        <f t="array" ref="M191">+SUMIFS($M$10:$M$184,$E$10:$E$184,"Orchard",$J$10:$J$184,"unsold")</f>
        <v>631124.73659013165</v>
      </c>
      <c r="O191" s="327" t="e">
        <f>+SUMIFS($O$10:$O$184,$E$10:$E$184,"Orchard",$J$10:$J$184,"unsold")</f>
        <v>#REF!</v>
      </c>
      <c r="Q191" s="291"/>
      <c r="R191" s="329" t="e">
        <f>+SUMIFS($R$10:$R$184,$E$10:$E$184,"Orchard",$J$10:$J$184,"unsold")</f>
        <v>#REF!</v>
      </c>
      <c r="S191" s="330">
        <f>+SUMIFS($R$10:$R$184,$E$10:$E$184,"Orchard",$S$10:$S$184,"sold")</f>
        <v>188961203.49999997</v>
      </c>
      <c r="T191" s="327">
        <f>+SUMIFS($F$10:$F$184,$E$10:$E$184,"Orchard",$S$10:$S$184,"sold")</f>
        <v>14477</v>
      </c>
      <c r="U191" s="331" t="e">
        <f>+SUMIFS(#REF!,$E$10:$E$184,"Orchard",$S$10:$S$184,"Sold")</f>
        <v>#REF!</v>
      </c>
      <c r="V191" s="327">
        <f>+COUNTIFS($E$10:$E$184,"Orchard",$S$10:$S$184,"sold")</f>
        <v>14</v>
      </c>
      <c r="W191" s="327" t="e">
        <f>+SUMIFS($W$10:$W$184,$E$10:$E$184,"Orchard",$J$10:$J$184,"unsold")</f>
        <v>#REF!</v>
      </c>
    </row>
    <row r="192" spans="1:24" ht="15" customHeight="1" thickBot="1" x14ac:dyDescent="0.25">
      <c r="B192" s="224" t="s">
        <v>236</v>
      </c>
      <c r="C192" s="327">
        <f>+COUNTIFS($E$10:$E$184,"Garden",$J$10:$J$184,"unsold")</f>
        <v>102</v>
      </c>
      <c r="D192" s="327"/>
      <c r="E192" s="224" t="s">
        <v>236</v>
      </c>
      <c r="F192" s="327">
        <f>+SUMIFS($F$10:$F$184,$E$10:$E$184,"gARDEN",$J$10:$J$184,"unsold")</f>
        <v>56834</v>
      </c>
      <c r="G192" s="327">
        <f>+SUMIFS($G$10:$G$184,$E$10:$E$184,"Garden",$J$10:$J$184,"unsold")</f>
        <v>999060000</v>
      </c>
      <c r="H192" s="328"/>
      <c r="I192" s="327">
        <f>+SUMIFS($I$10:$I$184,$E$10:$E$184,"Garden",$J$10:$J$184,"unsold")</f>
        <v>1138974000</v>
      </c>
      <c r="J192" s="328"/>
      <c r="L192" s="327">
        <f>+SUMIFS($L$10:$L$184,$E$10:$E$184,"Garden",$J$10:$J$184,"unsold")</f>
        <v>1072674000</v>
      </c>
      <c r="M192" s="327">
        <f t="array" ref="M192">+SUMIFS($M$10:$M$184,$E$10:$E$184,"Garden",$J$10:$J$184,"unsold")</f>
        <v>1926735.2735119266</v>
      </c>
      <c r="O192" s="327">
        <f>+SUMIFS($O$10:$O$184,$E$10:$E$184,"Garden",$J$10:$J$184,"unsold")</f>
        <v>965406600</v>
      </c>
      <c r="P192" s="221" t="s">
        <v>241</v>
      </c>
      <c r="Q192" s="291"/>
      <c r="R192" s="332">
        <f>+SUMIFS($R$10:$R$184,$E$10:$E$184,"Garden",$J$10:$J$184,"unsold")</f>
        <v>961617258</v>
      </c>
      <c r="S192" s="331">
        <f>+SUMIFS($R$10:$R$184,$E$10:$E$184,"Garden",$S$10:$S$184,"sold")</f>
        <v>92424258</v>
      </c>
      <c r="T192" s="327">
        <f>+SUMIFS($F$10:$F$184,$E$10:$E$184,"Garden",$S$10:$S$184,"sold")</f>
        <v>5844</v>
      </c>
      <c r="U192" s="331" t="e">
        <f>+SUMIFS(#REF!,$E$10:$E$184,"Garden",$S$10:$S$184,"Sold")</f>
        <v>#REF!</v>
      </c>
      <c r="V192" s="327">
        <f>+COUNTIFS($E$10:$E$184,"garden",$S$10:$S$184,"sold")</f>
        <v>11</v>
      </c>
      <c r="W192" s="327">
        <f>+SUMIFS($W$10:$W$184,$E$10:$E$184,"Garden",$J$10:$J$184,"unsold")</f>
        <v>958375083.24000001</v>
      </c>
    </row>
    <row r="193" spans="1:24" ht="15" customHeight="1" thickBot="1" x14ac:dyDescent="0.25">
      <c r="B193" s="328"/>
      <c r="C193" s="333">
        <f>+SUM(C191:C192)</f>
        <v>147</v>
      </c>
      <c r="D193" s="333"/>
      <c r="E193" s="328"/>
      <c r="F193" s="334">
        <f>+SUM(F191:F192)</f>
        <v>99547</v>
      </c>
      <c r="G193" s="334">
        <f>+SUM(G191:G192)</f>
        <v>1549570000</v>
      </c>
      <c r="H193" s="328"/>
      <c r="I193" s="334">
        <f>+SUM(I191:I192)</f>
        <v>1767673000</v>
      </c>
      <c r="J193" s="328"/>
      <c r="K193" s="321"/>
      <c r="L193" s="335">
        <f>+SUM(L191:L192)</f>
        <v>1672123000</v>
      </c>
      <c r="M193" s="335">
        <f>+SUM(M191:M192)</f>
        <v>2557860.0101020583</v>
      </c>
      <c r="N193" s="298" t="e">
        <f>+(L193-#REF!)/#REF!</f>
        <v>#REF!</v>
      </c>
      <c r="O193" s="336" t="e">
        <f>+SUM(O191:O192)</f>
        <v>#REF!</v>
      </c>
      <c r="P193" s="337" t="e">
        <f>+(O193-L193)/O193</f>
        <v>#REF!</v>
      </c>
      <c r="Q193" s="338" t="e">
        <f>+(O193-#REF!)/#REF!</f>
        <v>#REF!</v>
      </c>
      <c r="R193" s="339" t="e">
        <f>+SUM(R191:R192)</f>
        <v>#REF!</v>
      </c>
      <c r="S193" s="340">
        <f>+SUM(S191:S192)</f>
        <v>281385461.5</v>
      </c>
      <c r="T193" s="341">
        <f>+SUM(T191:T192)</f>
        <v>20321</v>
      </c>
      <c r="U193" s="340" t="e">
        <f>+SUM(U191:U192)</f>
        <v>#REF!</v>
      </c>
      <c r="V193" s="342" t="e">
        <f>+(R193-#REF!)/#REF!</f>
        <v>#REF!</v>
      </c>
      <c r="W193" s="343" t="e">
        <f>+SUM(W191:W192)</f>
        <v>#REF!</v>
      </c>
      <c r="X193" s="344" t="e">
        <f>+(W193-#REF!)/#REF!</f>
        <v>#REF!</v>
      </c>
    </row>
    <row r="194" spans="1:24" ht="15" customHeight="1" x14ac:dyDescent="0.2">
      <c r="B194" s="328"/>
      <c r="C194" s="328"/>
      <c r="D194" s="328"/>
      <c r="E194" s="328"/>
      <c r="F194" s="345"/>
      <c r="G194" s="307">
        <f>+((G191-(C191*650000))/1.12)+(C191*650000)</f>
        <v>494660714.28571427</v>
      </c>
      <c r="H194" s="328"/>
      <c r="I194" s="328"/>
      <c r="J194" s="328"/>
      <c r="K194" s="321"/>
      <c r="L194" s="346">
        <f>+L193/1.12</f>
        <v>1492966964.2857141</v>
      </c>
      <c r="M194" s="346"/>
      <c r="N194" s="323"/>
      <c r="O194" s="346" t="e">
        <f>+O193/1.12</f>
        <v>#REF!</v>
      </c>
      <c r="P194" s="323"/>
      <c r="Q194" s="324"/>
      <c r="R194" s="347" t="e">
        <f>+R193/1.12</f>
        <v>#REF!</v>
      </c>
      <c r="S194" s="348">
        <f>+S193/1.12</f>
        <v>251237019.19642854</v>
      </c>
      <c r="T194" s="349"/>
      <c r="U194" s="348"/>
      <c r="V194" s="323"/>
      <c r="W194" s="346" t="e">
        <f>+W193/1.12</f>
        <v>#REF!</v>
      </c>
    </row>
    <row r="195" spans="1:24" ht="15" customHeight="1" x14ac:dyDescent="0.2">
      <c r="B195" s="328"/>
      <c r="C195" s="328"/>
      <c r="D195" s="328"/>
      <c r="E195" s="328"/>
      <c r="F195" s="345"/>
      <c r="G195" s="307">
        <f>+((G192-(C192*650000))/1.12)+(C192*650000)</f>
        <v>899121428.57142854</v>
      </c>
      <c r="H195" s="328"/>
      <c r="I195" s="328"/>
      <c r="J195" s="328"/>
      <c r="K195" s="321"/>
      <c r="L195" s="307"/>
      <c r="M195" s="307"/>
      <c r="N195" s="323"/>
      <c r="O195" s="323"/>
      <c r="P195" s="323"/>
      <c r="Q195" s="324"/>
      <c r="R195" s="350"/>
      <c r="S195" s="351" t="e">
        <f>+R194-S194</f>
        <v>#REF!</v>
      </c>
      <c r="T195" s="352" t="s">
        <v>237</v>
      </c>
      <c r="U195" s="351"/>
      <c r="V195" s="323"/>
      <c r="W195" s="307"/>
    </row>
    <row r="196" spans="1:24" ht="15" customHeight="1" thickBot="1" x14ac:dyDescent="0.25">
      <c r="B196" s="328"/>
      <c r="C196" s="328"/>
      <c r="D196" s="328"/>
      <c r="E196" s="353" t="s">
        <v>242</v>
      </c>
      <c r="F196" s="354" t="s">
        <v>243</v>
      </c>
      <c r="G196" s="355">
        <f>+((G193-(C193*650000))/1.12)+(C193*650000)</f>
        <v>1393782142.8571427</v>
      </c>
      <c r="H196" s="328"/>
      <c r="I196" s="328"/>
      <c r="J196" s="328"/>
      <c r="K196" s="321"/>
      <c r="L196" s="356"/>
      <c r="M196" s="356"/>
      <c r="N196" s="323"/>
      <c r="O196" s="323"/>
      <c r="P196" s="323"/>
      <c r="Q196" s="324"/>
      <c r="R196" s="357"/>
      <c r="S196" s="358"/>
      <c r="T196" s="325"/>
      <c r="U196" s="326"/>
      <c r="V196" s="323"/>
      <c r="W196" s="356"/>
    </row>
    <row r="197" spans="1:24" ht="15" customHeight="1" thickBot="1" x14ac:dyDescent="0.25">
      <c r="B197" s="328"/>
      <c r="C197" s="328"/>
      <c r="D197" s="328"/>
      <c r="E197" s="328"/>
      <c r="F197" s="345"/>
      <c r="G197" s="328" t="s">
        <v>244</v>
      </c>
      <c r="H197" s="328"/>
      <c r="I197" s="328"/>
      <c r="J197" s="328"/>
      <c r="K197" s="321"/>
      <c r="L197" s="356"/>
      <c r="M197" s="356"/>
      <c r="N197" s="359" t="s">
        <v>229</v>
      </c>
      <c r="O197" s="323"/>
      <c r="P197" s="323"/>
      <c r="Q197" s="360"/>
      <c r="R197" s="361"/>
      <c r="S197" s="361"/>
      <c r="T197" s="361"/>
      <c r="U197" s="358"/>
      <c r="V197" s="323"/>
      <c r="W197" s="359" t="s">
        <v>229</v>
      </c>
    </row>
    <row r="198" spans="1:24" ht="16" x14ac:dyDescent="0.2">
      <c r="A198" s="362"/>
      <c r="B198" s="328"/>
      <c r="C198" s="355"/>
      <c r="D198" s="355"/>
      <c r="E198" s="363" t="s">
        <v>15</v>
      </c>
      <c r="F198" s="363" t="s">
        <v>16</v>
      </c>
      <c r="I198" s="363"/>
      <c r="J198" s="363"/>
      <c r="K198" s="290"/>
      <c r="L198" s="363" t="s">
        <v>15</v>
      </c>
      <c r="M198" s="363"/>
      <c r="N198" s="363" t="s">
        <v>16</v>
      </c>
      <c r="P198" s="363" t="s">
        <v>15</v>
      </c>
      <c r="Q198" s="363" t="s">
        <v>16</v>
      </c>
      <c r="R198" s="363"/>
      <c r="S198" s="363"/>
      <c r="T198" s="363"/>
      <c r="U198" s="363"/>
      <c r="V198" s="363" t="s">
        <v>15</v>
      </c>
      <c r="W198" s="363" t="s">
        <v>16</v>
      </c>
    </row>
    <row r="199" spans="1:24" ht="16" x14ac:dyDescent="0.2">
      <c r="A199" s="362"/>
      <c r="B199" s="328"/>
      <c r="C199" s="328" t="s">
        <v>245</v>
      </c>
      <c r="D199" s="328"/>
      <c r="E199" s="364">
        <f t="array" ref="E199">MIN(IF($E$10:$E$184="Orchard",$F$10:$F$184))</f>
        <v>739</v>
      </c>
      <c r="F199" s="364">
        <f t="array" ref="F199">MIN(IF($E$10:F184="Garden",$F$10:$F$184))</f>
        <v>450</v>
      </c>
      <c r="I199" s="224"/>
      <c r="J199" s="224"/>
      <c r="K199" s="328" t="s">
        <v>245</v>
      </c>
      <c r="L199" s="364">
        <f t="array" ref="L199">MIN(IF($E$10:$E$184="Orchard",IF($J$10:$J$184="unsold",$F$10:$F$184)))</f>
        <v>739</v>
      </c>
      <c r="M199" s="364"/>
      <c r="N199" s="364">
        <f t="array" ref="N199">MIN(IF($E$10:$E$184="Garden",IF($J$10:$J$184="unsold",$F$10:$F$184)))</f>
        <v>450</v>
      </c>
    </row>
    <row r="200" spans="1:24" ht="16" x14ac:dyDescent="0.2">
      <c r="A200" s="362"/>
      <c r="B200" s="328"/>
      <c r="C200" s="328" t="s">
        <v>246</v>
      </c>
      <c r="D200" s="328"/>
      <c r="E200" s="364">
        <f t="array" ref="E200">MAX(IF($E$10:E184="Orchard",$F$10:$F$184))</f>
        <v>1945</v>
      </c>
      <c r="F200" s="364">
        <f t="array" ref="F200">MAX(IF($E$10:F184="Garden",$F$10:$F$184))</f>
        <v>602</v>
      </c>
      <c r="I200" s="224"/>
      <c r="J200" s="224"/>
      <c r="K200" s="328" t="s">
        <v>246</v>
      </c>
      <c r="L200" s="364">
        <f t="array" ref="L200">MAX(IF($E$10:$E$184="Orchard",IF($J$10:$J$184="unsold",$F$10:$F$184)))</f>
        <v>1945</v>
      </c>
      <c r="M200" s="364"/>
      <c r="N200" s="364">
        <f t="array" ref="N200">MAX(IF($E$10:$E$184="Garden",IF($J$10:$J$184="unsold",$F$10:$F$184)))</f>
        <v>602</v>
      </c>
    </row>
    <row r="201" spans="1:24" ht="16" x14ac:dyDescent="0.2">
      <c r="A201" s="362"/>
      <c r="B201" s="328"/>
      <c r="C201" s="328" t="s">
        <v>247</v>
      </c>
      <c r="D201" s="328"/>
      <c r="E201" s="365">
        <f t="array" ref="E201">AVERAGEIF($E$10:$E$184,"Orchard",$F$10:$F$184)</f>
        <v>954.21538461538466</v>
      </c>
      <c r="F201" s="365">
        <f t="array" ref="F201">AVERAGEIF($E$10:$E$184,"Garden",$F$10:$F$184)</f>
        <v>551.06363636363642</v>
      </c>
      <c r="G201" s="224"/>
      <c r="H201" s="224"/>
      <c r="I201" s="366" t="s">
        <v>229</v>
      </c>
      <c r="J201" s="224"/>
      <c r="K201" s="328" t="s">
        <v>247</v>
      </c>
      <c r="L201" s="364">
        <f t="array" ref="L201">AVERAGE(IF($E$10:$E$184="Orchard",IF($J$10:$J$184="unsold",$F$10:$F$184)))</f>
        <v>949.17777777777781</v>
      </c>
      <c r="M201" s="364"/>
      <c r="N201" s="364">
        <f t="array" ref="N201">AVERAGE(IF($E$10:$E$184="Garden",IF($J$10:$J$184="unsold",$F$10:$F$184)))</f>
        <v>557.1960784313726</v>
      </c>
    </row>
    <row r="202" spans="1:24" ht="16" x14ac:dyDescent="0.2">
      <c r="A202" s="362"/>
      <c r="B202" s="328"/>
      <c r="C202" s="328" t="s">
        <v>248</v>
      </c>
      <c r="D202" s="328"/>
      <c r="E202" s="365">
        <f>+G186/H186</f>
        <v>673.56788853458136</v>
      </c>
      <c r="F202" s="365"/>
      <c r="G202" s="224"/>
      <c r="H202" s="224"/>
      <c r="I202" s="363" t="s">
        <v>15</v>
      </c>
      <c r="J202" s="363" t="s">
        <v>16</v>
      </c>
      <c r="K202" s="328" t="s">
        <v>248</v>
      </c>
      <c r="L202" s="265">
        <f>+L193/M193</f>
        <v>653.7195129507038</v>
      </c>
    </row>
    <row r="203" spans="1:24" x14ac:dyDescent="0.2">
      <c r="A203" s="362"/>
      <c r="B203" s="328"/>
      <c r="C203" s="367" t="s">
        <v>249</v>
      </c>
      <c r="D203" s="367"/>
      <c r="E203" s="328"/>
      <c r="F203" s="328"/>
      <c r="G203" s="328"/>
      <c r="H203" s="328"/>
      <c r="I203" s="367" t="s">
        <v>250</v>
      </c>
      <c r="L203" s="367" t="s">
        <v>251</v>
      </c>
      <c r="M203" s="367"/>
      <c r="V203" s="367" t="s">
        <v>252</v>
      </c>
    </row>
    <row r="204" spans="1:24" ht="16" x14ac:dyDescent="0.2">
      <c r="A204" s="362"/>
      <c r="B204" s="328"/>
      <c r="C204" s="328" t="s">
        <v>245</v>
      </c>
      <c r="D204" s="328"/>
      <c r="E204" s="368">
        <f t="array" ref="E204">MIN(IF($E$10:$E$184="Orchard",$G$10:$G$184))-650000</f>
        <v>8070000</v>
      </c>
      <c r="F204" s="368">
        <f t="array" ref="F204">MIN(IF($E$10:$E$184="Garden",$G$10:$G$184))-650000</f>
        <v>6580000</v>
      </c>
      <c r="G204" s="328"/>
      <c r="H204" s="328"/>
      <c r="I204" s="368" t="e">
        <f t="array" ref="I204">MIN(IF($E$10:$E$184="Orchard",IF($J$10:$J$184="unsold",#REF!)))</f>
        <v>#REF!</v>
      </c>
      <c r="J204" s="368" t="e">
        <f t="array" ref="J204">MIN(IF($E$10:$E$184="Garden",IF($J$10:$J$184="unsold",#REF!)))</f>
        <v>#REF!</v>
      </c>
      <c r="K204" s="369" t="s">
        <v>245</v>
      </c>
      <c r="L204" s="368">
        <f t="array" ref="L204">MIN(IF($E$10:$E$184="Orchard",IF($J$10:$J$184="unsold",$L$10:$L$184)))</f>
        <v>9280500</v>
      </c>
      <c r="M204" s="368"/>
      <c r="N204" s="368">
        <f t="array" ref="N204">MIN(IF($E$10:$E$184="Garden",IF($J$10:$J$184="unsold",$L$10:$L$184)))</f>
        <v>8061500</v>
      </c>
      <c r="O204" s="369" t="s">
        <v>245</v>
      </c>
      <c r="P204" s="368" t="e">
        <f t="array" ref="P204">MIN(IF($E$10:$E$184="Orchard",IF($J$10:$J$184="unsold",$O$10:$O$184)))</f>
        <v>#REF!</v>
      </c>
      <c r="Q204" s="368">
        <f t="array" ref="Q204">MIN(IF($E$10:$E$184="Garden",IF($J$10:$J$184="unsold",$O$10:$O$184)))</f>
        <v>7255350</v>
      </c>
      <c r="R204" s="369" t="s">
        <v>245</v>
      </c>
      <c r="S204" s="369"/>
      <c r="T204" s="369"/>
      <c r="U204" s="369"/>
      <c r="V204" s="368" t="e">
        <f t="array" ref="V204">MIN(IF($E$10:$E$184="Orchard",IF($J$10:$J$184="unsold",$W$10:$W$184)))</f>
        <v>#REF!</v>
      </c>
      <c r="W204" s="368">
        <f t="array" ref="W204">MIN(IF($E$10:$E$184="Garden",IF($J$10:$J$184="unsold",$W$10:$W$184)))</f>
        <v>5947855.2000000002</v>
      </c>
    </row>
    <row r="205" spans="1:24" ht="16" x14ac:dyDescent="0.2">
      <c r="A205" s="362"/>
      <c r="B205" s="328"/>
      <c r="C205" s="328" t="s">
        <v>246</v>
      </c>
      <c r="D205" s="328"/>
      <c r="E205" s="368">
        <f t="array" ref="E205">MAX(IF($E$9:$E$185="Orchard",$G$9:$G$185))-650000</f>
        <v>22030000</v>
      </c>
      <c r="F205" s="368">
        <f t="array" ref="F205">MAX(IF($E$10:$E$184="Garden",$G$10:$G$184))-650000</f>
        <v>11010000</v>
      </c>
      <c r="G205" s="328"/>
      <c r="H205" s="328"/>
      <c r="I205" s="368" t="e">
        <f t="array" ref="I205">MAX(IF($E$10:$E$184="Orchard",IF($J$10:$J$184="unsold",#REF!)))</f>
        <v>#REF!</v>
      </c>
      <c r="J205" s="368" t="e">
        <f t="array" ref="J205">MAX(IF($E$10:$E$184="gARDEN",IF($J$10:$J$184="unsold",#REF!)))</f>
        <v>#REF!</v>
      </c>
      <c r="K205" s="369" t="s">
        <v>246</v>
      </c>
      <c r="L205" s="368">
        <f t="array" ref="L205">MAX(IF($E$10:$E$184="Orchard",IF($J$10:$J$184="unsold",$L$10:$L$184)))</f>
        <v>25334499.999999996</v>
      </c>
      <c r="M205" s="368"/>
      <c r="N205" s="368">
        <f t="array" ref="N205">MAX(IF($E$10:$E$184="Garden",IF($J$10:$J$184="unsold",$L$10:$L$184)))</f>
        <v>12661499.999999998</v>
      </c>
      <c r="O205" s="369" t="s">
        <v>246</v>
      </c>
      <c r="P205" s="368" t="e">
        <f t="array" ref="P205">MAX(IF($E$10:$E$184="Orchard",IF($J$10:$J$184="unsold",$O$10:$O$184)))</f>
        <v>#REF!</v>
      </c>
      <c r="Q205" s="368">
        <f t="array" ref="Q205">MAX(IF($E$10:$E$184="Garden",IF($J$10:$J$184="unsold",$O$10:$O$184)))</f>
        <v>11395349.999999998</v>
      </c>
      <c r="R205" s="369" t="s">
        <v>246</v>
      </c>
      <c r="S205" s="369"/>
      <c r="T205" s="369"/>
      <c r="U205" s="369"/>
      <c r="V205" s="368" t="e">
        <f t="array" ref="V205">MAX(IF($E$10:$E$184="Orchard",IF($J$10:$J$184="unsold",$W$10:$W$184)))</f>
        <v>#REF!</v>
      </c>
      <c r="W205" s="368">
        <f t="array" ref="W205">MAX(IF($E$10:$E$184="Garden",IF($J$10:$J$184="unsold",$W$10:$W$184)))</f>
        <v>11395349.999999998</v>
      </c>
    </row>
    <row r="206" spans="1:24" ht="16" x14ac:dyDescent="0.2">
      <c r="A206" s="362"/>
      <c r="B206" s="328"/>
      <c r="C206" s="328" t="s">
        <v>247</v>
      </c>
      <c r="D206" s="328"/>
      <c r="E206" s="368">
        <f t="array" ref="E206">AVERAGEIF($E$10:$E$184,"Orchard",$G$10:$G$184)</f>
        <v>12508769.23076923</v>
      </c>
      <c r="F206" s="368">
        <f t="array" ref="F206">AVERAGEIF($E$10:$E$184,"gARDEN",$G$10:$G$184)</f>
        <v>9702727.2727272734</v>
      </c>
      <c r="G206" s="328"/>
      <c r="H206" s="328"/>
      <c r="I206" s="368" t="e">
        <f t="array" ref="I206">AVERAGE(IF($E$10:$E$184="Orchard",IF($J$10:$J$184="unsold",#REF!)))</f>
        <v>#REF!</v>
      </c>
      <c r="J206" s="368" t="e">
        <f t="array" ref="J206">AVERAGE(IF($E$10:$E$184="gARDEN",IF($J$10:$J$184="unsold",#REF!)))</f>
        <v>#REF!</v>
      </c>
      <c r="K206" s="369" t="s">
        <v>247</v>
      </c>
      <c r="L206" s="368">
        <f t="array" ref="L206">AVERAGE(IF($E$10:$E$184="Orchard",IF($J$10:$J$184="unsold",$L$10:$L$184)))</f>
        <v>13321088.888888888</v>
      </c>
      <c r="M206" s="368"/>
      <c r="N206" s="368">
        <f t="array" ref="N206">AVERAGE(IF($E$10:$E$184="Garden",IF($J$10:$J$184="unsold",$L$10:$L$184)))</f>
        <v>10516411.764705881</v>
      </c>
      <c r="O206" s="369" t="s">
        <v>247</v>
      </c>
      <c r="P206" s="368" t="e">
        <f t="array" ref="P206">AVERAGE(IF($E$10:$E$184="Orchard",IF($J$10:$J$184="unsold",$O$10:$O$184)))</f>
        <v>#REF!</v>
      </c>
      <c r="Q206" s="368">
        <f t="array" ref="Q206">AVERAGE(IF($E$10:$E$184="gARDEN",IF($J$10:$J$184="unsold",$O$10:$O$184)))</f>
        <v>9464770.5882352944</v>
      </c>
      <c r="R206" s="369" t="s">
        <v>247</v>
      </c>
      <c r="S206" s="369"/>
      <c r="T206" s="369"/>
      <c r="U206" s="369"/>
      <c r="V206" s="368" t="e">
        <f t="array" ref="V206">AVERAGE(IF($E$10:$E$184="Orchard",IF($J$10:$J$184="unsold",$W$10:$W$184)))</f>
        <v>#REF!</v>
      </c>
      <c r="W206" s="368">
        <f t="array" ref="W206">AVERAGE(IF($E$10:$E$184="Garden",IF($J$10:$J$184="unsold",$W$10:$W$184)))</f>
        <v>9395834.149411764</v>
      </c>
    </row>
    <row r="207" spans="1:24" ht="16" x14ac:dyDescent="0.2">
      <c r="A207" s="362"/>
      <c r="B207" s="328"/>
      <c r="C207" s="328" t="s">
        <v>248</v>
      </c>
      <c r="D207" s="328"/>
      <c r="E207" s="368">
        <f>+E212*E202</f>
        <v>10327352.602830788</v>
      </c>
      <c r="F207" s="368"/>
      <c r="G207" s="328"/>
      <c r="H207" s="328"/>
      <c r="I207" s="368" t="e">
        <f>+I212*L202</f>
        <v>#REF!</v>
      </c>
      <c r="K207" s="369" t="s">
        <v>248</v>
      </c>
      <c r="L207" s="368">
        <f>+L212*L202</f>
        <v>10980737.070465907</v>
      </c>
      <c r="M207" s="368"/>
      <c r="N207" s="368"/>
      <c r="O207" s="369" t="s">
        <v>248</v>
      </c>
      <c r="P207" s="368" t="e">
        <f>+P212*L202</f>
        <v>#REF!</v>
      </c>
      <c r="R207" s="369" t="s">
        <v>248</v>
      </c>
      <c r="S207" s="369"/>
      <c r="T207" s="369"/>
      <c r="U207" s="369"/>
      <c r="V207" s="368" t="e">
        <f>+V212*E202</f>
        <v>#REF!</v>
      </c>
      <c r="W207" s="368"/>
    </row>
    <row r="208" spans="1:24" x14ac:dyDescent="0.2">
      <c r="A208" s="362"/>
      <c r="B208" s="328"/>
      <c r="C208" s="367" t="s">
        <v>253</v>
      </c>
      <c r="D208" s="367"/>
      <c r="E208" s="328"/>
      <c r="F208" s="328"/>
      <c r="G208" s="328"/>
      <c r="H208" s="328"/>
      <c r="K208" s="290"/>
      <c r="O208" s="290"/>
      <c r="V208" s="265"/>
    </row>
    <row r="209" spans="1:23" ht="16" x14ac:dyDescent="0.2">
      <c r="A209" s="362"/>
      <c r="B209" s="328"/>
      <c r="C209" s="328" t="s">
        <v>245</v>
      </c>
      <c r="D209" s="328"/>
      <c r="E209" s="370">
        <f>+E204/E199</f>
        <v>10920.162381596752</v>
      </c>
      <c r="F209" s="370">
        <f>+F204/F199</f>
        <v>14622.222222222223</v>
      </c>
      <c r="G209" s="328"/>
      <c r="H209" s="328"/>
      <c r="I209" s="370" t="e">
        <f>+I204/L199</f>
        <v>#REF!</v>
      </c>
      <c r="J209" s="370" t="e">
        <f>+J204/N199</f>
        <v>#REF!</v>
      </c>
      <c r="K209" s="369" t="s">
        <v>245</v>
      </c>
      <c r="L209" s="370">
        <f>+L204/L199</f>
        <v>12558.186738836264</v>
      </c>
      <c r="M209" s="370"/>
      <c r="N209" s="370">
        <f>+N204/N199</f>
        <v>17914.444444444445</v>
      </c>
      <c r="O209" s="369" t="s">
        <v>245</v>
      </c>
      <c r="P209" s="370" t="e">
        <f>+P204/L199</f>
        <v>#REF!</v>
      </c>
      <c r="Q209" s="370">
        <f>+Q204/N199</f>
        <v>16123</v>
      </c>
      <c r="R209" s="369" t="s">
        <v>245</v>
      </c>
      <c r="S209" s="369"/>
      <c r="T209" s="369"/>
      <c r="U209" s="369"/>
      <c r="V209" s="370" t="e">
        <f>+V204/L199</f>
        <v>#REF!</v>
      </c>
      <c r="W209" s="370">
        <f>+W204/N199</f>
        <v>13217.456</v>
      </c>
    </row>
    <row r="210" spans="1:23" ht="16" x14ac:dyDescent="0.2">
      <c r="A210" s="362"/>
      <c r="B210" s="328"/>
      <c r="C210" s="328" t="s">
        <v>246</v>
      </c>
      <c r="D210" s="328"/>
      <c r="E210" s="370">
        <f>+E205/E200</f>
        <v>11326.478149100258</v>
      </c>
      <c r="F210" s="370">
        <f>+F205/F200</f>
        <v>18289.0365448505</v>
      </c>
      <c r="G210" s="328"/>
      <c r="H210" s="328"/>
      <c r="I210" s="370" t="e">
        <f>+I205/L200</f>
        <v>#REF!</v>
      </c>
      <c r="J210" s="370" t="e">
        <f>+J205/N200</f>
        <v>#REF!</v>
      </c>
      <c r="K210" s="369" t="s">
        <v>246</v>
      </c>
      <c r="L210" s="370">
        <f>+L205/L200</f>
        <v>13025.449871465295</v>
      </c>
      <c r="M210" s="370"/>
      <c r="N210" s="370">
        <f>+N205/N200</f>
        <v>21032.392026578069</v>
      </c>
      <c r="O210" s="369" t="s">
        <v>246</v>
      </c>
      <c r="P210" s="370" t="e">
        <f>+P205/L200</f>
        <v>#REF!</v>
      </c>
      <c r="Q210" s="370">
        <f>+Q205/N200</f>
        <v>18929.152823920263</v>
      </c>
      <c r="R210" s="369" t="s">
        <v>246</v>
      </c>
      <c r="S210" s="369"/>
      <c r="T210" s="369"/>
      <c r="U210" s="369"/>
      <c r="V210" s="370" t="e">
        <f>+V205/L200</f>
        <v>#REF!</v>
      </c>
      <c r="W210" s="370">
        <f>+W205/N200</f>
        <v>18929.152823920263</v>
      </c>
    </row>
    <row r="211" spans="1:23" ht="16" x14ac:dyDescent="0.2">
      <c r="A211" s="371"/>
      <c r="B211" s="372"/>
      <c r="C211" s="372" t="s">
        <v>247</v>
      </c>
      <c r="D211" s="372"/>
      <c r="E211" s="368">
        <f>+G188/F188</f>
        <v>13108.957822778279</v>
      </c>
      <c r="F211" s="373">
        <f>+G189/F189</f>
        <v>17607.271887424318</v>
      </c>
      <c r="G211" s="372"/>
      <c r="H211" s="372"/>
      <c r="I211" s="374" t="e">
        <f>+#REF!/F191</f>
        <v>#REF!</v>
      </c>
      <c r="J211" s="374" t="e">
        <f>+#REF!/F192</f>
        <v>#REF!</v>
      </c>
      <c r="K211" s="369" t="s">
        <v>247</v>
      </c>
      <c r="L211" s="374">
        <f>+L191/$F$191</f>
        <v>14034.345515416851</v>
      </c>
      <c r="M211" s="374"/>
      <c r="N211" s="374">
        <f>+L192/$F$192</f>
        <v>18873.807931871768</v>
      </c>
      <c r="O211" s="369" t="s">
        <v>247</v>
      </c>
      <c r="P211" s="374" t="e">
        <f>+O191/$F$191</f>
        <v>#REF!</v>
      </c>
      <c r="Q211" s="374">
        <f>+O192/$F$192</f>
        <v>16986.42713868459</v>
      </c>
      <c r="R211" s="369" t="s">
        <v>247</v>
      </c>
      <c r="S211" s="369"/>
      <c r="T211" s="369"/>
      <c r="U211" s="369"/>
      <c r="V211" s="374" t="e">
        <f>+W191/F191</f>
        <v>#REF!</v>
      </c>
      <c r="W211" s="374">
        <f>+W192/F192</f>
        <v>16862.706887426542</v>
      </c>
    </row>
    <row r="212" spans="1:23" ht="16" x14ac:dyDescent="0.2">
      <c r="A212" s="371"/>
      <c r="B212" s="372"/>
      <c r="C212" s="372" t="s">
        <v>248</v>
      </c>
      <c r="D212" s="372"/>
      <c r="E212" s="375">
        <f>+G186/F186</f>
        <v>15332.311380370349</v>
      </c>
      <c r="F212" s="372"/>
      <c r="G212" s="372"/>
      <c r="H212" s="372"/>
      <c r="I212" s="376" t="e">
        <f>+#REF!/F193</f>
        <v>#REF!</v>
      </c>
      <c r="J212" s="376"/>
      <c r="K212" s="369" t="s">
        <v>248</v>
      </c>
      <c r="L212" s="376">
        <f>+L193/$F$193</f>
        <v>16797.321868062321</v>
      </c>
      <c r="M212" s="376"/>
      <c r="O212" s="369" t="s">
        <v>248</v>
      </c>
      <c r="P212" s="376" t="e">
        <f>+O193/$F$193</f>
        <v>#REF!</v>
      </c>
      <c r="R212" s="369" t="s">
        <v>248</v>
      </c>
      <c r="S212" s="369"/>
      <c r="T212" s="369"/>
      <c r="U212" s="369"/>
      <c r="V212" s="376" t="e">
        <f>+W193/F193</f>
        <v>#REF!</v>
      </c>
    </row>
    <row r="213" spans="1:23" x14ac:dyDescent="0.2">
      <c r="A213" s="377"/>
      <c r="B213" s="378"/>
      <c r="C213" s="378"/>
      <c r="D213" s="378"/>
      <c r="E213" s="378"/>
      <c r="F213" s="378"/>
      <c r="G213" s="378"/>
      <c r="H213" s="378"/>
      <c r="I213" s="378"/>
      <c r="J213" s="378"/>
      <c r="K213" s="290"/>
      <c r="V213" s="379"/>
    </row>
    <row r="214" spans="1:23" ht="24.75" customHeight="1" x14ac:dyDescent="0.25">
      <c r="A214" s="380"/>
      <c r="B214" s="381"/>
      <c r="C214" s="381"/>
      <c r="D214" s="381"/>
      <c r="E214" s="382"/>
      <c r="F214" s="381"/>
      <c r="G214" s="383"/>
      <c r="H214" s="383"/>
      <c r="I214" s="383"/>
      <c r="J214" s="383"/>
      <c r="K214" s="290"/>
    </row>
    <row r="215" spans="1:23" ht="19" x14ac:dyDescent="0.25">
      <c r="A215" s="380"/>
      <c r="B215" s="382"/>
      <c r="C215" s="384"/>
      <c r="D215" s="384"/>
      <c r="E215" s="382"/>
      <c r="F215" s="382"/>
      <c r="G215" s="383"/>
      <c r="H215" s="383"/>
      <c r="I215" s="383"/>
      <c r="J215" s="383"/>
      <c r="K215" s="290"/>
    </row>
    <row r="216" spans="1:23" ht="19" x14ac:dyDescent="0.25">
      <c r="A216" s="380"/>
      <c r="B216" s="382"/>
      <c r="C216" s="384"/>
      <c r="D216" s="384"/>
      <c r="E216" s="382"/>
      <c r="F216" s="382"/>
      <c r="G216" s="385"/>
      <c r="H216" s="385"/>
      <c r="I216" s="385"/>
      <c r="J216" s="385"/>
      <c r="K216" s="290"/>
    </row>
    <row r="217" spans="1:23" x14ac:dyDescent="0.2">
      <c r="A217" s="380"/>
      <c r="B217" s="322"/>
      <c r="C217" s="322"/>
      <c r="D217" s="322"/>
      <c r="E217" s="323"/>
      <c r="F217" s="321"/>
      <c r="G217" s="321"/>
      <c r="H217" s="321"/>
      <c r="I217" s="321"/>
      <c r="J217" s="321"/>
      <c r="K217" s="290"/>
    </row>
    <row r="219" spans="1:23" x14ac:dyDescent="0.2">
      <c r="I219" s="386" t="e">
        <f>+I207</f>
        <v>#REF!</v>
      </c>
    </row>
    <row r="220" spans="1:23" x14ac:dyDescent="0.2">
      <c r="G220" s="221" t="s">
        <v>254</v>
      </c>
      <c r="I220" s="260" t="e">
        <f>+I219*15%</f>
        <v>#REF!</v>
      </c>
    </row>
    <row r="221" spans="1:23" x14ac:dyDescent="0.2">
      <c r="I221" s="265" t="e">
        <f>+I219+I220</f>
        <v>#REF!</v>
      </c>
    </row>
    <row r="222" spans="1:23" x14ac:dyDescent="0.2">
      <c r="G222" s="221" t="s">
        <v>255</v>
      </c>
      <c r="I222" s="221">
        <v>954846.70177964272</v>
      </c>
      <c r="J222" s="387" t="e">
        <f>+I222/I221</f>
        <v>#REF!</v>
      </c>
    </row>
    <row r="223" spans="1:23" x14ac:dyDescent="0.2">
      <c r="I223" s="265" t="e">
        <f>+I221-I222</f>
        <v>#REF!</v>
      </c>
    </row>
    <row r="224" spans="1:23" x14ac:dyDescent="0.2">
      <c r="I224" s="388" t="e">
        <f>+(I223-I219)/I219</f>
        <v>#REF!</v>
      </c>
    </row>
  </sheetData>
  <sheetProtection password="CAF1" sheet="1" objects="1" scenarios="1"/>
  <mergeCells count="4">
    <mergeCell ref="B5:I5"/>
    <mergeCell ref="B6:I6"/>
    <mergeCell ref="B7:I7"/>
    <mergeCell ref="A1:E1"/>
  </mergeCells>
  <printOptions horizontalCentered="1"/>
  <pageMargins left="0.7" right="0.7" top="0.75" bottom="0.75" header="0.3" footer="0.3"/>
  <pageSetup paperSize="14" scale="55" fitToHeight="3" orientation="portrait" horizontalDpi="4294967294" verticalDpi="4294967294"/>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136"/>
  <sheetViews>
    <sheetView zoomScale="125" zoomScaleNormal="125" zoomScalePageLayoutView="125" workbookViewId="0">
      <selection activeCell="D17" sqref="D17"/>
    </sheetView>
  </sheetViews>
  <sheetFormatPr baseColWidth="10" defaultColWidth="8.83203125" defaultRowHeight="15" x14ac:dyDescent="0.2"/>
  <cols>
    <col min="1" max="1" width="5.5" style="224" customWidth="1"/>
    <col min="2" max="3" width="8.83203125" style="225"/>
    <col min="4" max="4" width="20.83203125" style="225" customWidth="1"/>
    <col min="5" max="5" width="18.83203125" style="221" customWidth="1"/>
    <col min="6" max="6" width="12.5" style="221" customWidth="1"/>
    <col min="7" max="7" width="18.5" style="221" customWidth="1"/>
    <col min="8" max="8" width="14.1640625" style="221" customWidth="1"/>
    <col min="9" max="9" width="19.1640625" style="221" customWidth="1"/>
    <col min="10" max="10" width="64.1640625" style="221" customWidth="1"/>
    <col min="11" max="11" width="22.33203125" style="221" customWidth="1"/>
    <col min="12" max="12" width="18.1640625" style="221" customWidth="1"/>
    <col min="13" max="13" width="14.6640625" style="221" customWidth="1"/>
    <col min="14" max="14" width="8.83203125" style="221"/>
    <col min="15" max="15" width="14.33203125" style="221" bestFit="1" customWidth="1"/>
    <col min="16" max="16" width="10.6640625" style="221" customWidth="1"/>
    <col min="17" max="16384" width="8.83203125" style="221"/>
  </cols>
  <sheetData>
    <row r="1" spans="1:15" x14ac:dyDescent="0.2">
      <c r="A1" s="390" t="s">
        <v>33</v>
      </c>
    </row>
    <row r="2" spans="1:15" ht="16" thickBot="1" x14ac:dyDescent="0.25">
      <c r="A2" s="391" t="s">
        <v>265</v>
      </c>
      <c r="G2" s="222"/>
      <c r="H2" s="222"/>
      <c r="I2" s="222"/>
    </row>
    <row r="3" spans="1:15" ht="16" thickBot="1" x14ac:dyDescent="0.25">
      <c r="A3" s="391"/>
      <c r="G3" s="225"/>
      <c r="L3" s="392" t="s">
        <v>13</v>
      </c>
    </row>
    <row r="4" spans="1:15" ht="26.25" customHeight="1" thickBot="1" x14ac:dyDescent="0.25">
      <c r="A4" s="393"/>
      <c r="B4" s="394" t="s">
        <v>3</v>
      </c>
      <c r="C4" s="395" t="s">
        <v>4</v>
      </c>
      <c r="D4" s="395"/>
      <c r="E4" s="395" t="s">
        <v>5</v>
      </c>
      <c r="F4" s="395" t="s">
        <v>6</v>
      </c>
      <c r="G4" s="396" t="s">
        <v>35</v>
      </c>
      <c r="H4" s="396" t="s">
        <v>35</v>
      </c>
      <c r="I4" s="397" t="s">
        <v>65</v>
      </c>
      <c r="K4" s="416" t="s">
        <v>11</v>
      </c>
      <c r="L4" s="398" t="s">
        <v>12</v>
      </c>
      <c r="M4" s="416" t="s">
        <v>14</v>
      </c>
    </row>
    <row r="5" spans="1:15" x14ac:dyDescent="0.2">
      <c r="A5" s="250">
        <v>35</v>
      </c>
      <c r="B5" s="281">
        <v>5</v>
      </c>
      <c r="C5" s="282">
        <v>9</v>
      </c>
      <c r="D5" s="282" t="str">
        <f t="shared" ref="D5:D67" si="0">CONCATENATE("Block"," ",B5," ","Lot"," ",C5)</f>
        <v>Block 5 Lot 9</v>
      </c>
      <c r="E5" s="283" t="s">
        <v>1</v>
      </c>
      <c r="F5" s="282">
        <v>600</v>
      </c>
      <c r="G5" s="284">
        <v>10770000</v>
      </c>
      <c r="H5" s="399">
        <f t="shared" ref="H5:H33" si="1">((G5-650000)*1.15)+650000</f>
        <v>12288000</v>
      </c>
      <c r="I5" s="402">
        <v>0.1</v>
      </c>
      <c r="K5" s="260">
        <f t="shared" ref="K5:K57" si="2">+G5-650000</f>
        <v>10120000</v>
      </c>
      <c r="L5" s="400">
        <f t="shared" ref="L5:L50" si="3">+K5/1.12</f>
        <v>9035714.2857142854</v>
      </c>
      <c r="M5" s="401">
        <f t="shared" ref="M5:M57" si="4">+L5/F5</f>
        <v>15059.523809523809</v>
      </c>
      <c r="O5" s="260">
        <f t="shared" ref="O5:O21" si="5">+L5*0.1</f>
        <v>903571.42857142864</v>
      </c>
    </row>
    <row r="6" spans="1:15" x14ac:dyDescent="0.2">
      <c r="A6" s="250">
        <v>36</v>
      </c>
      <c r="B6" s="281">
        <v>5</v>
      </c>
      <c r="C6" s="282">
        <v>10</v>
      </c>
      <c r="D6" s="282" t="str">
        <f t="shared" si="0"/>
        <v>Block 5 Lot 10</v>
      </c>
      <c r="E6" s="283" t="s">
        <v>1</v>
      </c>
      <c r="F6" s="282">
        <v>508</v>
      </c>
      <c r="G6" s="284">
        <v>8560000</v>
      </c>
      <c r="H6" s="399">
        <f t="shared" si="1"/>
        <v>9746500</v>
      </c>
      <c r="I6" s="402">
        <v>0.1</v>
      </c>
      <c r="K6" s="260">
        <f t="shared" si="2"/>
        <v>7910000</v>
      </c>
      <c r="L6" s="400">
        <f t="shared" si="3"/>
        <v>7062499.9999999991</v>
      </c>
      <c r="M6" s="401">
        <f t="shared" si="4"/>
        <v>13902.559055118109</v>
      </c>
      <c r="O6" s="260">
        <f t="shared" si="5"/>
        <v>706250</v>
      </c>
    </row>
    <row r="7" spans="1:15" x14ac:dyDescent="0.2">
      <c r="A7" s="250">
        <v>37</v>
      </c>
      <c r="B7" s="281">
        <v>5</v>
      </c>
      <c r="C7" s="282">
        <v>11</v>
      </c>
      <c r="D7" s="282" t="str">
        <f t="shared" si="0"/>
        <v>Block 5 Lot 11</v>
      </c>
      <c r="E7" s="283" t="s">
        <v>1</v>
      </c>
      <c r="F7" s="282">
        <v>520</v>
      </c>
      <c r="G7" s="284">
        <v>8410000</v>
      </c>
      <c r="H7" s="399">
        <f t="shared" si="1"/>
        <v>9574000</v>
      </c>
      <c r="I7" s="402">
        <v>0.1</v>
      </c>
      <c r="K7" s="260">
        <f t="shared" si="2"/>
        <v>7760000</v>
      </c>
      <c r="L7" s="400">
        <f t="shared" si="3"/>
        <v>6928571.4285714282</v>
      </c>
      <c r="M7" s="401">
        <f t="shared" si="4"/>
        <v>13324.175824175823</v>
      </c>
      <c r="O7" s="260">
        <f t="shared" si="5"/>
        <v>692857.14285714284</v>
      </c>
    </row>
    <row r="8" spans="1:15" x14ac:dyDescent="0.2">
      <c r="A8" s="250">
        <v>38</v>
      </c>
      <c r="B8" s="281">
        <v>5</v>
      </c>
      <c r="C8" s="282">
        <v>12</v>
      </c>
      <c r="D8" s="282" t="str">
        <f t="shared" si="0"/>
        <v>Block 5 Lot 12</v>
      </c>
      <c r="E8" s="283" t="s">
        <v>1</v>
      </c>
      <c r="F8" s="282">
        <v>600</v>
      </c>
      <c r="G8" s="284">
        <v>9210000</v>
      </c>
      <c r="H8" s="399">
        <f t="shared" si="1"/>
        <v>10494000</v>
      </c>
      <c r="I8" s="402">
        <v>0.1</v>
      </c>
      <c r="K8" s="260">
        <f t="shared" si="2"/>
        <v>8560000</v>
      </c>
      <c r="L8" s="400">
        <f t="shared" si="3"/>
        <v>7642857.1428571418</v>
      </c>
      <c r="M8" s="401">
        <f t="shared" si="4"/>
        <v>12738.095238095237</v>
      </c>
      <c r="O8" s="260">
        <f t="shared" si="5"/>
        <v>764285.7142857142</v>
      </c>
    </row>
    <row r="9" spans="1:15" x14ac:dyDescent="0.2">
      <c r="A9" s="250">
        <v>39</v>
      </c>
      <c r="B9" s="281">
        <v>5</v>
      </c>
      <c r="C9" s="282">
        <v>15</v>
      </c>
      <c r="D9" s="282" t="str">
        <f t="shared" si="0"/>
        <v>Block 5 Lot 15</v>
      </c>
      <c r="E9" s="283" t="s">
        <v>1</v>
      </c>
      <c r="F9" s="282">
        <v>600</v>
      </c>
      <c r="G9" s="284">
        <v>9210000</v>
      </c>
      <c r="H9" s="399">
        <f t="shared" si="1"/>
        <v>10494000</v>
      </c>
      <c r="I9" s="402">
        <v>0.1</v>
      </c>
      <c r="K9" s="260">
        <f t="shared" si="2"/>
        <v>8560000</v>
      </c>
      <c r="L9" s="400">
        <f t="shared" si="3"/>
        <v>7642857.1428571418</v>
      </c>
      <c r="M9" s="401">
        <f t="shared" si="4"/>
        <v>12738.095238095237</v>
      </c>
      <c r="O9" s="260">
        <f t="shared" si="5"/>
        <v>764285.7142857142</v>
      </c>
    </row>
    <row r="10" spans="1:15" x14ac:dyDescent="0.2">
      <c r="A10" s="250">
        <v>41</v>
      </c>
      <c r="B10" s="281">
        <v>5</v>
      </c>
      <c r="C10" s="282">
        <v>17</v>
      </c>
      <c r="D10" s="282" t="str">
        <f t="shared" si="0"/>
        <v>Block 5 Lot 17</v>
      </c>
      <c r="E10" s="283" t="s">
        <v>1</v>
      </c>
      <c r="F10" s="282">
        <v>500</v>
      </c>
      <c r="G10" s="284">
        <v>8110000</v>
      </c>
      <c r="H10" s="399">
        <f t="shared" si="1"/>
        <v>9229000</v>
      </c>
      <c r="I10" s="402">
        <v>0.1</v>
      </c>
      <c r="K10" s="260">
        <f t="shared" si="2"/>
        <v>7460000</v>
      </c>
      <c r="L10" s="400">
        <f t="shared" si="3"/>
        <v>6660714.2857142854</v>
      </c>
      <c r="M10" s="401">
        <f t="shared" si="4"/>
        <v>13321.428571428571</v>
      </c>
      <c r="O10" s="260">
        <f t="shared" si="5"/>
        <v>666071.42857142864</v>
      </c>
    </row>
    <row r="11" spans="1:15" x14ac:dyDescent="0.2">
      <c r="A11" s="250">
        <v>42</v>
      </c>
      <c r="B11" s="281">
        <v>5</v>
      </c>
      <c r="C11" s="282">
        <v>18</v>
      </c>
      <c r="D11" s="282" t="str">
        <f t="shared" si="0"/>
        <v>Block 5 Lot 18</v>
      </c>
      <c r="E11" s="283" t="s">
        <v>1</v>
      </c>
      <c r="F11" s="282">
        <v>600</v>
      </c>
      <c r="G11" s="284">
        <v>9600000</v>
      </c>
      <c r="H11" s="399">
        <f t="shared" si="1"/>
        <v>10942500</v>
      </c>
      <c r="I11" s="402">
        <v>0.1</v>
      </c>
      <c r="K11" s="260">
        <f t="shared" si="2"/>
        <v>8950000</v>
      </c>
      <c r="L11" s="400">
        <f t="shared" si="3"/>
        <v>7991071.4285714282</v>
      </c>
      <c r="M11" s="401">
        <f t="shared" si="4"/>
        <v>13318.45238095238</v>
      </c>
      <c r="O11" s="260">
        <f t="shared" si="5"/>
        <v>799107.14285714284</v>
      </c>
    </row>
    <row r="12" spans="1:15" x14ac:dyDescent="0.2">
      <c r="A12" s="250">
        <v>43</v>
      </c>
      <c r="B12" s="281">
        <v>5</v>
      </c>
      <c r="C12" s="282">
        <v>19</v>
      </c>
      <c r="D12" s="282" t="str">
        <f t="shared" si="0"/>
        <v>Block 5 Lot 19</v>
      </c>
      <c r="E12" s="283" t="s">
        <v>1</v>
      </c>
      <c r="F12" s="282">
        <v>600</v>
      </c>
      <c r="G12" s="284">
        <v>9210000</v>
      </c>
      <c r="H12" s="399">
        <f t="shared" si="1"/>
        <v>10494000</v>
      </c>
      <c r="I12" s="402">
        <v>0.1</v>
      </c>
      <c r="K12" s="260">
        <f t="shared" si="2"/>
        <v>8560000</v>
      </c>
      <c r="L12" s="400">
        <f t="shared" si="3"/>
        <v>7642857.1428571418</v>
      </c>
      <c r="M12" s="401">
        <f t="shared" si="4"/>
        <v>12738.095238095237</v>
      </c>
      <c r="O12" s="260">
        <f t="shared" si="5"/>
        <v>764285.7142857142</v>
      </c>
    </row>
    <row r="13" spans="1:15" x14ac:dyDescent="0.2">
      <c r="A13" s="250">
        <v>44</v>
      </c>
      <c r="B13" s="281">
        <v>5</v>
      </c>
      <c r="C13" s="282">
        <v>20</v>
      </c>
      <c r="D13" s="282" t="str">
        <f t="shared" si="0"/>
        <v>Block 5 Lot 20</v>
      </c>
      <c r="E13" s="283" t="s">
        <v>1</v>
      </c>
      <c r="F13" s="282">
        <v>510</v>
      </c>
      <c r="G13" s="284">
        <v>8260000</v>
      </c>
      <c r="H13" s="399">
        <f t="shared" si="1"/>
        <v>9401500</v>
      </c>
      <c r="I13" s="402">
        <v>0.1</v>
      </c>
      <c r="K13" s="260">
        <f t="shared" si="2"/>
        <v>7610000</v>
      </c>
      <c r="L13" s="400">
        <f t="shared" si="3"/>
        <v>6794642.8571428563</v>
      </c>
      <c r="M13" s="401">
        <f t="shared" si="4"/>
        <v>13322.829131652659</v>
      </c>
      <c r="O13" s="260">
        <f t="shared" si="5"/>
        <v>679464.28571428568</v>
      </c>
    </row>
    <row r="14" spans="1:15" x14ac:dyDescent="0.2">
      <c r="A14" s="250">
        <v>46</v>
      </c>
      <c r="B14" s="281">
        <v>6</v>
      </c>
      <c r="C14" s="282">
        <v>2</v>
      </c>
      <c r="D14" s="282" t="str">
        <f t="shared" si="0"/>
        <v>Block 6 Lot 2</v>
      </c>
      <c r="E14" s="283" t="s">
        <v>1</v>
      </c>
      <c r="F14" s="282">
        <v>560</v>
      </c>
      <c r="G14" s="284">
        <v>10150000</v>
      </c>
      <c r="H14" s="399">
        <f t="shared" si="1"/>
        <v>11575000</v>
      </c>
      <c r="I14" s="402">
        <v>0.1</v>
      </c>
      <c r="K14" s="260">
        <f t="shared" si="2"/>
        <v>9500000</v>
      </c>
      <c r="L14" s="400">
        <f t="shared" si="3"/>
        <v>8482142.8571428563</v>
      </c>
      <c r="M14" s="401">
        <f t="shared" si="4"/>
        <v>15146.683673469386</v>
      </c>
      <c r="O14" s="260">
        <f t="shared" si="5"/>
        <v>848214.28571428568</v>
      </c>
    </row>
    <row r="15" spans="1:15" x14ac:dyDescent="0.2">
      <c r="A15" s="250">
        <v>47</v>
      </c>
      <c r="B15" s="281">
        <v>6</v>
      </c>
      <c r="C15" s="282">
        <v>3</v>
      </c>
      <c r="D15" s="282" t="str">
        <f t="shared" si="0"/>
        <v>Block 6 Lot 3</v>
      </c>
      <c r="E15" s="283" t="s">
        <v>1</v>
      </c>
      <c r="F15" s="282">
        <v>475</v>
      </c>
      <c r="G15" s="284">
        <v>8380000</v>
      </c>
      <c r="H15" s="399">
        <f t="shared" si="1"/>
        <v>9539500</v>
      </c>
      <c r="I15" s="402">
        <v>0.1</v>
      </c>
      <c r="K15" s="260">
        <f t="shared" si="2"/>
        <v>7730000</v>
      </c>
      <c r="L15" s="400">
        <f t="shared" si="3"/>
        <v>6901785.7142857136</v>
      </c>
      <c r="M15" s="401">
        <f t="shared" si="4"/>
        <v>14530.075187969924</v>
      </c>
      <c r="O15" s="260">
        <f t="shared" si="5"/>
        <v>690178.57142857136</v>
      </c>
    </row>
    <row r="16" spans="1:15" x14ac:dyDescent="0.2">
      <c r="A16" s="250">
        <v>48</v>
      </c>
      <c r="B16" s="281">
        <v>6</v>
      </c>
      <c r="C16" s="282">
        <v>5</v>
      </c>
      <c r="D16" s="282" t="str">
        <f t="shared" si="0"/>
        <v>Block 6 Lot 5</v>
      </c>
      <c r="E16" s="283" t="s">
        <v>1</v>
      </c>
      <c r="F16" s="282">
        <v>600</v>
      </c>
      <c r="G16" s="284">
        <v>10820000</v>
      </c>
      <c r="H16" s="399">
        <f t="shared" si="1"/>
        <v>12345500</v>
      </c>
      <c r="I16" s="402">
        <v>0.1</v>
      </c>
      <c r="K16" s="260">
        <f t="shared" si="2"/>
        <v>10170000</v>
      </c>
      <c r="L16" s="400">
        <f t="shared" si="3"/>
        <v>9080357.1428571418</v>
      </c>
      <c r="M16" s="401">
        <f t="shared" si="4"/>
        <v>15133.928571428569</v>
      </c>
      <c r="O16" s="260">
        <f t="shared" si="5"/>
        <v>908035.7142857142</v>
      </c>
    </row>
    <row r="17" spans="1:15" x14ac:dyDescent="0.2">
      <c r="A17" s="250">
        <v>49</v>
      </c>
      <c r="B17" s="281">
        <v>6</v>
      </c>
      <c r="C17" s="282">
        <v>6</v>
      </c>
      <c r="D17" s="282" t="str">
        <f t="shared" si="0"/>
        <v>Block 6 Lot 6</v>
      </c>
      <c r="E17" s="283" t="s">
        <v>1</v>
      </c>
      <c r="F17" s="282">
        <v>600</v>
      </c>
      <c r="G17" s="284">
        <v>11640000</v>
      </c>
      <c r="H17" s="399">
        <f t="shared" si="1"/>
        <v>13288499.999999998</v>
      </c>
      <c r="I17" s="402">
        <v>0.1</v>
      </c>
      <c r="K17" s="260">
        <f t="shared" si="2"/>
        <v>10990000</v>
      </c>
      <c r="L17" s="400">
        <f t="shared" si="3"/>
        <v>9812499.9999999981</v>
      </c>
      <c r="M17" s="401">
        <f t="shared" si="4"/>
        <v>16354.166666666664</v>
      </c>
      <c r="O17" s="260">
        <f t="shared" si="5"/>
        <v>981249.99999999988</v>
      </c>
    </row>
    <row r="18" spans="1:15" x14ac:dyDescent="0.2">
      <c r="A18" s="250">
        <v>50</v>
      </c>
      <c r="B18" s="281">
        <v>6</v>
      </c>
      <c r="C18" s="282">
        <v>7</v>
      </c>
      <c r="D18" s="282" t="str">
        <f t="shared" si="0"/>
        <v>Block 6 Lot 7</v>
      </c>
      <c r="E18" s="283" t="s">
        <v>1</v>
      </c>
      <c r="F18" s="282">
        <v>600</v>
      </c>
      <c r="G18" s="284">
        <v>11640000</v>
      </c>
      <c r="H18" s="399">
        <f t="shared" si="1"/>
        <v>13288499.999999998</v>
      </c>
      <c r="I18" s="402">
        <v>0.1</v>
      </c>
      <c r="K18" s="260">
        <f t="shared" si="2"/>
        <v>10990000</v>
      </c>
      <c r="L18" s="400">
        <f t="shared" si="3"/>
        <v>9812499.9999999981</v>
      </c>
      <c r="M18" s="401">
        <f t="shared" si="4"/>
        <v>16354.166666666664</v>
      </c>
      <c r="O18" s="260">
        <f t="shared" si="5"/>
        <v>981249.99999999988</v>
      </c>
    </row>
    <row r="19" spans="1:15" x14ac:dyDescent="0.2">
      <c r="A19" s="250">
        <v>51</v>
      </c>
      <c r="B19" s="281">
        <v>6</v>
      </c>
      <c r="C19" s="282">
        <v>8</v>
      </c>
      <c r="D19" s="282" t="str">
        <f t="shared" si="0"/>
        <v>Block 6 Lot 8</v>
      </c>
      <c r="E19" s="283" t="s">
        <v>1</v>
      </c>
      <c r="F19" s="282">
        <v>485</v>
      </c>
      <c r="G19" s="284">
        <v>9660000</v>
      </c>
      <c r="H19" s="399">
        <f t="shared" si="1"/>
        <v>11011500</v>
      </c>
      <c r="I19" s="402">
        <v>0.1</v>
      </c>
      <c r="K19" s="260">
        <f t="shared" si="2"/>
        <v>9010000</v>
      </c>
      <c r="L19" s="400">
        <f t="shared" si="3"/>
        <v>8044642.8571428563</v>
      </c>
      <c r="M19" s="401">
        <f t="shared" si="4"/>
        <v>16586.892488954341</v>
      </c>
      <c r="O19" s="260">
        <f t="shared" si="5"/>
        <v>804464.28571428568</v>
      </c>
    </row>
    <row r="20" spans="1:15" x14ac:dyDescent="0.2">
      <c r="A20" s="250">
        <v>52</v>
      </c>
      <c r="B20" s="281">
        <v>6</v>
      </c>
      <c r="C20" s="282">
        <v>9</v>
      </c>
      <c r="D20" s="282" t="str">
        <f t="shared" si="0"/>
        <v>Block 6 Lot 9</v>
      </c>
      <c r="E20" s="283" t="s">
        <v>1</v>
      </c>
      <c r="F20" s="282">
        <v>525</v>
      </c>
      <c r="G20" s="284">
        <v>10260000</v>
      </c>
      <c r="H20" s="399">
        <f t="shared" si="1"/>
        <v>11701500</v>
      </c>
      <c r="I20" s="402">
        <v>0.1</v>
      </c>
      <c r="K20" s="260">
        <f t="shared" si="2"/>
        <v>9610000</v>
      </c>
      <c r="L20" s="400">
        <f t="shared" si="3"/>
        <v>8580357.1428571418</v>
      </c>
      <c r="M20" s="401">
        <f t="shared" si="4"/>
        <v>16343.537414965984</v>
      </c>
      <c r="O20" s="260">
        <f t="shared" si="5"/>
        <v>858035.7142857142</v>
      </c>
    </row>
    <row r="21" spans="1:15" x14ac:dyDescent="0.2">
      <c r="A21" s="250">
        <v>53</v>
      </c>
      <c r="B21" s="281">
        <v>6</v>
      </c>
      <c r="C21" s="282">
        <v>10</v>
      </c>
      <c r="D21" s="282" t="str">
        <f t="shared" si="0"/>
        <v>Block 6 Lot 10</v>
      </c>
      <c r="E21" s="283" t="s">
        <v>1</v>
      </c>
      <c r="F21" s="282">
        <v>550</v>
      </c>
      <c r="G21" s="284">
        <v>10350000</v>
      </c>
      <c r="H21" s="399">
        <f t="shared" si="1"/>
        <v>11805000</v>
      </c>
      <c r="I21" s="402">
        <v>0.1</v>
      </c>
      <c r="K21" s="260">
        <f t="shared" si="2"/>
        <v>9700000</v>
      </c>
      <c r="L21" s="400">
        <f t="shared" si="3"/>
        <v>8660714.2857142854</v>
      </c>
      <c r="M21" s="401">
        <f t="shared" si="4"/>
        <v>15746.753246753246</v>
      </c>
      <c r="O21" s="260">
        <f t="shared" si="5"/>
        <v>866071.42857142864</v>
      </c>
    </row>
    <row r="22" spans="1:15" x14ac:dyDescent="0.2">
      <c r="A22" s="250">
        <v>54</v>
      </c>
      <c r="B22" s="281">
        <v>7</v>
      </c>
      <c r="C22" s="282">
        <v>1</v>
      </c>
      <c r="D22" s="282" t="str">
        <f t="shared" si="0"/>
        <v>Block 7 Lot 1</v>
      </c>
      <c r="E22" s="283" t="s">
        <v>1</v>
      </c>
      <c r="F22" s="282">
        <v>601</v>
      </c>
      <c r="G22" s="284">
        <v>10790000</v>
      </c>
      <c r="H22" s="399">
        <f t="shared" si="1"/>
        <v>12311000</v>
      </c>
      <c r="I22" s="402">
        <v>0.1</v>
      </c>
      <c r="K22" s="260">
        <f t="shared" si="2"/>
        <v>10140000</v>
      </c>
      <c r="L22" s="400">
        <f t="shared" si="3"/>
        <v>9053571.4285714272</v>
      </c>
      <c r="M22" s="401">
        <f t="shared" si="4"/>
        <v>15064.178749702874</v>
      </c>
      <c r="O22" s="260"/>
    </row>
    <row r="23" spans="1:15" x14ac:dyDescent="0.2">
      <c r="A23" s="250">
        <v>55</v>
      </c>
      <c r="B23" s="281">
        <v>7</v>
      </c>
      <c r="C23" s="282">
        <v>2</v>
      </c>
      <c r="D23" s="282" t="str">
        <f t="shared" si="0"/>
        <v>Block 7 Lot 2</v>
      </c>
      <c r="E23" s="283" t="s">
        <v>1</v>
      </c>
      <c r="F23" s="282">
        <v>450</v>
      </c>
      <c r="G23" s="284">
        <v>7660000</v>
      </c>
      <c r="H23" s="399">
        <f t="shared" si="1"/>
        <v>8711500</v>
      </c>
      <c r="I23" s="402">
        <v>0.1</v>
      </c>
      <c r="K23" s="260">
        <f t="shared" si="2"/>
        <v>7010000</v>
      </c>
      <c r="L23" s="400">
        <f t="shared" si="3"/>
        <v>6258928.5714285709</v>
      </c>
      <c r="M23" s="401">
        <f t="shared" si="4"/>
        <v>13908.730158730157</v>
      </c>
      <c r="O23" s="260"/>
    </row>
    <row r="24" spans="1:15" x14ac:dyDescent="0.2">
      <c r="A24" s="250">
        <v>56</v>
      </c>
      <c r="B24" s="281">
        <v>7</v>
      </c>
      <c r="C24" s="282">
        <v>3</v>
      </c>
      <c r="D24" s="282" t="str">
        <f t="shared" si="0"/>
        <v>Block 7 Lot 3</v>
      </c>
      <c r="E24" s="283" t="s">
        <v>1</v>
      </c>
      <c r="F24" s="282">
        <v>600</v>
      </c>
      <c r="G24" s="284">
        <v>10770000</v>
      </c>
      <c r="H24" s="399">
        <f t="shared" si="1"/>
        <v>12288000</v>
      </c>
      <c r="I24" s="402">
        <v>0.1</v>
      </c>
      <c r="K24" s="260">
        <f t="shared" si="2"/>
        <v>10120000</v>
      </c>
      <c r="L24" s="400">
        <f t="shared" si="3"/>
        <v>9035714.2857142854</v>
      </c>
      <c r="M24" s="401">
        <f t="shared" si="4"/>
        <v>15059.523809523809</v>
      </c>
      <c r="O24" s="260"/>
    </row>
    <row r="25" spans="1:15" x14ac:dyDescent="0.2">
      <c r="A25" s="250">
        <v>57</v>
      </c>
      <c r="B25" s="281">
        <v>7</v>
      </c>
      <c r="C25" s="282">
        <v>5</v>
      </c>
      <c r="D25" s="282" t="str">
        <f t="shared" si="0"/>
        <v>Block 7 Lot 5</v>
      </c>
      <c r="E25" s="283" t="s">
        <v>1</v>
      </c>
      <c r="F25" s="282">
        <v>600</v>
      </c>
      <c r="G25" s="284">
        <v>9990000</v>
      </c>
      <c r="H25" s="399">
        <f t="shared" si="1"/>
        <v>11391000</v>
      </c>
      <c r="I25" s="402">
        <v>0.1</v>
      </c>
      <c r="K25" s="260">
        <f t="shared" si="2"/>
        <v>9340000</v>
      </c>
      <c r="L25" s="400">
        <f t="shared" si="3"/>
        <v>8339285.7142857136</v>
      </c>
      <c r="M25" s="401">
        <f t="shared" si="4"/>
        <v>13898.809523809523</v>
      </c>
      <c r="O25" s="260"/>
    </row>
    <row r="26" spans="1:15" x14ac:dyDescent="0.2">
      <c r="A26" s="250">
        <v>58</v>
      </c>
      <c r="B26" s="281">
        <v>7</v>
      </c>
      <c r="C26" s="282">
        <v>6</v>
      </c>
      <c r="D26" s="282" t="str">
        <f t="shared" si="0"/>
        <v>Block 7 Lot 6</v>
      </c>
      <c r="E26" s="283" t="s">
        <v>1</v>
      </c>
      <c r="F26" s="282">
        <v>602</v>
      </c>
      <c r="G26" s="284">
        <v>10020000</v>
      </c>
      <c r="H26" s="399">
        <f t="shared" si="1"/>
        <v>11425500</v>
      </c>
      <c r="I26" s="402">
        <v>0.1</v>
      </c>
      <c r="K26" s="260">
        <f t="shared" si="2"/>
        <v>9370000</v>
      </c>
      <c r="L26" s="400">
        <f t="shared" si="3"/>
        <v>8366071.4285714282</v>
      </c>
      <c r="M26" s="401">
        <f t="shared" si="4"/>
        <v>13897.128618889416</v>
      </c>
      <c r="O26" s="260"/>
    </row>
    <row r="27" spans="1:15" x14ac:dyDescent="0.2">
      <c r="A27" s="250">
        <v>59</v>
      </c>
      <c r="B27" s="281">
        <v>7</v>
      </c>
      <c r="C27" s="282">
        <v>7</v>
      </c>
      <c r="D27" s="282" t="str">
        <f t="shared" si="0"/>
        <v>Block 7 Lot 7</v>
      </c>
      <c r="E27" s="283" t="s">
        <v>1</v>
      </c>
      <c r="F27" s="282">
        <v>545</v>
      </c>
      <c r="G27" s="284">
        <v>9140000</v>
      </c>
      <c r="H27" s="399">
        <f t="shared" si="1"/>
        <v>10413500</v>
      </c>
      <c r="I27" s="402">
        <v>0.1</v>
      </c>
      <c r="K27" s="260">
        <f t="shared" si="2"/>
        <v>8490000</v>
      </c>
      <c r="L27" s="400">
        <f t="shared" si="3"/>
        <v>7580357.1428571418</v>
      </c>
      <c r="M27" s="401">
        <f t="shared" si="4"/>
        <v>13908.9121887287</v>
      </c>
      <c r="O27" s="260"/>
    </row>
    <row r="28" spans="1:15" x14ac:dyDescent="0.2">
      <c r="A28" s="250">
        <v>60</v>
      </c>
      <c r="B28" s="281">
        <v>7</v>
      </c>
      <c r="C28" s="282">
        <v>8</v>
      </c>
      <c r="D28" s="282" t="str">
        <f t="shared" si="0"/>
        <v>Block 7 Lot 8</v>
      </c>
      <c r="E28" s="283" t="s">
        <v>1</v>
      </c>
      <c r="F28" s="282">
        <v>545</v>
      </c>
      <c r="G28" s="284">
        <v>9280000</v>
      </c>
      <c r="H28" s="399">
        <f t="shared" si="1"/>
        <v>10574500</v>
      </c>
      <c r="I28" s="402">
        <v>0.1</v>
      </c>
      <c r="K28" s="260">
        <f t="shared" si="2"/>
        <v>8630000</v>
      </c>
      <c r="L28" s="400">
        <f t="shared" si="3"/>
        <v>7705357.1428571418</v>
      </c>
      <c r="M28" s="401">
        <f t="shared" si="4"/>
        <v>14138.269986893838</v>
      </c>
      <c r="O28" s="260"/>
    </row>
    <row r="29" spans="1:15" x14ac:dyDescent="0.2">
      <c r="A29" s="250">
        <v>61</v>
      </c>
      <c r="B29" s="281">
        <v>7</v>
      </c>
      <c r="C29" s="282">
        <v>9</v>
      </c>
      <c r="D29" s="282" t="str">
        <f t="shared" si="0"/>
        <v>Block 7 Lot 9</v>
      </c>
      <c r="E29" s="283" t="s">
        <v>1</v>
      </c>
      <c r="F29" s="282">
        <v>545</v>
      </c>
      <c r="G29" s="284">
        <v>9140000</v>
      </c>
      <c r="H29" s="399">
        <f t="shared" si="1"/>
        <v>10413500</v>
      </c>
      <c r="I29" s="402">
        <v>0.1</v>
      </c>
      <c r="K29" s="260">
        <f t="shared" si="2"/>
        <v>8490000</v>
      </c>
      <c r="L29" s="400">
        <f t="shared" si="3"/>
        <v>7580357.1428571418</v>
      </c>
      <c r="M29" s="401">
        <f t="shared" si="4"/>
        <v>13908.9121887287</v>
      </c>
      <c r="O29" s="260"/>
    </row>
    <row r="30" spans="1:15" x14ac:dyDescent="0.2">
      <c r="A30" s="250">
        <v>62</v>
      </c>
      <c r="B30" s="281">
        <v>7</v>
      </c>
      <c r="C30" s="282">
        <v>10</v>
      </c>
      <c r="D30" s="282" t="str">
        <f t="shared" si="0"/>
        <v>Block 7 Lot 10</v>
      </c>
      <c r="E30" s="283" t="s">
        <v>1</v>
      </c>
      <c r="F30" s="282">
        <v>539</v>
      </c>
      <c r="G30" s="284">
        <v>9040000</v>
      </c>
      <c r="H30" s="399">
        <f t="shared" si="1"/>
        <v>10298500</v>
      </c>
      <c r="I30" s="402">
        <v>0.1</v>
      </c>
      <c r="K30" s="260">
        <f t="shared" si="2"/>
        <v>8390000</v>
      </c>
      <c r="L30" s="400">
        <f t="shared" si="3"/>
        <v>7491071.4285714282</v>
      </c>
      <c r="M30" s="401">
        <f t="shared" si="4"/>
        <v>13898.091704214152</v>
      </c>
      <c r="O30" s="260"/>
    </row>
    <row r="31" spans="1:15" x14ac:dyDescent="0.2">
      <c r="A31" s="250">
        <v>63</v>
      </c>
      <c r="B31" s="281">
        <v>7</v>
      </c>
      <c r="C31" s="282">
        <v>11</v>
      </c>
      <c r="D31" s="282" t="str">
        <f t="shared" si="0"/>
        <v>Block 7 Lot 11</v>
      </c>
      <c r="E31" s="283" t="s">
        <v>1</v>
      </c>
      <c r="F31" s="282">
        <v>539</v>
      </c>
      <c r="G31" s="284">
        <v>9040000</v>
      </c>
      <c r="H31" s="399">
        <f t="shared" si="1"/>
        <v>10298500</v>
      </c>
      <c r="I31" s="402">
        <v>0.1</v>
      </c>
      <c r="K31" s="260">
        <f t="shared" si="2"/>
        <v>8390000</v>
      </c>
      <c r="L31" s="400">
        <f t="shared" si="3"/>
        <v>7491071.4285714282</v>
      </c>
      <c r="M31" s="401">
        <f t="shared" si="4"/>
        <v>13898.091704214152</v>
      </c>
      <c r="O31" s="260"/>
    </row>
    <row r="32" spans="1:15" x14ac:dyDescent="0.2">
      <c r="A32" s="250">
        <v>64</v>
      </c>
      <c r="B32" s="281">
        <v>7</v>
      </c>
      <c r="C32" s="282">
        <v>12</v>
      </c>
      <c r="D32" s="282" t="str">
        <f t="shared" si="0"/>
        <v>Block 7 Lot 12</v>
      </c>
      <c r="E32" s="283" t="s">
        <v>1</v>
      </c>
      <c r="F32" s="282">
        <v>600</v>
      </c>
      <c r="G32" s="284">
        <v>10770000</v>
      </c>
      <c r="H32" s="399">
        <f t="shared" si="1"/>
        <v>12288000</v>
      </c>
      <c r="I32" s="402">
        <v>0.1</v>
      </c>
      <c r="K32" s="260">
        <f t="shared" si="2"/>
        <v>10120000</v>
      </c>
      <c r="L32" s="400">
        <f t="shared" si="3"/>
        <v>9035714.2857142854</v>
      </c>
      <c r="M32" s="401">
        <f t="shared" si="4"/>
        <v>15059.523809523809</v>
      </c>
      <c r="O32" s="260"/>
    </row>
    <row r="33" spans="1:15" x14ac:dyDescent="0.2">
      <c r="A33" s="250">
        <v>65</v>
      </c>
      <c r="B33" s="281">
        <v>7</v>
      </c>
      <c r="C33" s="282">
        <v>15</v>
      </c>
      <c r="D33" s="282" t="str">
        <f t="shared" si="0"/>
        <v>Block 7 Lot 15</v>
      </c>
      <c r="E33" s="283" t="s">
        <v>1</v>
      </c>
      <c r="F33" s="282">
        <v>600</v>
      </c>
      <c r="G33" s="284">
        <v>10770000</v>
      </c>
      <c r="H33" s="399">
        <f t="shared" si="1"/>
        <v>12288000</v>
      </c>
      <c r="I33" s="402">
        <v>0.1</v>
      </c>
      <c r="K33" s="260">
        <f t="shared" si="2"/>
        <v>10120000</v>
      </c>
      <c r="L33" s="400">
        <f t="shared" si="3"/>
        <v>9035714.2857142854</v>
      </c>
      <c r="M33" s="401">
        <f t="shared" si="4"/>
        <v>15059.523809523809</v>
      </c>
      <c r="O33" s="260"/>
    </row>
    <row r="34" spans="1:15" x14ac:dyDescent="0.2">
      <c r="A34" s="250">
        <v>66</v>
      </c>
      <c r="B34" s="281">
        <v>7</v>
      </c>
      <c r="C34" s="282">
        <v>16</v>
      </c>
      <c r="D34" s="282" t="str">
        <f t="shared" si="0"/>
        <v>Block 7 Lot 16</v>
      </c>
      <c r="E34" s="283" t="s">
        <v>1</v>
      </c>
      <c r="F34" s="282">
        <v>554</v>
      </c>
      <c r="G34" s="284">
        <v>9280000</v>
      </c>
      <c r="H34" s="399">
        <f t="shared" ref="H34:H70" si="6">((G34-650000)*1.15)+650000</f>
        <v>10574500</v>
      </c>
      <c r="I34" s="402">
        <v>0.1</v>
      </c>
      <c r="K34" s="260">
        <f t="shared" si="2"/>
        <v>8630000</v>
      </c>
      <c r="L34" s="400">
        <f t="shared" si="3"/>
        <v>7705357.1428571418</v>
      </c>
      <c r="M34" s="401">
        <f t="shared" si="4"/>
        <v>13908.586900464155</v>
      </c>
      <c r="O34" s="260"/>
    </row>
    <row r="35" spans="1:15" x14ac:dyDescent="0.2">
      <c r="A35" s="250">
        <v>67</v>
      </c>
      <c r="B35" s="281">
        <v>7</v>
      </c>
      <c r="C35" s="282">
        <v>17</v>
      </c>
      <c r="D35" s="282" t="str">
        <f t="shared" si="0"/>
        <v>Block 7 Lot 17</v>
      </c>
      <c r="E35" s="283" t="s">
        <v>1</v>
      </c>
      <c r="F35" s="282">
        <v>554</v>
      </c>
      <c r="G35" s="284">
        <v>9280000</v>
      </c>
      <c r="H35" s="399">
        <f t="shared" si="6"/>
        <v>10574500</v>
      </c>
      <c r="I35" s="402">
        <v>0.1</v>
      </c>
      <c r="K35" s="260">
        <f t="shared" si="2"/>
        <v>8630000</v>
      </c>
      <c r="L35" s="400">
        <f t="shared" si="3"/>
        <v>7705357.1428571418</v>
      </c>
      <c r="M35" s="401">
        <f t="shared" si="4"/>
        <v>13908.586900464155</v>
      </c>
      <c r="O35" s="260"/>
    </row>
    <row r="36" spans="1:15" x14ac:dyDescent="0.2">
      <c r="A36" s="250">
        <v>68</v>
      </c>
      <c r="B36" s="281">
        <v>7</v>
      </c>
      <c r="C36" s="282">
        <v>18</v>
      </c>
      <c r="D36" s="282" t="str">
        <f t="shared" si="0"/>
        <v>Block 7 Lot 18</v>
      </c>
      <c r="E36" s="283" t="s">
        <v>1</v>
      </c>
      <c r="F36" s="282">
        <v>560</v>
      </c>
      <c r="G36" s="284">
        <v>9370000</v>
      </c>
      <c r="H36" s="399">
        <f t="shared" si="6"/>
        <v>10678000</v>
      </c>
      <c r="I36" s="402">
        <v>0.1</v>
      </c>
      <c r="K36" s="260">
        <f t="shared" si="2"/>
        <v>8720000</v>
      </c>
      <c r="L36" s="400">
        <f t="shared" si="3"/>
        <v>7785714.2857142845</v>
      </c>
      <c r="M36" s="401">
        <f t="shared" si="4"/>
        <v>13903.061224489793</v>
      </c>
      <c r="O36" s="260"/>
    </row>
    <row r="37" spans="1:15" x14ac:dyDescent="0.2">
      <c r="A37" s="250">
        <v>69</v>
      </c>
      <c r="B37" s="281">
        <v>7</v>
      </c>
      <c r="C37" s="282">
        <v>19</v>
      </c>
      <c r="D37" s="282" t="str">
        <f t="shared" si="0"/>
        <v>Block 7 Lot 19</v>
      </c>
      <c r="E37" s="283" t="s">
        <v>1</v>
      </c>
      <c r="F37" s="282">
        <v>560</v>
      </c>
      <c r="G37" s="284">
        <v>10100000</v>
      </c>
      <c r="H37" s="399">
        <f t="shared" si="6"/>
        <v>11517500</v>
      </c>
      <c r="I37" s="402">
        <v>0.1</v>
      </c>
      <c r="K37" s="260">
        <f t="shared" si="2"/>
        <v>9450000</v>
      </c>
      <c r="L37" s="400">
        <f t="shared" si="3"/>
        <v>8437500</v>
      </c>
      <c r="M37" s="401">
        <f t="shared" si="4"/>
        <v>15066.964285714286</v>
      </c>
      <c r="O37" s="260"/>
    </row>
    <row r="38" spans="1:15" x14ac:dyDescent="0.2">
      <c r="A38" s="250">
        <v>70</v>
      </c>
      <c r="B38" s="281">
        <v>7</v>
      </c>
      <c r="C38" s="282">
        <v>20</v>
      </c>
      <c r="D38" s="282" t="str">
        <f t="shared" si="0"/>
        <v>Block 7 Lot 20</v>
      </c>
      <c r="E38" s="283" t="s">
        <v>1</v>
      </c>
      <c r="F38" s="282">
        <v>560</v>
      </c>
      <c r="G38" s="284">
        <v>10100000</v>
      </c>
      <c r="H38" s="399">
        <f t="shared" si="6"/>
        <v>11517500</v>
      </c>
      <c r="I38" s="402">
        <v>0.1</v>
      </c>
      <c r="K38" s="260">
        <f t="shared" si="2"/>
        <v>9450000</v>
      </c>
      <c r="L38" s="400">
        <f t="shared" si="3"/>
        <v>8437500</v>
      </c>
      <c r="M38" s="401">
        <f t="shared" si="4"/>
        <v>15066.964285714286</v>
      </c>
      <c r="O38" s="260"/>
    </row>
    <row r="39" spans="1:15" x14ac:dyDescent="0.2">
      <c r="A39" s="250">
        <v>71</v>
      </c>
      <c r="B39" s="281">
        <v>7</v>
      </c>
      <c r="C39" s="282">
        <v>21</v>
      </c>
      <c r="D39" s="282" t="str">
        <f t="shared" si="0"/>
        <v>Block 7 Lot 21</v>
      </c>
      <c r="E39" s="283" t="s">
        <v>1</v>
      </c>
      <c r="F39" s="282">
        <v>560</v>
      </c>
      <c r="G39" s="284">
        <v>10100000</v>
      </c>
      <c r="H39" s="399">
        <f t="shared" si="6"/>
        <v>11517500</v>
      </c>
      <c r="I39" s="402">
        <v>0.1</v>
      </c>
      <c r="K39" s="260">
        <f t="shared" si="2"/>
        <v>9450000</v>
      </c>
      <c r="L39" s="400">
        <f t="shared" si="3"/>
        <v>8437500</v>
      </c>
      <c r="M39" s="401">
        <f t="shared" si="4"/>
        <v>15066.964285714286</v>
      </c>
      <c r="O39" s="260"/>
    </row>
    <row r="40" spans="1:15" x14ac:dyDescent="0.2">
      <c r="A40" s="250">
        <v>72</v>
      </c>
      <c r="B40" s="281">
        <v>7</v>
      </c>
      <c r="C40" s="282">
        <v>23</v>
      </c>
      <c r="D40" s="282" t="str">
        <f t="shared" si="0"/>
        <v>Block 7 Lot 23</v>
      </c>
      <c r="E40" s="283" t="s">
        <v>1</v>
      </c>
      <c r="F40" s="282">
        <v>592</v>
      </c>
      <c r="G40" s="284">
        <v>9870000</v>
      </c>
      <c r="H40" s="399">
        <f t="shared" si="6"/>
        <v>11253000</v>
      </c>
      <c r="I40" s="402">
        <v>0.1</v>
      </c>
      <c r="K40" s="260">
        <f t="shared" si="2"/>
        <v>9220000</v>
      </c>
      <c r="L40" s="400">
        <f t="shared" si="3"/>
        <v>8232142.8571428563</v>
      </c>
      <c r="M40" s="401">
        <f t="shared" si="4"/>
        <v>13905.646718146716</v>
      </c>
      <c r="O40" s="260"/>
    </row>
    <row r="41" spans="1:15" x14ac:dyDescent="0.2">
      <c r="A41" s="250">
        <v>73</v>
      </c>
      <c r="B41" s="281">
        <v>7</v>
      </c>
      <c r="C41" s="282">
        <v>25</v>
      </c>
      <c r="D41" s="282" t="str">
        <f t="shared" si="0"/>
        <v>Block 7 Lot 25</v>
      </c>
      <c r="E41" s="283" t="s">
        <v>1</v>
      </c>
      <c r="F41" s="282">
        <v>600</v>
      </c>
      <c r="G41" s="284">
        <v>9990000</v>
      </c>
      <c r="H41" s="399">
        <f t="shared" si="6"/>
        <v>11391000</v>
      </c>
      <c r="I41" s="402">
        <v>0.1</v>
      </c>
      <c r="K41" s="260">
        <f t="shared" si="2"/>
        <v>9340000</v>
      </c>
      <c r="L41" s="400">
        <f t="shared" si="3"/>
        <v>8339285.7142857136</v>
      </c>
      <c r="M41" s="401">
        <f t="shared" si="4"/>
        <v>13898.809523809523</v>
      </c>
      <c r="O41" s="260"/>
    </row>
    <row r="42" spans="1:15" x14ac:dyDescent="0.2">
      <c r="A42" s="250">
        <v>74</v>
      </c>
      <c r="B42" s="281">
        <v>7</v>
      </c>
      <c r="C42" s="282">
        <v>26</v>
      </c>
      <c r="D42" s="282" t="str">
        <f t="shared" si="0"/>
        <v>Block 7 Lot 26</v>
      </c>
      <c r="E42" s="283" t="s">
        <v>1</v>
      </c>
      <c r="F42" s="282">
        <v>601</v>
      </c>
      <c r="G42" s="284">
        <v>10010000</v>
      </c>
      <c r="H42" s="399">
        <f t="shared" si="6"/>
        <v>11414000</v>
      </c>
      <c r="I42" s="402">
        <v>0.1</v>
      </c>
      <c r="K42" s="260">
        <f t="shared" si="2"/>
        <v>9360000</v>
      </c>
      <c r="L42" s="400">
        <f t="shared" si="3"/>
        <v>8357142.8571428563</v>
      </c>
      <c r="M42" s="401">
        <f t="shared" si="4"/>
        <v>13905.3957689565</v>
      </c>
      <c r="O42" s="260"/>
    </row>
    <row r="43" spans="1:15" x14ac:dyDescent="0.2">
      <c r="A43" s="250">
        <v>76</v>
      </c>
      <c r="B43" s="281">
        <v>8</v>
      </c>
      <c r="C43" s="282">
        <v>2</v>
      </c>
      <c r="D43" s="282" t="str">
        <f t="shared" si="0"/>
        <v>Block 8 Lot 2</v>
      </c>
      <c r="E43" s="283" t="s">
        <v>1</v>
      </c>
      <c r="F43" s="282">
        <v>600</v>
      </c>
      <c r="G43" s="284">
        <v>9210000</v>
      </c>
      <c r="H43" s="399">
        <f t="shared" si="6"/>
        <v>10494000</v>
      </c>
      <c r="I43" s="402">
        <v>0.1</v>
      </c>
      <c r="K43" s="260">
        <f t="shared" si="2"/>
        <v>8560000</v>
      </c>
      <c r="L43" s="400">
        <f t="shared" si="3"/>
        <v>7642857.1428571418</v>
      </c>
      <c r="M43" s="401">
        <f t="shared" si="4"/>
        <v>12738.095238095237</v>
      </c>
      <c r="O43" s="260"/>
    </row>
    <row r="44" spans="1:15" x14ac:dyDescent="0.2">
      <c r="A44" s="250">
        <v>77</v>
      </c>
      <c r="B44" s="281">
        <v>8</v>
      </c>
      <c r="C44" s="282">
        <v>3</v>
      </c>
      <c r="D44" s="282" t="str">
        <f t="shared" si="0"/>
        <v>Block 8 Lot 3</v>
      </c>
      <c r="E44" s="283" t="s">
        <v>1</v>
      </c>
      <c r="F44" s="282">
        <v>590</v>
      </c>
      <c r="G44" s="284">
        <v>9070000</v>
      </c>
      <c r="H44" s="399">
        <f t="shared" si="6"/>
        <v>10333000</v>
      </c>
      <c r="I44" s="402">
        <v>0.1</v>
      </c>
      <c r="K44" s="260">
        <f t="shared" si="2"/>
        <v>8420000</v>
      </c>
      <c r="L44" s="400">
        <f t="shared" si="3"/>
        <v>7517857.1428571418</v>
      </c>
      <c r="M44" s="401">
        <f t="shared" si="4"/>
        <v>12742.130750605325</v>
      </c>
      <c r="O44" s="260"/>
    </row>
    <row r="45" spans="1:15" x14ac:dyDescent="0.2">
      <c r="A45" s="250">
        <v>78</v>
      </c>
      <c r="B45" s="281">
        <v>8</v>
      </c>
      <c r="C45" s="282">
        <v>5</v>
      </c>
      <c r="D45" s="282" t="str">
        <f t="shared" si="0"/>
        <v>Block 8 Lot 5</v>
      </c>
      <c r="E45" s="283" t="s">
        <v>1</v>
      </c>
      <c r="F45" s="282">
        <v>590</v>
      </c>
      <c r="G45" s="284">
        <v>9450000</v>
      </c>
      <c r="H45" s="399">
        <f t="shared" si="6"/>
        <v>10770000</v>
      </c>
      <c r="I45" s="402">
        <v>0.1</v>
      </c>
      <c r="K45" s="260">
        <f t="shared" si="2"/>
        <v>8800000</v>
      </c>
      <c r="L45" s="400">
        <f t="shared" si="3"/>
        <v>7857142.8571428563</v>
      </c>
      <c r="M45" s="401">
        <f t="shared" si="4"/>
        <v>13317.191283292977</v>
      </c>
      <c r="O45" s="260"/>
    </row>
    <row r="46" spans="1:15" x14ac:dyDescent="0.2">
      <c r="A46" s="250">
        <v>79</v>
      </c>
      <c r="B46" s="281">
        <v>8</v>
      </c>
      <c r="C46" s="282">
        <v>6</v>
      </c>
      <c r="D46" s="282" t="str">
        <f t="shared" si="0"/>
        <v>Block 8 Lot 6</v>
      </c>
      <c r="E46" s="283" t="s">
        <v>1</v>
      </c>
      <c r="F46" s="282">
        <v>590</v>
      </c>
      <c r="G46" s="284">
        <v>9450000</v>
      </c>
      <c r="H46" s="399">
        <f t="shared" si="6"/>
        <v>10770000</v>
      </c>
      <c r="I46" s="402">
        <v>0.1</v>
      </c>
      <c r="K46" s="260">
        <f t="shared" si="2"/>
        <v>8800000</v>
      </c>
      <c r="L46" s="400">
        <f t="shared" si="3"/>
        <v>7857142.8571428563</v>
      </c>
      <c r="M46" s="401">
        <f t="shared" si="4"/>
        <v>13317.191283292977</v>
      </c>
      <c r="O46" s="260"/>
    </row>
    <row r="47" spans="1:15" x14ac:dyDescent="0.2">
      <c r="A47" s="250">
        <v>80</v>
      </c>
      <c r="B47" s="281">
        <v>8</v>
      </c>
      <c r="C47" s="282">
        <v>7</v>
      </c>
      <c r="D47" s="282" t="str">
        <f t="shared" si="0"/>
        <v>Block 8 Lot 7</v>
      </c>
      <c r="E47" s="283" t="s">
        <v>1</v>
      </c>
      <c r="F47" s="282">
        <v>590</v>
      </c>
      <c r="G47" s="284">
        <v>9070000</v>
      </c>
      <c r="H47" s="399">
        <f t="shared" si="6"/>
        <v>10333000</v>
      </c>
      <c r="I47" s="402">
        <v>0.1</v>
      </c>
      <c r="K47" s="260">
        <f t="shared" si="2"/>
        <v>8420000</v>
      </c>
      <c r="L47" s="400">
        <f t="shared" si="3"/>
        <v>7517857.1428571418</v>
      </c>
      <c r="M47" s="401">
        <f t="shared" si="4"/>
        <v>12742.130750605325</v>
      </c>
      <c r="O47" s="260"/>
    </row>
    <row r="48" spans="1:15" x14ac:dyDescent="0.2">
      <c r="A48" s="250">
        <v>81</v>
      </c>
      <c r="B48" s="281">
        <v>8</v>
      </c>
      <c r="C48" s="282">
        <v>8</v>
      </c>
      <c r="D48" s="282" t="str">
        <f t="shared" si="0"/>
        <v>Block 8 Lot 8</v>
      </c>
      <c r="E48" s="283" t="s">
        <v>1</v>
      </c>
      <c r="F48" s="282">
        <v>600</v>
      </c>
      <c r="G48" s="284">
        <v>9370000</v>
      </c>
      <c r="H48" s="399">
        <f t="shared" si="6"/>
        <v>10678000</v>
      </c>
      <c r="I48" s="402">
        <v>0.1</v>
      </c>
      <c r="K48" s="260">
        <f t="shared" si="2"/>
        <v>8720000</v>
      </c>
      <c r="L48" s="400">
        <f t="shared" si="3"/>
        <v>7785714.2857142845</v>
      </c>
      <c r="M48" s="401">
        <f t="shared" si="4"/>
        <v>12976.190476190473</v>
      </c>
      <c r="O48" s="260"/>
    </row>
    <row r="49" spans="1:15" x14ac:dyDescent="0.2">
      <c r="A49" s="250">
        <v>82</v>
      </c>
      <c r="B49" s="281">
        <v>8</v>
      </c>
      <c r="C49" s="282">
        <v>9</v>
      </c>
      <c r="D49" s="282" t="str">
        <f t="shared" si="0"/>
        <v>Block 8 Lot 9</v>
      </c>
      <c r="E49" s="283" t="s">
        <v>1</v>
      </c>
      <c r="F49" s="282">
        <v>601</v>
      </c>
      <c r="G49" s="284">
        <v>9230000</v>
      </c>
      <c r="H49" s="399">
        <f t="shared" si="6"/>
        <v>10517000</v>
      </c>
      <c r="I49" s="402">
        <v>0.1</v>
      </c>
      <c r="K49" s="260">
        <f t="shared" si="2"/>
        <v>8580000</v>
      </c>
      <c r="L49" s="400">
        <f t="shared" si="3"/>
        <v>7660714.2857142854</v>
      </c>
      <c r="M49" s="401">
        <f t="shared" si="4"/>
        <v>12746.612788210126</v>
      </c>
      <c r="O49" s="260"/>
    </row>
    <row r="50" spans="1:15" x14ac:dyDescent="0.2">
      <c r="A50" s="250">
        <v>83</v>
      </c>
      <c r="B50" s="281">
        <v>8</v>
      </c>
      <c r="C50" s="282">
        <v>10</v>
      </c>
      <c r="D50" s="282" t="str">
        <f t="shared" si="0"/>
        <v>Block 8 Lot 10</v>
      </c>
      <c r="E50" s="283" t="s">
        <v>1</v>
      </c>
      <c r="F50" s="282">
        <v>580</v>
      </c>
      <c r="G50" s="284">
        <v>8930000</v>
      </c>
      <c r="H50" s="399">
        <f t="shared" si="6"/>
        <v>10172000</v>
      </c>
      <c r="I50" s="402">
        <v>0.1</v>
      </c>
      <c r="K50" s="260">
        <f t="shared" si="2"/>
        <v>8280000</v>
      </c>
      <c r="L50" s="400">
        <f t="shared" si="3"/>
        <v>7392857.1428571418</v>
      </c>
      <c r="M50" s="401">
        <f t="shared" si="4"/>
        <v>12746.30541871921</v>
      </c>
      <c r="O50" s="260"/>
    </row>
    <row r="51" spans="1:15" x14ac:dyDescent="0.2">
      <c r="A51" s="250">
        <v>84</v>
      </c>
      <c r="B51" s="281">
        <v>8</v>
      </c>
      <c r="C51" s="282">
        <v>11</v>
      </c>
      <c r="D51" s="282" t="str">
        <f t="shared" si="0"/>
        <v>Block 8 Lot 11</v>
      </c>
      <c r="E51" s="283" t="s">
        <v>1</v>
      </c>
      <c r="F51" s="282">
        <v>510</v>
      </c>
      <c r="G51" s="284">
        <v>8260000</v>
      </c>
      <c r="H51" s="399">
        <f t="shared" si="6"/>
        <v>9401500</v>
      </c>
      <c r="I51" s="402">
        <v>0.1</v>
      </c>
      <c r="K51" s="260">
        <f t="shared" si="2"/>
        <v>7610000</v>
      </c>
      <c r="L51" s="400">
        <f t="shared" ref="L51:L53" si="7">+K51/1.12</f>
        <v>6794642.8571428563</v>
      </c>
      <c r="M51" s="401">
        <f t="shared" si="4"/>
        <v>13322.829131652659</v>
      </c>
      <c r="O51" s="260"/>
    </row>
    <row r="52" spans="1:15" x14ac:dyDescent="0.2">
      <c r="A52" s="250">
        <v>85</v>
      </c>
      <c r="B52" s="281">
        <v>8</v>
      </c>
      <c r="C52" s="282">
        <v>12</v>
      </c>
      <c r="D52" s="282" t="str">
        <f t="shared" si="0"/>
        <v>Block 8 Lot 12</v>
      </c>
      <c r="E52" s="283" t="s">
        <v>1</v>
      </c>
      <c r="F52" s="282">
        <v>600</v>
      </c>
      <c r="G52" s="284">
        <v>10380000</v>
      </c>
      <c r="H52" s="399">
        <f t="shared" si="6"/>
        <v>11839500</v>
      </c>
      <c r="I52" s="402">
        <v>0.1</v>
      </c>
      <c r="K52" s="260">
        <f t="shared" si="2"/>
        <v>9730000</v>
      </c>
      <c r="L52" s="400">
        <f t="shared" si="7"/>
        <v>8687500</v>
      </c>
      <c r="M52" s="401">
        <f t="shared" si="4"/>
        <v>14479.166666666666</v>
      </c>
      <c r="O52" s="260"/>
    </row>
    <row r="53" spans="1:15" x14ac:dyDescent="0.2">
      <c r="A53" s="250">
        <v>87</v>
      </c>
      <c r="B53" s="281">
        <v>8</v>
      </c>
      <c r="C53" s="282">
        <v>16</v>
      </c>
      <c r="D53" s="282" t="str">
        <f t="shared" si="0"/>
        <v>Block 8 Lot 16</v>
      </c>
      <c r="E53" s="283" t="s">
        <v>1</v>
      </c>
      <c r="F53" s="282">
        <v>483</v>
      </c>
      <c r="G53" s="284">
        <v>7230000</v>
      </c>
      <c r="H53" s="399">
        <f t="shared" si="6"/>
        <v>8216999.9999999991</v>
      </c>
      <c r="I53" s="402">
        <v>0.1</v>
      </c>
      <c r="K53" s="260">
        <f t="shared" si="2"/>
        <v>6580000</v>
      </c>
      <c r="L53" s="400">
        <f t="shared" si="7"/>
        <v>5874999.9999999991</v>
      </c>
      <c r="M53" s="401">
        <f t="shared" si="4"/>
        <v>12163.561076604554</v>
      </c>
      <c r="O53" s="260"/>
    </row>
    <row r="54" spans="1:15" x14ac:dyDescent="0.2">
      <c r="A54" s="250">
        <v>88</v>
      </c>
      <c r="B54" s="281">
        <v>9</v>
      </c>
      <c r="C54" s="282">
        <v>1</v>
      </c>
      <c r="D54" s="282" t="str">
        <f t="shared" si="0"/>
        <v>Block 9 Lot 1</v>
      </c>
      <c r="E54" s="283" t="s">
        <v>1</v>
      </c>
      <c r="F54" s="282">
        <v>558</v>
      </c>
      <c r="G54" s="284">
        <v>11150000</v>
      </c>
      <c r="H54" s="399">
        <f t="shared" si="6"/>
        <v>12724999.999999998</v>
      </c>
      <c r="I54" s="402">
        <v>0.1</v>
      </c>
      <c r="K54" s="260">
        <f t="shared" si="2"/>
        <v>10500000</v>
      </c>
      <c r="L54" s="400">
        <f t="shared" ref="L54:L70" si="8">+K54/1.12</f>
        <v>9375000</v>
      </c>
      <c r="M54" s="401">
        <f t="shared" si="4"/>
        <v>16801.075268817203</v>
      </c>
      <c r="O54" s="260">
        <f t="shared" ref="O54:O70" si="9">+L54*0.1</f>
        <v>937500</v>
      </c>
    </row>
    <row r="55" spans="1:15" x14ac:dyDescent="0.2">
      <c r="A55" s="250">
        <v>89</v>
      </c>
      <c r="B55" s="281">
        <v>9</v>
      </c>
      <c r="C55" s="282">
        <v>2</v>
      </c>
      <c r="D55" s="282" t="str">
        <f t="shared" si="0"/>
        <v>Block 9 Lot 2</v>
      </c>
      <c r="E55" s="283" t="s">
        <v>1</v>
      </c>
      <c r="F55" s="282">
        <v>491</v>
      </c>
      <c r="G55" s="284">
        <v>9890000</v>
      </c>
      <c r="H55" s="399">
        <f t="shared" si="6"/>
        <v>11276000</v>
      </c>
      <c r="I55" s="402">
        <v>0.1</v>
      </c>
      <c r="K55" s="260">
        <f t="shared" si="2"/>
        <v>9240000</v>
      </c>
      <c r="L55" s="400">
        <f t="shared" si="8"/>
        <v>8249999.9999999991</v>
      </c>
      <c r="M55" s="401">
        <f t="shared" si="4"/>
        <v>16802.443991853357</v>
      </c>
      <c r="O55" s="260">
        <f t="shared" si="9"/>
        <v>825000</v>
      </c>
    </row>
    <row r="56" spans="1:15" x14ac:dyDescent="0.2">
      <c r="A56" s="250">
        <v>90</v>
      </c>
      <c r="B56" s="281">
        <v>9</v>
      </c>
      <c r="C56" s="282">
        <v>3</v>
      </c>
      <c r="D56" s="282" t="str">
        <f t="shared" si="0"/>
        <v>Block 9 Lot 3</v>
      </c>
      <c r="E56" s="283" t="s">
        <v>1</v>
      </c>
      <c r="F56" s="282">
        <v>450</v>
      </c>
      <c r="G56" s="284">
        <v>9410000</v>
      </c>
      <c r="H56" s="399">
        <f t="shared" si="6"/>
        <v>10724000</v>
      </c>
      <c r="I56" s="402">
        <v>0.1</v>
      </c>
      <c r="K56" s="260">
        <f t="shared" si="2"/>
        <v>8760000</v>
      </c>
      <c r="L56" s="400">
        <f t="shared" si="8"/>
        <v>7821428.5714285709</v>
      </c>
      <c r="M56" s="401">
        <f t="shared" si="4"/>
        <v>17380.952380952378</v>
      </c>
      <c r="O56" s="260">
        <f t="shared" si="9"/>
        <v>782142.85714285716</v>
      </c>
    </row>
    <row r="57" spans="1:15" x14ac:dyDescent="0.2">
      <c r="A57" s="250">
        <v>91</v>
      </c>
      <c r="B57" s="281">
        <v>9</v>
      </c>
      <c r="C57" s="282">
        <v>5</v>
      </c>
      <c r="D57" s="282" t="str">
        <f t="shared" si="0"/>
        <v>Block 9 Lot 5</v>
      </c>
      <c r="E57" s="283" t="s">
        <v>1</v>
      </c>
      <c r="F57" s="282">
        <v>450</v>
      </c>
      <c r="G57" s="284">
        <v>9410000</v>
      </c>
      <c r="H57" s="399">
        <f t="shared" si="6"/>
        <v>10724000</v>
      </c>
      <c r="I57" s="402">
        <v>0.1</v>
      </c>
      <c r="K57" s="260">
        <f t="shared" si="2"/>
        <v>8760000</v>
      </c>
      <c r="L57" s="400">
        <f t="shared" si="8"/>
        <v>7821428.5714285709</v>
      </c>
      <c r="M57" s="401">
        <f t="shared" si="4"/>
        <v>17380.952380952378</v>
      </c>
      <c r="O57" s="260">
        <f t="shared" si="9"/>
        <v>782142.85714285716</v>
      </c>
    </row>
    <row r="58" spans="1:15" x14ac:dyDescent="0.2">
      <c r="A58" s="250">
        <v>117</v>
      </c>
      <c r="B58" s="281">
        <v>16</v>
      </c>
      <c r="C58" s="282">
        <v>1</v>
      </c>
      <c r="D58" s="282" t="str">
        <f t="shared" si="0"/>
        <v>Block 16 Lot 1</v>
      </c>
      <c r="E58" s="283" t="s">
        <v>1</v>
      </c>
      <c r="F58" s="282">
        <v>600</v>
      </c>
      <c r="G58" s="284">
        <v>11640000</v>
      </c>
      <c r="H58" s="399">
        <f t="shared" si="6"/>
        <v>13288499.999999998</v>
      </c>
      <c r="I58" s="402">
        <v>0.1</v>
      </c>
      <c r="K58" s="260">
        <f t="shared" ref="K58:K65" si="10">+G58-650000</f>
        <v>10990000</v>
      </c>
      <c r="L58" s="400">
        <f t="shared" si="8"/>
        <v>9812499.9999999981</v>
      </c>
      <c r="M58" s="401">
        <f t="shared" ref="M58:M65" si="11">+L58/F58</f>
        <v>16354.166666666664</v>
      </c>
      <c r="O58" s="260">
        <f t="shared" si="9"/>
        <v>981249.99999999988</v>
      </c>
    </row>
    <row r="59" spans="1:15" x14ac:dyDescent="0.2">
      <c r="A59" s="250">
        <v>118</v>
      </c>
      <c r="B59" s="281">
        <v>16</v>
      </c>
      <c r="C59" s="282">
        <v>2</v>
      </c>
      <c r="D59" s="282" t="str">
        <f t="shared" si="0"/>
        <v>Block 16 Lot 2</v>
      </c>
      <c r="E59" s="283" t="s">
        <v>1</v>
      </c>
      <c r="F59" s="282">
        <v>579</v>
      </c>
      <c r="G59" s="284">
        <v>10080000</v>
      </c>
      <c r="H59" s="399">
        <f t="shared" si="6"/>
        <v>11494500</v>
      </c>
      <c r="I59" s="402">
        <v>0.1</v>
      </c>
      <c r="K59" s="260">
        <f t="shared" si="10"/>
        <v>9430000</v>
      </c>
      <c r="L59" s="400">
        <f t="shared" si="8"/>
        <v>8419642.8571428563</v>
      </c>
      <c r="M59" s="401">
        <f t="shared" si="11"/>
        <v>14541.697508018749</v>
      </c>
      <c r="O59" s="260">
        <f t="shared" si="9"/>
        <v>841964.28571428568</v>
      </c>
    </row>
    <row r="60" spans="1:15" x14ac:dyDescent="0.2">
      <c r="A60" s="250">
        <v>119</v>
      </c>
      <c r="B60" s="281">
        <v>16</v>
      </c>
      <c r="C60" s="282">
        <v>3</v>
      </c>
      <c r="D60" s="282" t="str">
        <f t="shared" si="0"/>
        <v>Block 16 Lot 3</v>
      </c>
      <c r="E60" s="283" t="s">
        <v>1</v>
      </c>
      <c r="F60" s="282">
        <v>579</v>
      </c>
      <c r="G60" s="284">
        <v>10080000</v>
      </c>
      <c r="H60" s="399">
        <f t="shared" si="6"/>
        <v>11494500</v>
      </c>
      <c r="I60" s="402">
        <v>0.1</v>
      </c>
      <c r="K60" s="260">
        <f t="shared" si="10"/>
        <v>9430000</v>
      </c>
      <c r="L60" s="400">
        <f t="shared" si="8"/>
        <v>8419642.8571428563</v>
      </c>
      <c r="M60" s="401">
        <f t="shared" si="11"/>
        <v>14541.697508018749</v>
      </c>
      <c r="O60" s="260">
        <f t="shared" si="9"/>
        <v>841964.28571428568</v>
      </c>
    </row>
    <row r="61" spans="1:15" x14ac:dyDescent="0.2">
      <c r="A61" s="250">
        <v>120</v>
      </c>
      <c r="B61" s="281">
        <v>16</v>
      </c>
      <c r="C61" s="282">
        <v>5</v>
      </c>
      <c r="D61" s="282" t="str">
        <f t="shared" si="0"/>
        <v>Block 16 Lot 5</v>
      </c>
      <c r="E61" s="283" t="s">
        <v>1</v>
      </c>
      <c r="F61" s="282">
        <v>600</v>
      </c>
      <c r="G61" s="284">
        <v>11230000</v>
      </c>
      <c r="H61" s="399">
        <f t="shared" si="6"/>
        <v>12816999.999999998</v>
      </c>
      <c r="I61" s="402">
        <v>0.1</v>
      </c>
      <c r="K61" s="260">
        <f t="shared" si="10"/>
        <v>10580000</v>
      </c>
      <c r="L61" s="400">
        <f t="shared" si="8"/>
        <v>9446428.5714285709</v>
      </c>
      <c r="M61" s="401">
        <f t="shared" si="11"/>
        <v>15744.047619047618</v>
      </c>
      <c r="O61" s="260">
        <f t="shared" si="9"/>
        <v>944642.85714285716</v>
      </c>
    </row>
    <row r="62" spans="1:15" x14ac:dyDescent="0.2">
      <c r="A62" s="250">
        <v>121</v>
      </c>
      <c r="B62" s="281">
        <v>16</v>
      </c>
      <c r="C62" s="282">
        <v>6</v>
      </c>
      <c r="D62" s="282" t="str">
        <f t="shared" si="0"/>
        <v>Block 16 Lot 6</v>
      </c>
      <c r="E62" s="283" t="s">
        <v>1</v>
      </c>
      <c r="F62" s="282">
        <v>600</v>
      </c>
      <c r="G62" s="284">
        <v>11230000</v>
      </c>
      <c r="H62" s="399">
        <f t="shared" si="6"/>
        <v>12816999.999999998</v>
      </c>
      <c r="I62" s="402">
        <v>0.1</v>
      </c>
      <c r="K62" s="260">
        <f t="shared" si="10"/>
        <v>10580000</v>
      </c>
      <c r="L62" s="400">
        <f t="shared" si="8"/>
        <v>9446428.5714285709</v>
      </c>
      <c r="M62" s="401">
        <f t="shared" si="11"/>
        <v>15744.047619047618</v>
      </c>
      <c r="O62" s="260">
        <f t="shared" si="9"/>
        <v>944642.85714285716</v>
      </c>
    </row>
    <row r="63" spans="1:15" x14ac:dyDescent="0.2">
      <c r="A63" s="250">
        <v>122</v>
      </c>
      <c r="B63" s="281">
        <v>16</v>
      </c>
      <c r="C63" s="282">
        <v>7</v>
      </c>
      <c r="D63" s="282" t="str">
        <f t="shared" si="0"/>
        <v>Block 16 Lot 7</v>
      </c>
      <c r="E63" s="283" t="s">
        <v>1</v>
      </c>
      <c r="F63" s="282">
        <v>549</v>
      </c>
      <c r="G63" s="284">
        <v>9590000</v>
      </c>
      <c r="H63" s="399">
        <f t="shared" si="6"/>
        <v>10931000</v>
      </c>
      <c r="I63" s="402">
        <v>0.1</v>
      </c>
      <c r="K63" s="260">
        <f t="shared" si="10"/>
        <v>8940000</v>
      </c>
      <c r="L63" s="400">
        <f t="shared" si="8"/>
        <v>7982142.8571428563</v>
      </c>
      <c r="M63" s="401">
        <f t="shared" si="11"/>
        <v>14539.422326307571</v>
      </c>
      <c r="O63" s="260">
        <f t="shared" si="9"/>
        <v>798214.28571428568</v>
      </c>
    </row>
    <row r="64" spans="1:15" x14ac:dyDescent="0.2">
      <c r="A64" s="250">
        <v>123</v>
      </c>
      <c r="B64" s="281">
        <v>16</v>
      </c>
      <c r="C64" s="282">
        <v>8</v>
      </c>
      <c r="D64" s="282" t="str">
        <f t="shared" si="0"/>
        <v>Block 16 Lot 8</v>
      </c>
      <c r="E64" s="283" t="s">
        <v>1</v>
      </c>
      <c r="F64" s="282">
        <v>549</v>
      </c>
      <c r="G64" s="284">
        <v>10480000</v>
      </c>
      <c r="H64" s="399">
        <f t="shared" si="6"/>
        <v>11954500</v>
      </c>
      <c r="I64" s="402">
        <v>0.1</v>
      </c>
      <c r="K64" s="260">
        <f t="shared" si="10"/>
        <v>9830000</v>
      </c>
      <c r="L64" s="400">
        <f t="shared" si="8"/>
        <v>8776785.7142857127</v>
      </c>
      <c r="M64" s="401">
        <f t="shared" si="11"/>
        <v>15986.859224564139</v>
      </c>
      <c r="O64" s="260">
        <f t="shared" si="9"/>
        <v>877678.57142857136</v>
      </c>
    </row>
    <row r="65" spans="1:15" x14ac:dyDescent="0.2">
      <c r="A65" s="250">
        <v>124</v>
      </c>
      <c r="B65" s="281">
        <v>16</v>
      </c>
      <c r="C65" s="282">
        <v>9</v>
      </c>
      <c r="D65" s="282" t="str">
        <f t="shared" si="0"/>
        <v>Block 16 Lot 9</v>
      </c>
      <c r="E65" s="283" t="s">
        <v>1</v>
      </c>
      <c r="F65" s="282">
        <v>600</v>
      </c>
      <c r="G65" s="284">
        <v>11640000</v>
      </c>
      <c r="H65" s="399">
        <f t="shared" si="6"/>
        <v>13288499.999999998</v>
      </c>
      <c r="I65" s="402">
        <v>0.1</v>
      </c>
      <c r="K65" s="260">
        <f t="shared" si="10"/>
        <v>10990000</v>
      </c>
      <c r="L65" s="400">
        <f t="shared" si="8"/>
        <v>9812499.9999999981</v>
      </c>
      <c r="M65" s="401">
        <f t="shared" si="11"/>
        <v>16354.166666666664</v>
      </c>
      <c r="O65" s="260">
        <f t="shared" si="9"/>
        <v>981249.99999999988</v>
      </c>
    </row>
    <row r="66" spans="1:15" x14ac:dyDescent="0.2">
      <c r="A66" s="250">
        <v>125</v>
      </c>
      <c r="B66" s="281">
        <v>17</v>
      </c>
      <c r="C66" s="282">
        <v>1</v>
      </c>
      <c r="D66" s="282" t="str">
        <f t="shared" si="0"/>
        <v>Block 17 Lot 1</v>
      </c>
      <c r="E66" s="283" t="s">
        <v>1</v>
      </c>
      <c r="F66" s="282">
        <v>601</v>
      </c>
      <c r="G66" s="284">
        <v>11660000</v>
      </c>
      <c r="H66" s="399">
        <f t="shared" si="6"/>
        <v>13311499.999999998</v>
      </c>
      <c r="I66" s="402">
        <v>0.1</v>
      </c>
      <c r="K66" s="260">
        <f t="shared" ref="K66:K108" si="12">+G66-650000</f>
        <v>11010000</v>
      </c>
      <c r="L66" s="400">
        <f t="shared" si="8"/>
        <v>9830357.1428571418</v>
      </c>
      <c r="M66" s="401">
        <f t="shared" ref="M66:M108" si="13">+L66/F66</f>
        <v>16356.667458996908</v>
      </c>
      <c r="O66" s="260">
        <f t="shared" si="9"/>
        <v>983035.7142857142</v>
      </c>
    </row>
    <row r="67" spans="1:15" x14ac:dyDescent="0.2">
      <c r="A67" s="250">
        <v>126</v>
      </c>
      <c r="B67" s="281">
        <v>17</v>
      </c>
      <c r="C67" s="282">
        <v>2</v>
      </c>
      <c r="D67" s="282" t="str">
        <f t="shared" si="0"/>
        <v>Block 17 Lot 2</v>
      </c>
      <c r="E67" s="283" t="s">
        <v>1</v>
      </c>
      <c r="F67" s="282">
        <v>463</v>
      </c>
      <c r="G67" s="284">
        <v>8190000</v>
      </c>
      <c r="H67" s="399">
        <f t="shared" si="6"/>
        <v>9321000</v>
      </c>
      <c r="I67" s="402">
        <v>0.1</v>
      </c>
      <c r="K67" s="260">
        <f t="shared" si="12"/>
        <v>7540000</v>
      </c>
      <c r="L67" s="400">
        <f t="shared" si="8"/>
        <v>6732142.8571428563</v>
      </c>
      <c r="M67" s="401">
        <f t="shared" si="13"/>
        <v>14540.265350200554</v>
      </c>
      <c r="O67" s="260">
        <f t="shared" si="9"/>
        <v>673214.28571428568</v>
      </c>
    </row>
    <row r="68" spans="1:15" x14ac:dyDescent="0.2">
      <c r="A68" s="250">
        <v>127</v>
      </c>
      <c r="B68" s="281">
        <v>17</v>
      </c>
      <c r="C68" s="282">
        <v>3</v>
      </c>
      <c r="D68" s="282" t="str">
        <f t="shared" ref="D68:D108" si="14">CONCATENATE("Block"," ",B68," ","Lot"," ",C68)</f>
        <v>Block 17 Lot 3</v>
      </c>
      <c r="E68" s="283" t="s">
        <v>1</v>
      </c>
      <c r="F68" s="282">
        <v>600</v>
      </c>
      <c r="G68" s="284">
        <v>11230000</v>
      </c>
      <c r="H68" s="399">
        <f t="shared" si="6"/>
        <v>12816999.999999998</v>
      </c>
      <c r="I68" s="402">
        <v>0.1</v>
      </c>
      <c r="K68" s="260">
        <f t="shared" si="12"/>
        <v>10580000</v>
      </c>
      <c r="L68" s="400">
        <f t="shared" si="8"/>
        <v>9446428.5714285709</v>
      </c>
      <c r="M68" s="401">
        <f t="shared" si="13"/>
        <v>15744.047619047618</v>
      </c>
      <c r="O68" s="260">
        <f t="shared" si="9"/>
        <v>944642.85714285716</v>
      </c>
    </row>
    <row r="69" spans="1:15" x14ac:dyDescent="0.2">
      <c r="A69" s="250">
        <v>128</v>
      </c>
      <c r="B69" s="281">
        <v>17</v>
      </c>
      <c r="C69" s="282">
        <v>5</v>
      </c>
      <c r="D69" s="282" t="str">
        <f t="shared" si="14"/>
        <v>Block 17 Lot 5</v>
      </c>
      <c r="E69" s="283" t="s">
        <v>1</v>
      </c>
      <c r="F69" s="282">
        <v>601</v>
      </c>
      <c r="G69" s="284">
        <v>11660000</v>
      </c>
      <c r="H69" s="399">
        <f t="shared" si="6"/>
        <v>13311499.999999998</v>
      </c>
      <c r="I69" s="402">
        <v>0.1</v>
      </c>
      <c r="K69" s="260">
        <f t="shared" si="12"/>
        <v>11010000</v>
      </c>
      <c r="L69" s="400">
        <f t="shared" si="8"/>
        <v>9830357.1428571418</v>
      </c>
      <c r="M69" s="401">
        <f t="shared" si="13"/>
        <v>16356.667458996908</v>
      </c>
      <c r="O69" s="260">
        <f t="shared" si="9"/>
        <v>983035.7142857142</v>
      </c>
    </row>
    <row r="70" spans="1:15" x14ac:dyDescent="0.2">
      <c r="A70" s="250">
        <v>129</v>
      </c>
      <c r="B70" s="281">
        <v>17</v>
      </c>
      <c r="C70" s="282">
        <v>6</v>
      </c>
      <c r="D70" s="282" t="str">
        <f t="shared" si="14"/>
        <v>Block 17 Lot 6</v>
      </c>
      <c r="E70" s="283" t="s">
        <v>1</v>
      </c>
      <c r="F70" s="282">
        <v>463</v>
      </c>
      <c r="G70" s="284">
        <v>8500000</v>
      </c>
      <c r="H70" s="399">
        <f t="shared" si="6"/>
        <v>9677500</v>
      </c>
      <c r="I70" s="402">
        <v>0.1</v>
      </c>
      <c r="K70" s="260">
        <f t="shared" si="12"/>
        <v>7850000</v>
      </c>
      <c r="L70" s="400">
        <f t="shared" si="8"/>
        <v>7008928.5714285709</v>
      </c>
      <c r="M70" s="401">
        <f t="shared" si="13"/>
        <v>15138.074668312249</v>
      </c>
      <c r="O70" s="260">
        <f t="shared" si="9"/>
        <v>700892.85714285716</v>
      </c>
    </row>
    <row r="71" spans="1:15" x14ac:dyDescent="0.2">
      <c r="A71" s="250">
        <v>130</v>
      </c>
      <c r="B71" s="281">
        <v>17</v>
      </c>
      <c r="C71" s="282">
        <v>7</v>
      </c>
      <c r="D71" s="282" t="str">
        <f t="shared" si="14"/>
        <v>Block 17 Lot 7</v>
      </c>
      <c r="E71" s="283" t="s">
        <v>1</v>
      </c>
      <c r="F71" s="282">
        <v>600</v>
      </c>
      <c r="G71" s="284">
        <v>10820000</v>
      </c>
      <c r="H71" s="399">
        <f t="shared" ref="H71:H108" si="15">((G71-650000)*1.15)+650000</f>
        <v>12345500</v>
      </c>
      <c r="I71" s="402">
        <v>0.1</v>
      </c>
      <c r="K71" s="260">
        <f t="shared" si="12"/>
        <v>10170000</v>
      </c>
      <c r="L71" s="400">
        <f t="shared" ref="L71:L108" si="16">+K71/1.12</f>
        <v>9080357.1428571418</v>
      </c>
      <c r="M71" s="401">
        <f t="shared" si="13"/>
        <v>15133.928571428569</v>
      </c>
      <c r="O71" s="260">
        <f t="shared" ref="O71:O108" si="17">+L71*0.1</f>
        <v>908035.7142857142</v>
      </c>
    </row>
    <row r="72" spans="1:15" x14ac:dyDescent="0.2">
      <c r="A72" s="250">
        <v>131</v>
      </c>
      <c r="B72" s="281">
        <v>18</v>
      </c>
      <c r="C72" s="282">
        <v>1</v>
      </c>
      <c r="D72" s="282" t="str">
        <f t="shared" si="14"/>
        <v>Block 18 Lot 1</v>
      </c>
      <c r="E72" s="283" t="s">
        <v>1</v>
      </c>
      <c r="F72" s="282">
        <v>588</v>
      </c>
      <c r="G72" s="284">
        <v>11020000</v>
      </c>
      <c r="H72" s="399">
        <f t="shared" si="15"/>
        <v>12575500</v>
      </c>
      <c r="I72" s="402">
        <v>0.1</v>
      </c>
      <c r="K72" s="260">
        <f t="shared" si="12"/>
        <v>10370000</v>
      </c>
      <c r="L72" s="400">
        <f t="shared" si="16"/>
        <v>9258928.5714285709</v>
      </c>
      <c r="M72" s="401">
        <f t="shared" si="13"/>
        <v>15746.477162293488</v>
      </c>
      <c r="O72" s="260"/>
    </row>
    <row r="73" spans="1:15" x14ac:dyDescent="0.2">
      <c r="A73" s="250">
        <v>133</v>
      </c>
      <c r="B73" s="281">
        <v>18</v>
      </c>
      <c r="C73" s="282">
        <v>3</v>
      </c>
      <c r="D73" s="282" t="str">
        <f t="shared" si="14"/>
        <v>Block 18 Lot 3</v>
      </c>
      <c r="E73" s="283" t="s">
        <v>1</v>
      </c>
      <c r="F73" s="282">
        <v>450</v>
      </c>
      <c r="G73" s="284">
        <v>9410000</v>
      </c>
      <c r="H73" s="399">
        <f t="shared" si="15"/>
        <v>10724000</v>
      </c>
      <c r="I73" s="402">
        <v>0.1</v>
      </c>
      <c r="K73" s="260">
        <f t="shared" si="12"/>
        <v>8760000</v>
      </c>
      <c r="L73" s="400">
        <f t="shared" si="16"/>
        <v>7821428.5714285709</v>
      </c>
      <c r="M73" s="401">
        <f t="shared" si="13"/>
        <v>17380.952380952378</v>
      </c>
      <c r="O73" s="260"/>
    </row>
    <row r="74" spans="1:15" x14ac:dyDescent="0.2">
      <c r="A74" s="250">
        <v>134</v>
      </c>
      <c r="B74" s="281">
        <v>18</v>
      </c>
      <c r="C74" s="282">
        <v>5</v>
      </c>
      <c r="D74" s="282" t="str">
        <f t="shared" si="14"/>
        <v>Block 18 Lot 5</v>
      </c>
      <c r="E74" s="283" t="s">
        <v>1</v>
      </c>
      <c r="F74" s="282">
        <v>600</v>
      </c>
      <c r="G74" s="284">
        <v>11230000</v>
      </c>
      <c r="H74" s="399">
        <f t="shared" si="15"/>
        <v>12816999.999999998</v>
      </c>
      <c r="I74" s="402">
        <v>0.1</v>
      </c>
      <c r="K74" s="260">
        <f t="shared" si="12"/>
        <v>10580000</v>
      </c>
      <c r="L74" s="400">
        <f t="shared" si="16"/>
        <v>9446428.5714285709</v>
      </c>
      <c r="M74" s="401">
        <f t="shared" si="13"/>
        <v>15744.047619047618</v>
      </c>
      <c r="O74" s="260"/>
    </row>
    <row r="75" spans="1:15" x14ac:dyDescent="0.2">
      <c r="A75" s="250">
        <v>135</v>
      </c>
      <c r="B75" s="281">
        <v>18</v>
      </c>
      <c r="C75" s="282">
        <v>6</v>
      </c>
      <c r="D75" s="282" t="str">
        <f t="shared" si="14"/>
        <v>Block 18 Lot 6</v>
      </c>
      <c r="E75" s="283" t="s">
        <v>1</v>
      </c>
      <c r="F75" s="282">
        <v>500</v>
      </c>
      <c r="G75" s="284">
        <v>8790000</v>
      </c>
      <c r="H75" s="399">
        <f t="shared" si="15"/>
        <v>10011000</v>
      </c>
      <c r="I75" s="402">
        <v>0.1</v>
      </c>
      <c r="K75" s="260">
        <f t="shared" si="12"/>
        <v>8140000</v>
      </c>
      <c r="L75" s="400">
        <f t="shared" si="16"/>
        <v>7267857.1428571418</v>
      </c>
      <c r="M75" s="401">
        <f t="shared" si="13"/>
        <v>14535.714285714284</v>
      </c>
      <c r="O75" s="260"/>
    </row>
    <row r="76" spans="1:15" x14ac:dyDescent="0.2">
      <c r="A76" s="250">
        <v>136</v>
      </c>
      <c r="B76" s="281">
        <v>18</v>
      </c>
      <c r="C76" s="282">
        <v>7</v>
      </c>
      <c r="D76" s="282" t="str">
        <f t="shared" si="14"/>
        <v>Block 18 Lot 7</v>
      </c>
      <c r="E76" s="283" t="s">
        <v>1</v>
      </c>
      <c r="F76" s="282">
        <v>500</v>
      </c>
      <c r="G76" s="284">
        <v>8790000</v>
      </c>
      <c r="H76" s="399">
        <f t="shared" si="15"/>
        <v>10011000</v>
      </c>
      <c r="I76" s="402">
        <v>0.1</v>
      </c>
      <c r="K76" s="260">
        <f t="shared" si="12"/>
        <v>8140000</v>
      </c>
      <c r="L76" s="400">
        <f t="shared" si="16"/>
        <v>7267857.1428571418</v>
      </c>
      <c r="M76" s="401">
        <f t="shared" si="13"/>
        <v>14535.714285714284</v>
      </c>
      <c r="O76" s="260"/>
    </row>
    <row r="77" spans="1:15" x14ac:dyDescent="0.2">
      <c r="A77" s="250">
        <v>137</v>
      </c>
      <c r="B77" s="281">
        <v>18</v>
      </c>
      <c r="C77" s="282">
        <v>8</v>
      </c>
      <c r="D77" s="282" t="str">
        <f t="shared" si="14"/>
        <v>Block 18 Lot 8</v>
      </c>
      <c r="E77" s="283" t="s">
        <v>1</v>
      </c>
      <c r="F77" s="282">
        <v>500</v>
      </c>
      <c r="G77" s="284">
        <v>10840000</v>
      </c>
      <c r="H77" s="399">
        <f t="shared" si="15"/>
        <v>12368500</v>
      </c>
      <c r="I77" s="402">
        <v>0.1</v>
      </c>
      <c r="K77" s="260">
        <f t="shared" si="12"/>
        <v>10190000</v>
      </c>
      <c r="L77" s="400">
        <f t="shared" si="16"/>
        <v>9098214.2857142854</v>
      </c>
      <c r="M77" s="401">
        <f t="shared" si="13"/>
        <v>18196.428571428572</v>
      </c>
      <c r="O77" s="260"/>
    </row>
    <row r="78" spans="1:15" x14ac:dyDescent="0.2">
      <c r="A78" s="250">
        <v>138</v>
      </c>
      <c r="B78" s="281">
        <v>18</v>
      </c>
      <c r="C78" s="282">
        <v>9</v>
      </c>
      <c r="D78" s="282" t="str">
        <f t="shared" si="14"/>
        <v>Block 18 Lot 9</v>
      </c>
      <c r="E78" s="283" t="s">
        <v>1</v>
      </c>
      <c r="F78" s="282">
        <v>500</v>
      </c>
      <c r="G78" s="284">
        <v>10710000</v>
      </c>
      <c r="H78" s="399">
        <f t="shared" si="15"/>
        <v>12219000</v>
      </c>
      <c r="I78" s="402">
        <v>0.1</v>
      </c>
      <c r="K78" s="260">
        <f t="shared" si="12"/>
        <v>10060000</v>
      </c>
      <c r="L78" s="400">
        <f t="shared" si="16"/>
        <v>8982142.8571428563</v>
      </c>
      <c r="M78" s="401">
        <f t="shared" si="13"/>
        <v>17964.285714285714</v>
      </c>
      <c r="O78" s="260"/>
    </row>
    <row r="79" spans="1:15" x14ac:dyDescent="0.2">
      <c r="A79" s="250">
        <v>139</v>
      </c>
      <c r="B79" s="281">
        <v>18</v>
      </c>
      <c r="C79" s="282">
        <v>10</v>
      </c>
      <c r="D79" s="282" t="str">
        <f t="shared" si="14"/>
        <v>Block 18 Lot 10</v>
      </c>
      <c r="E79" s="283" t="s">
        <v>1</v>
      </c>
      <c r="F79" s="282">
        <v>500</v>
      </c>
      <c r="G79" s="284">
        <v>10380000</v>
      </c>
      <c r="H79" s="399">
        <f t="shared" si="15"/>
        <v>11839500</v>
      </c>
      <c r="I79" s="402">
        <v>0.1</v>
      </c>
      <c r="K79" s="260">
        <f t="shared" si="12"/>
        <v>9730000</v>
      </c>
      <c r="L79" s="400">
        <f t="shared" si="16"/>
        <v>8687500</v>
      </c>
      <c r="M79" s="401">
        <f t="shared" si="13"/>
        <v>17375</v>
      </c>
      <c r="O79" s="260"/>
    </row>
    <row r="80" spans="1:15" x14ac:dyDescent="0.2">
      <c r="A80" s="250">
        <v>140</v>
      </c>
      <c r="B80" s="281">
        <v>18</v>
      </c>
      <c r="C80" s="282">
        <v>11</v>
      </c>
      <c r="D80" s="282" t="str">
        <f t="shared" si="14"/>
        <v>Block 18 Lot 11</v>
      </c>
      <c r="E80" s="283" t="s">
        <v>1</v>
      </c>
      <c r="F80" s="282">
        <v>450</v>
      </c>
      <c r="G80" s="284">
        <v>9410000</v>
      </c>
      <c r="H80" s="399">
        <f t="shared" si="15"/>
        <v>10724000</v>
      </c>
      <c r="I80" s="402">
        <v>0.1</v>
      </c>
      <c r="K80" s="260">
        <f t="shared" si="12"/>
        <v>8760000</v>
      </c>
      <c r="L80" s="400">
        <f t="shared" si="16"/>
        <v>7821428.5714285709</v>
      </c>
      <c r="M80" s="401">
        <f t="shared" si="13"/>
        <v>17380.952380952378</v>
      </c>
      <c r="O80" s="260"/>
    </row>
    <row r="81" spans="1:15" x14ac:dyDescent="0.2">
      <c r="A81" s="250">
        <v>141</v>
      </c>
      <c r="B81" s="281">
        <v>19</v>
      </c>
      <c r="C81" s="282">
        <v>1</v>
      </c>
      <c r="D81" s="282" t="str">
        <f t="shared" si="14"/>
        <v>Block 19 Lot 1</v>
      </c>
      <c r="E81" s="283" t="s">
        <v>1</v>
      </c>
      <c r="F81" s="282">
        <v>600</v>
      </c>
      <c r="G81" s="284">
        <v>11230000</v>
      </c>
      <c r="H81" s="399">
        <f t="shared" si="15"/>
        <v>12816999.999999998</v>
      </c>
      <c r="I81" s="402">
        <v>0.1</v>
      </c>
      <c r="K81" s="260">
        <f t="shared" si="12"/>
        <v>10580000</v>
      </c>
      <c r="L81" s="400">
        <f t="shared" si="16"/>
        <v>9446428.5714285709</v>
      </c>
      <c r="M81" s="401">
        <f t="shared" si="13"/>
        <v>15744.047619047618</v>
      </c>
      <c r="O81" s="260"/>
    </row>
    <row r="82" spans="1:15" x14ac:dyDescent="0.2">
      <c r="A82" s="250">
        <v>142</v>
      </c>
      <c r="B82" s="281">
        <v>19</v>
      </c>
      <c r="C82" s="282">
        <v>2</v>
      </c>
      <c r="D82" s="282" t="str">
        <f t="shared" si="14"/>
        <v>Block 19 Lot 2</v>
      </c>
      <c r="E82" s="283" t="s">
        <v>1</v>
      </c>
      <c r="F82" s="282">
        <v>550</v>
      </c>
      <c r="G82" s="284">
        <v>9230000</v>
      </c>
      <c r="H82" s="399">
        <f t="shared" si="15"/>
        <v>10517000</v>
      </c>
      <c r="I82" s="402">
        <v>0.1</v>
      </c>
      <c r="K82" s="260">
        <f t="shared" si="12"/>
        <v>8580000</v>
      </c>
      <c r="L82" s="400">
        <f t="shared" si="16"/>
        <v>7660714.2857142854</v>
      </c>
      <c r="M82" s="401">
        <f t="shared" si="13"/>
        <v>13928.571428571428</v>
      </c>
      <c r="O82" s="260"/>
    </row>
    <row r="83" spans="1:15" x14ac:dyDescent="0.2">
      <c r="A83" s="250">
        <v>143</v>
      </c>
      <c r="B83" s="281">
        <v>19</v>
      </c>
      <c r="C83" s="282">
        <v>3</v>
      </c>
      <c r="D83" s="282" t="str">
        <f t="shared" si="14"/>
        <v>Block 19 Lot 3</v>
      </c>
      <c r="E83" s="283" t="s">
        <v>1</v>
      </c>
      <c r="F83" s="282">
        <v>570</v>
      </c>
      <c r="G83" s="284">
        <v>9160000</v>
      </c>
      <c r="H83" s="399">
        <f t="shared" si="15"/>
        <v>10436500</v>
      </c>
      <c r="I83" s="402">
        <v>0.1</v>
      </c>
      <c r="K83" s="260">
        <f t="shared" si="12"/>
        <v>8510000</v>
      </c>
      <c r="L83" s="400">
        <f t="shared" si="16"/>
        <v>7598214.2857142854</v>
      </c>
      <c r="M83" s="401">
        <f t="shared" si="13"/>
        <v>13330.200501253132</v>
      </c>
      <c r="O83" s="260"/>
    </row>
    <row r="84" spans="1:15" x14ac:dyDescent="0.2">
      <c r="A84" s="250">
        <v>144</v>
      </c>
      <c r="B84" s="281">
        <v>19</v>
      </c>
      <c r="C84" s="282">
        <v>5</v>
      </c>
      <c r="D84" s="282" t="str">
        <f t="shared" si="14"/>
        <v>Block 19 Lot 5</v>
      </c>
      <c r="E84" s="283" t="s">
        <v>1</v>
      </c>
      <c r="F84" s="282">
        <v>570</v>
      </c>
      <c r="G84" s="284">
        <v>10310000</v>
      </c>
      <c r="H84" s="399">
        <f t="shared" si="15"/>
        <v>11759000</v>
      </c>
      <c r="I84" s="402">
        <v>0.1</v>
      </c>
      <c r="K84" s="260">
        <f t="shared" si="12"/>
        <v>9660000</v>
      </c>
      <c r="L84" s="400">
        <f t="shared" si="16"/>
        <v>8625000</v>
      </c>
      <c r="M84" s="401">
        <f t="shared" si="13"/>
        <v>15131.578947368422</v>
      </c>
      <c r="O84" s="260"/>
    </row>
    <row r="85" spans="1:15" x14ac:dyDescent="0.2">
      <c r="A85" s="250">
        <v>145</v>
      </c>
      <c r="B85" s="281">
        <v>20</v>
      </c>
      <c r="C85" s="282">
        <v>1</v>
      </c>
      <c r="D85" s="282" t="str">
        <f t="shared" si="14"/>
        <v>Block 20 Lot 1</v>
      </c>
      <c r="E85" s="283" t="s">
        <v>1</v>
      </c>
      <c r="F85" s="282">
        <v>600</v>
      </c>
      <c r="G85" s="284">
        <v>11640000</v>
      </c>
      <c r="H85" s="399">
        <f t="shared" si="15"/>
        <v>13288499.999999998</v>
      </c>
      <c r="I85" s="402">
        <v>0.1</v>
      </c>
      <c r="K85" s="260">
        <f t="shared" si="12"/>
        <v>10990000</v>
      </c>
      <c r="L85" s="400">
        <f t="shared" si="16"/>
        <v>9812499.9999999981</v>
      </c>
      <c r="M85" s="401">
        <f t="shared" si="13"/>
        <v>16354.166666666664</v>
      </c>
      <c r="O85" s="260">
        <f t="shared" si="17"/>
        <v>981249.99999999988</v>
      </c>
    </row>
    <row r="86" spans="1:15" x14ac:dyDescent="0.2">
      <c r="A86" s="250">
        <v>146</v>
      </c>
      <c r="B86" s="281">
        <v>20</v>
      </c>
      <c r="C86" s="282">
        <v>2</v>
      </c>
      <c r="D86" s="282" t="str">
        <f t="shared" si="14"/>
        <v>Block 20 Lot 2</v>
      </c>
      <c r="E86" s="283" t="s">
        <v>1</v>
      </c>
      <c r="F86" s="282">
        <v>540</v>
      </c>
      <c r="G86" s="284">
        <v>9810000</v>
      </c>
      <c r="H86" s="399">
        <f t="shared" si="15"/>
        <v>11184000</v>
      </c>
      <c r="I86" s="402">
        <v>0.1</v>
      </c>
      <c r="K86" s="260">
        <f t="shared" si="12"/>
        <v>9160000</v>
      </c>
      <c r="L86" s="400">
        <f t="shared" si="16"/>
        <v>8178571.4285714282</v>
      </c>
      <c r="M86" s="401">
        <f t="shared" si="13"/>
        <v>15145.502645502645</v>
      </c>
      <c r="O86" s="260">
        <f t="shared" si="17"/>
        <v>817857.14285714284</v>
      </c>
    </row>
    <row r="87" spans="1:15" x14ac:dyDescent="0.2">
      <c r="A87" s="250">
        <v>147</v>
      </c>
      <c r="B87" s="281">
        <v>20</v>
      </c>
      <c r="C87" s="282">
        <v>3</v>
      </c>
      <c r="D87" s="282" t="str">
        <f t="shared" si="14"/>
        <v>Block 20 Lot 3</v>
      </c>
      <c r="E87" s="283" t="s">
        <v>1</v>
      </c>
      <c r="F87" s="282">
        <v>540</v>
      </c>
      <c r="G87" s="284">
        <v>9810000</v>
      </c>
      <c r="H87" s="399">
        <f t="shared" si="15"/>
        <v>11184000</v>
      </c>
      <c r="I87" s="402">
        <v>0.1</v>
      </c>
      <c r="K87" s="260">
        <f t="shared" si="12"/>
        <v>9160000</v>
      </c>
      <c r="L87" s="400">
        <f t="shared" si="16"/>
        <v>8178571.4285714282</v>
      </c>
      <c r="M87" s="401">
        <f t="shared" si="13"/>
        <v>15145.502645502645</v>
      </c>
      <c r="O87" s="260">
        <f t="shared" si="17"/>
        <v>817857.14285714284</v>
      </c>
    </row>
    <row r="88" spans="1:15" x14ac:dyDescent="0.2">
      <c r="A88" s="250">
        <v>148</v>
      </c>
      <c r="B88" s="281">
        <v>21</v>
      </c>
      <c r="C88" s="282">
        <v>1</v>
      </c>
      <c r="D88" s="282" t="str">
        <f t="shared" si="14"/>
        <v>Block 21 Lot 1</v>
      </c>
      <c r="E88" s="283" t="s">
        <v>1</v>
      </c>
      <c r="F88" s="282">
        <v>600</v>
      </c>
      <c r="G88" s="284">
        <v>11640000</v>
      </c>
      <c r="H88" s="399">
        <f t="shared" si="15"/>
        <v>13288499.999999998</v>
      </c>
      <c r="I88" s="402">
        <v>0.1</v>
      </c>
      <c r="K88" s="260">
        <f t="shared" si="12"/>
        <v>10990000</v>
      </c>
      <c r="L88" s="400">
        <f t="shared" si="16"/>
        <v>9812499.9999999981</v>
      </c>
      <c r="M88" s="401">
        <f t="shared" si="13"/>
        <v>16354.166666666664</v>
      </c>
      <c r="O88" s="260">
        <f t="shared" si="17"/>
        <v>981249.99999999988</v>
      </c>
    </row>
    <row r="89" spans="1:15" x14ac:dyDescent="0.2">
      <c r="A89" s="250">
        <v>149</v>
      </c>
      <c r="B89" s="281">
        <v>21</v>
      </c>
      <c r="C89" s="282">
        <v>2</v>
      </c>
      <c r="D89" s="282" t="str">
        <f t="shared" si="14"/>
        <v>Block 21 Lot 2</v>
      </c>
      <c r="E89" s="283" t="s">
        <v>1</v>
      </c>
      <c r="F89" s="282">
        <v>550</v>
      </c>
      <c r="G89" s="284">
        <v>9980000</v>
      </c>
      <c r="H89" s="399">
        <f t="shared" si="15"/>
        <v>11379500</v>
      </c>
      <c r="I89" s="402">
        <v>0.1</v>
      </c>
      <c r="K89" s="260">
        <f t="shared" si="12"/>
        <v>9330000</v>
      </c>
      <c r="L89" s="400">
        <f t="shared" si="16"/>
        <v>8330357.1428571418</v>
      </c>
      <c r="M89" s="401">
        <f t="shared" si="13"/>
        <v>15146.103896103894</v>
      </c>
      <c r="O89" s="260">
        <f t="shared" si="17"/>
        <v>833035.7142857142</v>
      </c>
    </row>
    <row r="90" spans="1:15" x14ac:dyDescent="0.2">
      <c r="A90" s="250">
        <v>150</v>
      </c>
      <c r="B90" s="281">
        <v>21</v>
      </c>
      <c r="C90" s="282">
        <v>3</v>
      </c>
      <c r="D90" s="282" t="str">
        <f t="shared" si="14"/>
        <v>Block 21 Lot 3</v>
      </c>
      <c r="E90" s="283" t="s">
        <v>1</v>
      </c>
      <c r="F90" s="282">
        <v>550</v>
      </c>
      <c r="G90" s="284">
        <v>9980000</v>
      </c>
      <c r="H90" s="399">
        <f t="shared" si="15"/>
        <v>11379500</v>
      </c>
      <c r="I90" s="402">
        <v>0.1</v>
      </c>
      <c r="K90" s="260">
        <f t="shared" si="12"/>
        <v>9330000</v>
      </c>
      <c r="L90" s="400">
        <f t="shared" si="16"/>
        <v>8330357.1428571418</v>
      </c>
      <c r="M90" s="401">
        <f t="shared" si="13"/>
        <v>15146.103896103894</v>
      </c>
      <c r="O90" s="260">
        <f t="shared" si="17"/>
        <v>833035.7142857142</v>
      </c>
    </row>
    <row r="91" spans="1:15" x14ac:dyDescent="0.2">
      <c r="A91" s="250">
        <v>151</v>
      </c>
      <c r="B91" s="281">
        <v>21</v>
      </c>
      <c r="C91" s="282">
        <v>5</v>
      </c>
      <c r="D91" s="282" t="str">
        <f t="shared" si="14"/>
        <v>Block 21 Lot 5</v>
      </c>
      <c r="E91" s="283" t="s">
        <v>1</v>
      </c>
      <c r="F91" s="282">
        <v>601</v>
      </c>
      <c r="G91" s="284">
        <v>10430000</v>
      </c>
      <c r="H91" s="399">
        <f t="shared" si="15"/>
        <v>11897000</v>
      </c>
      <c r="I91" s="402">
        <v>0.1</v>
      </c>
      <c r="K91" s="260">
        <f t="shared" si="12"/>
        <v>9780000</v>
      </c>
      <c r="L91" s="400">
        <f t="shared" si="16"/>
        <v>8732142.8571428563</v>
      </c>
      <c r="M91" s="401">
        <f t="shared" si="13"/>
        <v>14529.35583551224</v>
      </c>
      <c r="O91" s="260">
        <f t="shared" si="17"/>
        <v>873214.28571428568</v>
      </c>
    </row>
    <row r="92" spans="1:15" x14ac:dyDescent="0.2">
      <c r="A92" s="250">
        <v>152</v>
      </c>
      <c r="B92" s="281">
        <v>23</v>
      </c>
      <c r="C92" s="282">
        <v>1</v>
      </c>
      <c r="D92" s="282" t="str">
        <f t="shared" si="14"/>
        <v>Block 23 Lot 1</v>
      </c>
      <c r="E92" s="283" t="s">
        <v>1</v>
      </c>
      <c r="F92" s="282">
        <v>529</v>
      </c>
      <c r="G92" s="284">
        <v>8890000</v>
      </c>
      <c r="H92" s="399">
        <f t="shared" si="15"/>
        <v>10126000</v>
      </c>
      <c r="I92" s="402">
        <v>0.1</v>
      </c>
      <c r="K92" s="260">
        <f t="shared" si="12"/>
        <v>8240000</v>
      </c>
      <c r="L92" s="400">
        <f t="shared" si="16"/>
        <v>7357142.8571428563</v>
      </c>
      <c r="M92" s="401">
        <f t="shared" si="13"/>
        <v>13907.642452065891</v>
      </c>
      <c r="O92" s="260">
        <f t="shared" si="17"/>
        <v>735714.28571428568</v>
      </c>
    </row>
    <row r="93" spans="1:15" x14ac:dyDescent="0.2">
      <c r="A93" s="250">
        <v>153</v>
      </c>
      <c r="B93" s="281">
        <v>23</v>
      </c>
      <c r="C93" s="282">
        <v>2</v>
      </c>
      <c r="D93" s="282" t="str">
        <f t="shared" si="14"/>
        <v>Block 23 Lot 2</v>
      </c>
      <c r="E93" s="283" t="s">
        <v>1</v>
      </c>
      <c r="F93" s="282">
        <v>595</v>
      </c>
      <c r="G93" s="284">
        <v>9910000</v>
      </c>
      <c r="H93" s="399">
        <f t="shared" si="15"/>
        <v>11299000</v>
      </c>
      <c r="I93" s="402">
        <v>0.1</v>
      </c>
      <c r="K93" s="260">
        <f t="shared" si="12"/>
        <v>9260000</v>
      </c>
      <c r="L93" s="400">
        <f t="shared" si="16"/>
        <v>8267857.1428571418</v>
      </c>
      <c r="M93" s="401">
        <f t="shared" si="13"/>
        <v>13895.558223289314</v>
      </c>
      <c r="O93" s="260">
        <f t="shared" si="17"/>
        <v>826785.7142857142</v>
      </c>
    </row>
    <row r="94" spans="1:15" x14ac:dyDescent="0.2">
      <c r="A94" s="250">
        <v>154</v>
      </c>
      <c r="B94" s="281">
        <v>23</v>
      </c>
      <c r="C94" s="282">
        <v>3</v>
      </c>
      <c r="D94" s="282" t="str">
        <f t="shared" si="14"/>
        <v>Block 23 Lot 3</v>
      </c>
      <c r="E94" s="283" t="s">
        <v>1</v>
      </c>
      <c r="F94" s="282">
        <v>600</v>
      </c>
      <c r="G94" s="284">
        <v>10380000</v>
      </c>
      <c r="H94" s="399">
        <f t="shared" si="15"/>
        <v>11839500</v>
      </c>
      <c r="I94" s="402">
        <v>0.1</v>
      </c>
      <c r="K94" s="260">
        <f t="shared" si="12"/>
        <v>9730000</v>
      </c>
      <c r="L94" s="400">
        <f t="shared" si="16"/>
        <v>8687500</v>
      </c>
      <c r="M94" s="401">
        <f t="shared" si="13"/>
        <v>14479.166666666666</v>
      </c>
      <c r="O94" s="260">
        <f t="shared" si="17"/>
        <v>868750</v>
      </c>
    </row>
    <row r="95" spans="1:15" x14ac:dyDescent="0.2">
      <c r="A95" s="250">
        <v>155</v>
      </c>
      <c r="B95" s="281">
        <v>23</v>
      </c>
      <c r="C95" s="282">
        <v>5</v>
      </c>
      <c r="D95" s="282" t="str">
        <f t="shared" si="14"/>
        <v>Block 23 Lot 5</v>
      </c>
      <c r="E95" s="283" t="s">
        <v>1</v>
      </c>
      <c r="F95" s="282">
        <v>600</v>
      </c>
      <c r="G95" s="284">
        <v>10380000</v>
      </c>
      <c r="H95" s="399">
        <f t="shared" si="15"/>
        <v>11839500</v>
      </c>
      <c r="I95" s="402">
        <v>0.1</v>
      </c>
      <c r="K95" s="260">
        <f t="shared" si="12"/>
        <v>9730000</v>
      </c>
      <c r="L95" s="400">
        <f t="shared" si="16"/>
        <v>8687500</v>
      </c>
      <c r="M95" s="401">
        <f t="shared" si="13"/>
        <v>14479.166666666666</v>
      </c>
      <c r="O95" s="260">
        <f t="shared" si="17"/>
        <v>868750</v>
      </c>
    </row>
    <row r="96" spans="1:15" x14ac:dyDescent="0.2">
      <c r="A96" s="250">
        <v>156</v>
      </c>
      <c r="B96" s="281">
        <v>23</v>
      </c>
      <c r="C96" s="282">
        <v>6</v>
      </c>
      <c r="D96" s="282" t="str">
        <f t="shared" si="14"/>
        <v>Block 23 Lot 6</v>
      </c>
      <c r="E96" s="283" t="s">
        <v>1</v>
      </c>
      <c r="F96" s="282">
        <v>600</v>
      </c>
      <c r="G96" s="284">
        <v>10380000</v>
      </c>
      <c r="H96" s="399">
        <f t="shared" si="15"/>
        <v>11839500</v>
      </c>
      <c r="I96" s="402">
        <v>0.1</v>
      </c>
      <c r="K96" s="260">
        <f t="shared" si="12"/>
        <v>9730000</v>
      </c>
      <c r="L96" s="400">
        <f t="shared" si="16"/>
        <v>8687500</v>
      </c>
      <c r="M96" s="401">
        <f t="shared" si="13"/>
        <v>14479.166666666666</v>
      </c>
      <c r="O96" s="260">
        <f t="shared" si="17"/>
        <v>868750</v>
      </c>
    </row>
    <row r="97" spans="1:15" x14ac:dyDescent="0.2">
      <c r="A97" s="250">
        <v>157</v>
      </c>
      <c r="B97" s="281">
        <v>23</v>
      </c>
      <c r="C97" s="282">
        <v>7</v>
      </c>
      <c r="D97" s="282" t="str">
        <f t="shared" si="14"/>
        <v>Block 23 Lot 7</v>
      </c>
      <c r="E97" s="283" t="s">
        <v>1</v>
      </c>
      <c r="F97" s="282">
        <v>600</v>
      </c>
      <c r="G97" s="284">
        <v>11160000</v>
      </c>
      <c r="H97" s="399">
        <f t="shared" si="15"/>
        <v>12736499.999999998</v>
      </c>
      <c r="I97" s="402">
        <v>0.1</v>
      </c>
      <c r="K97" s="260">
        <f t="shared" si="12"/>
        <v>10510000</v>
      </c>
      <c r="L97" s="400">
        <f t="shared" si="16"/>
        <v>9383928.5714285709</v>
      </c>
      <c r="M97" s="401">
        <f t="shared" si="13"/>
        <v>15639.880952380952</v>
      </c>
      <c r="O97" s="260">
        <f t="shared" si="17"/>
        <v>938392.85714285716</v>
      </c>
    </row>
    <row r="98" spans="1:15" x14ac:dyDescent="0.2">
      <c r="A98" s="250">
        <v>158</v>
      </c>
      <c r="B98" s="281">
        <v>23</v>
      </c>
      <c r="C98" s="282">
        <v>8</v>
      </c>
      <c r="D98" s="282" t="str">
        <f t="shared" si="14"/>
        <v>Block 23 Lot 8</v>
      </c>
      <c r="E98" s="283" t="s">
        <v>1</v>
      </c>
      <c r="F98" s="282">
        <v>600</v>
      </c>
      <c r="G98" s="284">
        <v>10930000</v>
      </c>
      <c r="H98" s="399">
        <f t="shared" si="15"/>
        <v>12472000</v>
      </c>
      <c r="I98" s="402">
        <v>0.1</v>
      </c>
      <c r="K98" s="260">
        <f t="shared" si="12"/>
        <v>10280000</v>
      </c>
      <c r="L98" s="400">
        <f t="shared" si="16"/>
        <v>9178571.4285714272</v>
      </c>
      <c r="M98" s="401">
        <f t="shared" si="13"/>
        <v>15297.619047619046</v>
      </c>
      <c r="O98" s="260">
        <f t="shared" si="17"/>
        <v>917857.14285714272</v>
      </c>
    </row>
    <row r="99" spans="1:15" x14ac:dyDescent="0.2">
      <c r="A99" s="250">
        <v>159</v>
      </c>
      <c r="B99" s="281">
        <v>23</v>
      </c>
      <c r="C99" s="282">
        <v>9</v>
      </c>
      <c r="D99" s="282" t="str">
        <f t="shared" si="14"/>
        <v>Block 23 Lot 9</v>
      </c>
      <c r="E99" s="283" t="s">
        <v>1</v>
      </c>
      <c r="F99" s="282">
        <v>450</v>
      </c>
      <c r="G99" s="284">
        <v>7660000</v>
      </c>
      <c r="H99" s="399">
        <f t="shared" si="15"/>
        <v>8711500</v>
      </c>
      <c r="I99" s="402">
        <v>0.1</v>
      </c>
      <c r="K99" s="260">
        <f t="shared" si="12"/>
        <v>7010000</v>
      </c>
      <c r="L99" s="400">
        <f t="shared" si="16"/>
        <v>6258928.5714285709</v>
      </c>
      <c r="M99" s="401">
        <f t="shared" si="13"/>
        <v>13908.730158730157</v>
      </c>
      <c r="O99" s="260">
        <f t="shared" si="17"/>
        <v>625892.85714285716</v>
      </c>
    </row>
    <row r="100" spans="1:15" x14ac:dyDescent="0.2">
      <c r="A100" s="250">
        <v>160</v>
      </c>
      <c r="B100" s="281">
        <v>23</v>
      </c>
      <c r="C100" s="282">
        <v>10</v>
      </c>
      <c r="D100" s="282" t="str">
        <f t="shared" si="14"/>
        <v>Block 23 Lot 10</v>
      </c>
      <c r="E100" s="283" t="s">
        <v>1</v>
      </c>
      <c r="F100" s="282">
        <v>450</v>
      </c>
      <c r="G100" s="284">
        <v>7660000</v>
      </c>
      <c r="H100" s="399">
        <f t="shared" si="15"/>
        <v>8711500</v>
      </c>
      <c r="I100" s="402">
        <v>0.1</v>
      </c>
      <c r="K100" s="260">
        <f t="shared" si="12"/>
        <v>7010000</v>
      </c>
      <c r="L100" s="400">
        <f t="shared" si="16"/>
        <v>6258928.5714285709</v>
      </c>
      <c r="M100" s="401">
        <f t="shared" si="13"/>
        <v>13908.730158730157</v>
      </c>
      <c r="O100" s="260">
        <f t="shared" si="17"/>
        <v>625892.85714285716</v>
      </c>
    </row>
    <row r="101" spans="1:15" x14ac:dyDescent="0.2">
      <c r="A101" s="250">
        <v>162</v>
      </c>
      <c r="B101" s="281">
        <v>23</v>
      </c>
      <c r="C101" s="282">
        <v>12</v>
      </c>
      <c r="D101" s="282" t="str">
        <f t="shared" si="14"/>
        <v>Block 23 Lot 12</v>
      </c>
      <c r="E101" s="283" t="s">
        <v>1</v>
      </c>
      <c r="F101" s="282">
        <v>450</v>
      </c>
      <c r="G101" s="284">
        <v>7660000</v>
      </c>
      <c r="H101" s="399">
        <f t="shared" si="15"/>
        <v>8711500</v>
      </c>
      <c r="I101" s="402">
        <v>0.1</v>
      </c>
      <c r="K101" s="260">
        <f t="shared" si="12"/>
        <v>7010000</v>
      </c>
      <c r="L101" s="400">
        <f t="shared" si="16"/>
        <v>6258928.5714285709</v>
      </c>
      <c r="M101" s="401">
        <f t="shared" si="13"/>
        <v>13908.730158730157</v>
      </c>
      <c r="O101" s="260">
        <f t="shared" si="17"/>
        <v>625892.85714285716</v>
      </c>
    </row>
    <row r="102" spans="1:15" x14ac:dyDescent="0.2">
      <c r="A102" s="250">
        <v>163</v>
      </c>
      <c r="B102" s="281">
        <v>23</v>
      </c>
      <c r="C102" s="282">
        <v>15</v>
      </c>
      <c r="D102" s="282" t="str">
        <f t="shared" si="14"/>
        <v>Block 23 Lot 15</v>
      </c>
      <c r="E102" s="283" t="s">
        <v>1</v>
      </c>
      <c r="F102" s="282">
        <v>480</v>
      </c>
      <c r="G102" s="284">
        <v>8750000</v>
      </c>
      <c r="H102" s="399">
        <f t="shared" si="15"/>
        <v>9965000</v>
      </c>
      <c r="I102" s="402">
        <v>0.1</v>
      </c>
      <c r="K102" s="260">
        <f t="shared" si="12"/>
        <v>8100000</v>
      </c>
      <c r="L102" s="400">
        <f t="shared" si="16"/>
        <v>7232142.8571428563</v>
      </c>
      <c r="M102" s="401">
        <f t="shared" si="13"/>
        <v>15066.964285714284</v>
      </c>
      <c r="O102" s="260">
        <f t="shared" si="17"/>
        <v>723214.28571428568</v>
      </c>
    </row>
    <row r="103" spans="1:15" x14ac:dyDescent="0.2">
      <c r="A103" s="250">
        <v>164</v>
      </c>
      <c r="B103" s="281">
        <v>23</v>
      </c>
      <c r="C103" s="282">
        <v>16</v>
      </c>
      <c r="D103" s="282" t="str">
        <f t="shared" si="14"/>
        <v>Block 23 Lot 16</v>
      </c>
      <c r="E103" s="283" t="s">
        <v>1</v>
      </c>
      <c r="F103" s="282">
        <v>570</v>
      </c>
      <c r="G103" s="284">
        <v>9160000</v>
      </c>
      <c r="H103" s="399">
        <f t="shared" si="15"/>
        <v>10436500</v>
      </c>
      <c r="I103" s="402">
        <v>0.1</v>
      </c>
      <c r="K103" s="260">
        <f t="shared" si="12"/>
        <v>8510000</v>
      </c>
      <c r="L103" s="400">
        <f t="shared" si="16"/>
        <v>7598214.2857142854</v>
      </c>
      <c r="M103" s="401">
        <f t="shared" si="13"/>
        <v>13330.200501253132</v>
      </c>
      <c r="O103" s="260">
        <f t="shared" si="17"/>
        <v>759821.42857142864</v>
      </c>
    </row>
    <row r="104" spans="1:15" x14ac:dyDescent="0.2">
      <c r="A104" s="250">
        <v>166</v>
      </c>
      <c r="B104" s="281">
        <v>25</v>
      </c>
      <c r="C104" s="282">
        <v>1</v>
      </c>
      <c r="D104" s="282" t="str">
        <f t="shared" si="14"/>
        <v>Block 25 Lot 1</v>
      </c>
      <c r="E104" s="283" t="s">
        <v>1</v>
      </c>
      <c r="F104" s="282">
        <v>600</v>
      </c>
      <c r="G104" s="284">
        <v>10380000</v>
      </c>
      <c r="H104" s="399">
        <f t="shared" si="15"/>
        <v>11839500</v>
      </c>
      <c r="I104" s="402">
        <v>0.1</v>
      </c>
      <c r="K104" s="260">
        <f t="shared" si="12"/>
        <v>9730000</v>
      </c>
      <c r="L104" s="400">
        <f t="shared" si="16"/>
        <v>8687500</v>
      </c>
      <c r="M104" s="401">
        <f t="shared" si="13"/>
        <v>14479.166666666666</v>
      </c>
      <c r="O104" s="260">
        <f t="shared" si="17"/>
        <v>868750</v>
      </c>
    </row>
    <row r="105" spans="1:15" x14ac:dyDescent="0.2">
      <c r="A105" s="250">
        <v>167</v>
      </c>
      <c r="B105" s="281">
        <v>25</v>
      </c>
      <c r="C105" s="282">
        <v>2</v>
      </c>
      <c r="D105" s="282" t="str">
        <f t="shared" si="14"/>
        <v>Block 25 Lot 2</v>
      </c>
      <c r="E105" s="283" t="s">
        <v>1</v>
      </c>
      <c r="F105" s="282">
        <v>545</v>
      </c>
      <c r="G105" s="284">
        <v>8430000</v>
      </c>
      <c r="H105" s="399">
        <f t="shared" si="15"/>
        <v>9597000</v>
      </c>
      <c r="I105" s="402">
        <v>0.1</v>
      </c>
      <c r="K105" s="260">
        <f t="shared" si="12"/>
        <v>7780000</v>
      </c>
      <c r="L105" s="400">
        <f t="shared" si="16"/>
        <v>6946428.5714285709</v>
      </c>
      <c r="M105" s="401">
        <f t="shared" si="13"/>
        <v>12745.740498034074</v>
      </c>
      <c r="O105" s="260">
        <f t="shared" si="17"/>
        <v>694642.85714285716</v>
      </c>
    </row>
    <row r="106" spans="1:15" x14ac:dyDescent="0.2">
      <c r="A106" s="250">
        <v>168</v>
      </c>
      <c r="B106" s="281">
        <v>25</v>
      </c>
      <c r="C106" s="282">
        <v>3</v>
      </c>
      <c r="D106" s="282" t="str">
        <f t="shared" si="14"/>
        <v>Block 25 Lot 3</v>
      </c>
      <c r="E106" s="283" t="s">
        <v>1</v>
      </c>
      <c r="F106" s="282">
        <v>540</v>
      </c>
      <c r="G106" s="284">
        <v>8360000</v>
      </c>
      <c r="H106" s="399">
        <f t="shared" si="15"/>
        <v>9516500</v>
      </c>
      <c r="I106" s="402">
        <v>0.1</v>
      </c>
      <c r="K106" s="260">
        <f t="shared" si="12"/>
        <v>7710000</v>
      </c>
      <c r="L106" s="400">
        <f t="shared" si="16"/>
        <v>6883928.5714285709</v>
      </c>
      <c r="M106" s="401">
        <f t="shared" si="13"/>
        <v>12748.015873015873</v>
      </c>
      <c r="O106" s="260">
        <f t="shared" si="17"/>
        <v>688392.85714285716</v>
      </c>
    </row>
    <row r="107" spans="1:15" x14ac:dyDescent="0.2">
      <c r="A107" s="250">
        <v>169</v>
      </c>
      <c r="B107" s="281">
        <v>25</v>
      </c>
      <c r="C107" s="282">
        <v>5</v>
      </c>
      <c r="D107" s="282" t="str">
        <f t="shared" si="14"/>
        <v>Block 25 Lot 5</v>
      </c>
      <c r="E107" s="283" t="s">
        <v>1</v>
      </c>
      <c r="F107" s="282">
        <v>540</v>
      </c>
      <c r="G107" s="284">
        <v>8360000</v>
      </c>
      <c r="H107" s="399">
        <f t="shared" si="15"/>
        <v>9516500</v>
      </c>
      <c r="I107" s="402">
        <v>0.1</v>
      </c>
      <c r="K107" s="260">
        <f t="shared" si="12"/>
        <v>7710000</v>
      </c>
      <c r="L107" s="400">
        <f t="shared" si="16"/>
        <v>6883928.5714285709</v>
      </c>
      <c r="M107" s="401">
        <f t="shared" si="13"/>
        <v>12748.015873015873</v>
      </c>
      <c r="O107" s="260">
        <f t="shared" si="17"/>
        <v>688392.85714285716</v>
      </c>
    </row>
    <row r="108" spans="1:15" x14ac:dyDescent="0.2">
      <c r="A108" s="250">
        <v>170</v>
      </c>
      <c r="B108" s="281">
        <v>25</v>
      </c>
      <c r="C108" s="282">
        <v>6</v>
      </c>
      <c r="D108" s="282" t="str">
        <f t="shared" si="14"/>
        <v>Block 25 Lot 6</v>
      </c>
      <c r="E108" s="283" t="s">
        <v>1</v>
      </c>
      <c r="F108" s="282">
        <v>520</v>
      </c>
      <c r="G108" s="284">
        <v>8410000</v>
      </c>
      <c r="H108" s="399">
        <f t="shared" si="15"/>
        <v>9574000</v>
      </c>
      <c r="I108" s="402">
        <v>0.1</v>
      </c>
      <c r="K108" s="260">
        <f t="shared" si="12"/>
        <v>7760000</v>
      </c>
      <c r="L108" s="400">
        <f t="shared" si="16"/>
        <v>6928571.4285714282</v>
      </c>
      <c r="M108" s="401">
        <f t="shared" si="13"/>
        <v>13324.175824175823</v>
      </c>
      <c r="O108" s="260">
        <f t="shared" si="17"/>
        <v>692857.14285714284</v>
      </c>
    </row>
    <row r="109" spans="1:15" x14ac:dyDescent="0.2">
      <c r="A109" s="403" t="s">
        <v>34</v>
      </c>
      <c r="G109" s="259"/>
      <c r="H109" s="225"/>
      <c r="I109" s="225"/>
      <c r="L109" s="404">
        <f>+SUM(L5:L108)</f>
        <v>847633928.57142842</v>
      </c>
      <c r="M109" s="259">
        <f>+SUM(M5:M108)</f>
        <v>1528884.263523909</v>
      </c>
      <c r="O109" s="405">
        <f>+SUM(O5:O108)</f>
        <v>48565178.571428575</v>
      </c>
    </row>
    <row r="110" spans="1:15" x14ac:dyDescent="0.2">
      <c r="A110" s="403"/>
      <c r="G110" s="259"/>
      <c r="H110" s="225"/>
      <c r="I110" s="225"/>
      <c r="L110" s="404"/>
      <c r="M110" s="259"/>
      <c r="O110" s="405"/>
    </row>
    <row r="111" spans="1:15" x14ac:dyDescent="0.2">
      <c r="A111" s="403"/>
      <c r="G111" s="259"/>
      <c r="H111" s="225"/>
      <c r="I111" s="225"/>
      <c r="L111" s="404"/>
      <c r="M111" s="259"/>
      <c r="O111" s="405"/>
    </row>
    <row r="112" spans="1:15" x14ac:dyDescent="0.2">
      <c r="A112" s="403"/>
      <c r="G112" s="259">
        <f>+SUM(G5:G108)</f>
        <v>1016950000</v>
      </c>
      <c r="H112" s="225"/>
      <c r="I112" s="225"/>
      <c r="L112" s="404"/>
      <c r="M112" s="259"/>
      <c r="O112" s="405"/>
    </row>
    <row r="113" spans="1:16" x14ac:dyDescent="0.2">
      <c r="A113" s="403"/>
      <c r="G113" s="259"/>
      <c r="H113" s="225"/>
      <c r="I113" s="225"/>
      <c r="L113" s="404"/>
      <c r="M113" s="259"/>
      <c r="O113" s="405"/>
    </row>
    <row r="115" spans="1:16" x14ac:dyDescent="0.2">
      <c r="F115" s="224" t="s">
        <v>19</v>
      </c>
      <c r="G115" s="224"/>
      <c r="H115" s="224"/>
      <c r="I115" s="224"/>
      <c r="J115" s="224"/>
      <c r="K115" s="224"/>
      <c r="L115" s="224" t="s">
        <v>19</v>
      </c>
      <c r="M115" s="224" t="s">
        <v>19</v>
      </c>
      <c r="N115" s="224" t="s">
        <v>17</v>
      </c>
      <c r="O115" s="224" t="s">
        <v>20</v>
      </c>
      <c r="P115" s="224" t="s">
        <v>18</v>
      </c>
    </row>
    <row r="116" spans="1:16" x14ac:dyDescent="0.2">
      <c r="F116" s="401">
        <f t="array" ref="F116">+SUM(IF($E$5:$E$108="Orchard",$F$5:$F$108))</f>
        <v>0</v>
      </c>
      <c r="K116" s="221" t="s">
        <v>15</v>
      </c>
      <c r="L116" s="401">
        <f t="array" ref="L116">+SUM(IF($E$5:$E$108="Orchard",$L$5:$L$108))</f>
        <v>0</v>
      </c>
      <c r="M116" s="401">
        <f t="array" ref="M116">+SUM(IF($E$5:$E$108="Orchard",$M$5:$M$108))</f>
        <v>0</v>
      </c>
      <c r="N116" s="386" t="e">
        <f>+L116/M116</f>
        <v>#DIV/0!</v>
      </c>
      <c r="O116" s="259" t="e">
        <f>+P116*N116</f>
        <v>#DIV/0!</v>
      </c>
      <c r="P116" s="401" t="e">
        <f>+L116/F116</f>
        <v>#DIV/0!</v>
      </c>
    </row>
    <row r="117" spans="1:16" x14ac:dyDescent="0.2">
      <c r="F117" s="401">
        <f t="array" ref="F117">+SUM(IF($E$5:$E$108="Garden",$F$5:$F$108))</f>
        <v>57735</v>
      </c>
      <c r="K117" s="221" t="s">
        <v>16</v>
      </c>
      <c r="L117" s="406">
        <f t="array" ref="L117">+SUM(IF($E$5:$E$108="Garden",$L$5:$L$108))</f>
        <v>847633928.57142842</v>
      </c>
      <c r="M117" s="406">
        <f t="array" ref="M117">+SUM(IF($E$5:$E$108="Garden",$M$5:$M$108))</f>
        <v>1528884.263523909</v>
      </c>
      <c r="N117" s="407">
        <f>+L117/M117</f>
        <v>554.41340380973384</v>
      </c>
      <c r="O117" s="313">
        <f>+P117*N117</f>
        <v>8139596.6315736109</v>
      </c>
      <c r="P117" s="406">
        <f>+L117/F117</f>
        <v>14681.457150280219</v>
      </c>
    </row>
    <row r="118" spans="1:16" x14ac:dyDescent="0.2">
      <c r="F118" s="386">
        <f>+F116+F117</f>
        <v>57735</v>
      </c>
      <c r="L118" s="386">
        <f>+L116+L117</f>
        <v>847633928.57142842</v>
      </c>
      <c r="M118" s="386">
        <f>+M116+M117</f>
        <v>1528884.263523909</v>
      </c>
      <c r="N118" s="386">
        <f>+L118/M118</f>
        <v>554.41340380973384</v>
      </c>
      <c r="O118" s="259">
        <f>+P118*N118</f>
        <v>8139596.6315736109</v>
      </c>
      <c r="P118" s="401">
        <f>+L118/F118</f>
        <v>14681.457150280219</v>
      </c>
    </row>
    <row r="121" spans="1:16" x14ac:dyDescent="0.2">
      <c r="J121" s="221" t="s">
        <v>10</v>
      </c>
    </row>
    <row r="122" spans="1:16" ht="16" thickBot="1" x14ac:dyDescent="0.25"/>
    <row r="123" spans="1:16" x14ac:dyDescent="0.2">
      <c r="J123" s="221" t="s">
        <v>23</v>
      </c>
      <c r="L123" s="259">
        <f>+L109</f>
        <v>847633928.57142842</v>
      </c>
      <c r="O123" s="408">
        <f t="array" ref="O123">+SUM(IF($E$5:$E$108="Orchard",$O$5:$O$108))</f>
        <v>0</v>
      </c>
      <c r="P123" s="409" t="s">
        <v>30</v>
      </c>
    </row>
    <row r="124" spans="1:16" ht="16" thickBot="1" x14ac:dyDescent="0.25">
      <c r="J124" s="221" t="s">
        <v>24</v>
      </c>
      <c r="K124" s="258">
        <v>0.1</v>
      </c>
      <c r="L124" s="260">
        <f>+L123*K124</f>
        <v>84763392.857142851</v>
      </c>
      <c r="O124" s="410">
        <f t="array" ref="O124">+SUM(IF($E$5:$E$108="Garden",$O$5:$O$108))</f>
        <v>48565178.571428575</v>
      </c>
      <c r="P124" s="411" t="s">
        <v>31</v>
      </c>
    </row>
    <row r="125" spans="1:16" x14ac:dyDescent="0.2">
      <c r="J125" s="221" t="s">
        <v>27</v>
      </c>
      <c r="L125" s="412">
        <f>+L123-L124</f>
        <v>762870535.71428561</v>
      </c>
      <c r="O125" s="300"/>
    </row>
    <row r="126" spans="1:16" x14ac:dyDescent="0.2">
      <c r="J126" s="221" t="s">
        <v>25</v>
      </c>
      <c r="K126" s="258">
        <v>0.1</v>
      </c>
      <c r="L126" s="260">
        <f>+(L116-O123)*K126</f>
        <v>0</v>
      </c>
      <c r="M126" s="401"/>
      <c r="O126" s="300"/>
    </row>
    <row r="127" spans="1:16" x14ac:dyDescent="0.2">
      <c r="J127" s="221" t="s">
        <v>26</v>
      </c>
      <c r="K127" s="258">
        <v>0.05</v>
      </c>
      <c r="L127" s="260">
        <f>+((L117-O124)*K127)</f>
        <v>39953437.499999993</v>
      </c>
      <c r="M127" s="401"/>
    </row>
    <row r="128" spans="1:16" x14ac:dyDescent="0.2">
      <c r="J128" s="221" t="s">
        <v>28</v>
      </c>
      <c r="L128" s="412">
        <f>+L125-L126-L127</f>
        <v>722917098.21428561</v>
      </c>
      <c r="M128" s="401"/>
    </row>
    <row r="129" spans="10:13" ht="16" thickBot="1" x14ac:dyDescent="0.25">
      <c r="J129" s="221" t="s">
        <v>29</v>
      </c>
      <c r="K129" s="258">
        <v>0.02</v>
      </c>
      <c r="L129" s="260">
        <f>+L128*K129</f>
        <v>14458341.964285713</v>
      </c>
      <c r="M129" s="260"/>
    </row>
    <row r="130" spans="10:13" ht="16" thickBot="1" x14ac:dyDescent="0.25">
      <c r="J130" s="413" t="s">
        <v>32</v>
      </c>
      <c r="K130" s="414"/>
      <c r="L130" s="415">
        <f>+L128-L129</f>
        <v>708458756.24999988</v>
      </c>
      <c r="M130" s="386"/>
    </row>
    <row r="134" spans="10:13" x14ac:dyDescent="0.2">
      <c r="L134" s="260"/>
      <c r="M134" s="401"/>
    </row>
    <row r="135" spans="10:13" x14ac:dyDescent="0.2">
      <c r="L135" s="259"/>
      <c r="M135" s="259"/>
    </row>
    <row r="136" spans="10:13" x14ac:dyDescent="0.2">
      <c r="L136" s="300"/>
    </row>
  </sheetData>
  <sheetProtection password="C931" sheet="1" objects="1" scenarios="1"/>
  <pageMargins left="0.7" right="0.7" top="0.75" bottom="0.75" header="0.3" footer="0.3"/>
  <pageSetup paperSize="14" scale="55" fitToHeight="2" orientation="portrait"/>
  <headerFooter>
    <oddFooter>&amp;RPRICE LIST (LOI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I34"/>
  <sheetViews>
    <sheetView showGridLines="0" workbookViewId="0">
      <selection activeCell="D5" sqref="D5"/>
    </sheetView>
  </sheetViews>
  <sheetFormatPr baseColWidth="10" defaultColWidth="8.83203125" defaultRowHeight="15" x14ac:dyDescent="0.2"/>
  <cols>
    <col min="1" max="1" width="30.1640625" customWidth="1"/>
    <col min="2" max="2" width="25.6640625" customWidth="1"/>
    <col min="3" max="5" width="25.6640625" style="60" customWidth="1"/>
    <col min="9" max="9" width="16" customWidth="1"/>
  </cols>
  <sheetData>
    <row r="1" spans="1:9" ht="21" x14ac:dyDescent="0.25">
      <c r="A1" s="59" t="s">
        <v>33</v>
      </c>
      <c r="B1" s="59"/>
    </row>
    <row r="2" spans="1:9" ht="21" x14ac:dyDescent="0.25">
      <c r="A2" s="64" t="s">
        <v>181</v>
      </c>
      <c r="B2" s="59"/>
      <c r="E2" s="65" t="s">
        <v>182</v>
      </c>
      <c r="G2" s="145" t="s">
        <v>180</v>
      </c>
    </row>
    <row r="4" spans="1:9" x14ac:dyDescent="0.2">
      <c r="A4" s="46" t="s">
        <v>61</v>
      </c>
      <c r="B4" s="100" t="str">
        <f>INPUT!C11</f>
        <v>Block 5 Lot 11</v>
      </c>
      <c r="C4" s="99"/>
    </row>
    <row r="5" spans="1:9" x14ac:dyDescent="0.2">
      <c r="A5" s="46" t="s">
        <v>5</v>
      </c>
      <c r="B5" s="100" t="str">
        <f>+INPUT!C19</f>
        <v>Garden</v>
      </c>
      <c r="C5" s="99"/>
    </row>
    <row r="6" spans="1:9" x14ac:dyDescent="0.2">
      <c r="A6" s="46" t="s">
        <v>62</v>
      </c>
      <c r="B6" s="106">
        <f>INPUT!C17</f>
        <v>520</v>
      </c>
    </row>
    <row r="7" spans="1:9" ht="16.5" customHeight="1" x14ac:dyDescent="0.2">
      <c r="A7" s="46" t="s">
        <v>77</v>
      </c>
      <c r="B7" s="161">
        <f>INPUT!C18</f>
        <v>9574000</v>
      </c>
    </row>
    <row r="8" spans="1:9" ht="16" thickBot="1" x14ac:dyDescent="0.25"/>
    <row r="9" spans="1:9" ht="28.5" customHeight="1" thickBot="1" x14ac:dyDescent="0.25">
      <c r="B9" s="91" t="s">
        <v>38</v>
      </c>
      <c r="C9" s="92" t="s">
        <v>39</v>
      </c>
      <c r="D9" s="92" t="s">
        <v>40</v>
      </c>
      <c r="E9" s="93" t="s">
        <v>41</v>
      </c>
    </row>
    <row r="10" spans="1:9" ht="59.25" customHeight="1" thickBot="1" x14ac:dyDescent="0.25">
      <c r="A10" s="66"/>
      <c r="B10" s="67" t="s">
        <v>42</v>
      </c>
      <c r="C10" s="68" t="s">
        <v>60</v>
      </c>
      <c r="D10" s="68" t="s">
        <v>58</v>
      </c>
      <c r="E10" s="69" t="s">
        <v>59</v>
      </c>
    </row>
    <row r="11" spans="1:9" ht="6" customHeight="1" thickBot="1" x14ac:dyDescent="0.25">
      <c r="A11" s="70"/>
      <c r="B11" s="71"/>
      <c r="C11" s="72"/>
      <c r="D11" s="72"/>
      <c r="E11" s="73"/>
    </row>
    <row r="12" spans="1:9" ht="16" x14ac:dyDescent="0.2">
      <c r="A12" s="74" t="s">
        <v>55</v>
      </c>
      <c r="B12" s="162">
        <f>B7-650000</f>
        <v>8924000</v>
      </c>
      <c r="C12" s="146">
        <f>+B12</f>
        <v>8924000</v>
      </c>
      <c r="D12" s="146">
        <f>+B12</f>
        <v>8924000</v>
      </c>
      <c r="E12" s="163">
        <f>+B12</f>
        <v>8924000</v>
      </c>
      <c r="I12" s="61"/>
    </row>
    <row r="13" spans="1:9" s="97" customFormat="1" ht="16" x14ac:dyDescent="0.2">
      <c r="A13" s="94" t="s">
        <v>43</v>
      </c>
      <c r="B13" s="142" t="e">
        <f>INPUT!#REF!</f>
        <v>#REF!</v>
      </c>
      <c r="C13" s="142" t="e">
        <f>+B13</f>
        <v>#REF!</v>
      </c>
      <c r="D13" s="142" t="e">
        <f>+B13</f>
        <v>#REF!</v>
      </c>
      <c r="E13" s="143" t="e">
        <f>+B13</f>
        <v>#REF!</v>
      </c>
    </row>
    <row r="14" spans="1:9" ht="16" x14ac:dyDescent="0.2">
      <c r="A14" s="75" t="s">
        <v>44</v>
      </c>
      <c r="B14" s="164" t="e">
        <f>IF(INPUT!#REF!&gt;10%,"maximum of 10% discount",(('PAYMENT TERMS SUMMARY_Non Mem'!B12*'PAYMENT TERMS SUMMARY_Non Mem'!B13)))</f>
        <v>#REF!</v>
      </c>
      <c r="C14" s="164" t="e">
        <f>IF(INPUT!#REF!&gt;10%,"maximum of 10% discount",(('PAYMENT TERMS SUMMARY_Non Mem'!C12*'PAYMENT TERMS SUMMARY_Non Mem'!C13)))</f>
        <v>#REF!</v>
      </c>
      <c r="D14" s="164" t="e">
        <f>IF(INPUT!#REF!&gt;10%,"maximum of 10% discount",(('PAYMENT TERMS SUMMARY_Non Mem'!D12*'PAYMENT TERMS SUMMARY_Non Mem'!D13)))</f>
        <v>#REF!</v>
      </c>
      <c r="E14" s="164" t="e">
        <f>IF(INPUT!#REF!&gt;10%,"maximum of 10% discount",(('PAYMENT TERMS SUMMARY_Non Mem'!E12*'PAYMENT TERMS SUMMARY_Non Mem'!E13)))</f>
        <v>#REF!</v>
      </c>
    </row>
    <row r="15" spans="1:9" s="97" customFormat="1" ht="16" x14ac:dyDescent="0.2">
      <c r="A15" s="94" t="s">
        <v>57</v>
      </c>
      <c r="B15" s="142">
        <f>INPUT!C22</f>
        <v>0.1</v>
      </c>
      <c r="C15" s="142">
        <f>+B15</f>
        <v>0.1</v>
      </c>
      <c r="D15" s="142">
        <f>+B15</f>
        <v>0.1</v>
      </c>
      <c r="E15" s="143">
        <f>+B15</f>
        <v>0.1</v>
      </c>
      <c r="H15" s="103"/>
      <c r="I15" s="98"/>
    </row>
    <row r="16" spans="1:9" ht="16" x14ac:dyDescent="0.2">
      <c r="A16" s="75" t="s">
        <v>44</v>
      </c>
      <c r="B16" s="152" t="e">
        <f>IF(B15&gt;10%,"maximum of 10% discount",((B12-B14)*B15))</f>
        <v>#REF!</v>
      </c>
      <c r="C16" s="152" t="e">
        <f>(C12-C14)*C15</f>
        <v>#REF!</v>
      </c>
      <c r="D16" s="152" t="e">
        <f>(D12-D14)*D15</f>
        <v>#REF!</v>
      </c>
      <c r="E16" s="152" t="e">
        <f>(E12-E14)*E15</f>
        <v>#REF!</v>
      </c>
      <c r="I16" s="61"/>
    </row>
    <row r="17" spans="1:9" ht="16" x14ac:dyDescent="0.2">
      <c r="A17" s="94" t="s">
        <v>56</v>
      </c>
      <c r="B17" s="142" t="e">
        <f>INPUT!#REF!</f>
        <v>#REF!</v>
      </c>
      <c r="C17" s="142" t="e">
        <f>+B17</f>
        <v>#REF!</v>
      </c>
      <c r="D17" s="142" t="e">
        <f>+B17</f>
        <v>#REF!</v>
      </c>
      <c r="E17" s="143" t="e">
        <f>+B17</f>
        <v>#REF!</v>
      </c>
      <c r="I17" s="61"/>
    </row>
    <row r="18" spans="1:9" ht="16" x14ac:dyDescent="0.2">
      <c r="A18" s="75" t="s">
        <v>44</v>
      </c>
      <c r="B18" s="76" t="e">
        <f>IF(B17&gt;2%,"maximum of 2% discount",(B12-B14-B16)*B17)</f>
        <v>#REF!</v>
      </c>
      <c r="C18" s="76" t="e">
        <f>IF(C17&gt;2%,"maximum of 2% discount",(C12-C14-C16)*C17)</f>
        <v>#REF!</v>
      </c>
      <c r="D18" s="76" t="e">
        <f>IF(D17&gt;2%,"maximum of 2% discount",(D12-D14-D16)*D17)</f>
        <v>#REF!</v>
      </c>
      <c r="E18" s="76" t="e">
        <f>IF(E17&gt;2%,"maximum of 2% discount",(E12-E14-E16)*E17)</f>
        <v>#REF!</v>
      </c>
      <c r="I18" s="61"/>
    </row>
    <row r="19" spans="1:9" s="97" customFormat="1" ht="16" x14ac:dyDescent="0.2">
      <c r="A19" s="94" t="s">
        <v>45</v>
      </c>
      <c r="B19" s="142">
        <v>0.2</v>
      </c>
      <c r="C19" s="142">
        <v>0.02</v>
      </c>
      <c r="D19" s="142">
        <v>0</v>
      </c>
      <c r="E19" s="143">
        <v>0</v>
      </c>
      <c r="I19" s="98"/>
    </row>
    <row r="20" spans="1:9" ht="16" x14ac:dyDescent="0.2">
      <c r="A20" s="75" t="s">
        <v>44</v>
      </c>
      <c r="B20" s="152" t="e">
        <f>IF(B19&gt;20%,"maximum of 20% discount",((B12-B14-B16-B18)*B19))</f>
        <v>#REF!</v>
      </c>
      <c r="C20" s="152" t="e">
        <f>IF(C19&gt;2%,"maximum of 2% discount",((C12-C14-C16-C18)*C19))</f>
        <v>#REF!</v>
      </c>
      <c r="D20" s="101" t="e">
        <f>IF(D19&gt;0%,"maximum of 0% discount",((D12-D14-D16-D18)*D19))</f>
        <v>#REF!</v>
      </c>
      <c r="E20" s="101" t="e">
        <f>IF(E19&gt;0%,"maximum of 0% discount",((E12-E14-E16-E18)*E19))</f>
        <v>#REF!</v>
      </c>
      <c r="I20" s="61"/>
    </row>
    <row r="21" spans="1:9" ht="16" x14ac:dyDescent="0.2">
      <c r="A21" s="102" t="s">
        <v>63</v>
      </c>
      <c r="B21" s="165" t="e">
        <f>+B12-B14-B16-B18-B20+650000</f>
        <v>#REF!</v>
      </c>
      <c r="C21" s="165" t="e">
        <f>+C12-C14-C16-C18-C20+650000</f>
        <v>#REF!</v>
      </c>
      <c r="D21" s="165" t="e">
        <f>+D12-D14-D16-D18-D20+650000</f>
        <v>#REF!</v>
      </c>
      <c r="E21" s="165" t="e">
        <f>+E12-E14-E16-E18-E20+650000</f>
        <v>#REF!</v>
      </c>
      <c r="I21" s="61"/>
    </row>
    <row r="22" spans="1:9" ht="3.75" customHeight="1" thickBot="1" x14ac:dyDescent="0.25">
      <c r="A22" s="77"/>
      <c r="B22" s="78"/>
      <c r="C22" s="72"/>
      <c r="D22" s="72"/>
      <c r="E22" s="79"/>
    </row>
    <row r="23" spans="1:9" ht="17" thickBot="1" x14ac:dyDescent="0.25">
      <c r="A23" s="80" t="s">
        <v>46</v>
      </c>
      <c r="B23" s="154">
        <v>50000</v>
      </c>
      <c r="C23" s="154">
        <v>50000</v>
      </c>
      <c r="D23" s="154">
        <v>50000</v>
      </c>
      <c r="E23" s="155">
        <f>D23</f>
        <v>50000</v>
      </c>
    </row>
    <row r="24" spans="1:9" ht="2.25" customHeight="1" thickBot="1" x14ac:dyDescent="0.25">
      <c r="A24" s="77"/>
      <c r="B24" s="78"/>
      <c r="C24" s="72"/>
      <c r="D24" s="72"/>
      <c r="E24" s="79"/>
    </row>
    <row r="25" spans="1:9" ht="16" x14ac:dyDescent="0.2">
      <c r="A25" s="74" t="s">
        <v>47</v>
      </c>
      <c r="B25" s="81">
        <v>0.8</v>
      </c>
      <c r="C25" s="81">
        <v>0.1</v>
      </c>
      <c r="D25" s="81">
        <v>0.1</v>
      </c>
      <c r="E25" s="82">
        <v>0.4</v>
      </c>
      <c r="I25" s="62"/>
    </row>
    <row r="26" spans="1:9" ht="16" x14ac:dyDescent="0.2">
      <c r="A26" s="83" t="s">
        <v>48</v>
      </c>
      <c r="B26" s="159" t="e">
        <f>+(B21*B25)-B23</f>
        <v>#REF!</v>
      </c>
      <c r="C26" s="159" t="e">
        <f>+(C21*C25)-C23</f>
        <v>#REF!</v>
      </c>
      <c r="D26" s="159" t="e">
        <f>+((D21*D25)-D23)/D27</f>
        <v>#REF!</v>
      </c>
      <c r="E26" s="160" t="e">
        <f>+((E21*E25)-E23)/E27</f>
        <v>#REF!</v>
      </c>
    </row>
    <row r="27" spans="1:9" ht="17" thickBot="1" x14ac:dyDescent="0.25">
      <c r="A27" s="85" t="s">
        <v>49</v>
      </c>
      <c r="B27" s="86">
        <v>1</v>
      </c>
      <c r="C27" s="86">
        <v>1</v>
      </c>
      <c r="D27" s="86">
        <v>12</v>
      </c>
      <c r="E27" s="87">
        <v>60</v>
      </c>
    </row>
    <row r="28" spans="1:9" ht="16" x14ac:dyDescent="0.2">
      <c r="A28" s="74" t="s">
        <v>50</v>
      </c>
      <c r="B28" s="88"/>
      <c r="C28" s="81">
        <v>0.4</v>
      </c>
      <c r="D28" s="81">
        <v>0.3</v>
      </c>
      <c r="E28" s="82"/>
    </row>
    <row r="29" spans="1:9" ht="16" x14ac:dyDescent="0.2">
      <c r="A29" s="83" t="s">
        <v>51</v>
      </c>
      <c r="B29" s="89"/>
      <c r="C29" s="159" t="e">
        <f>+(C21*C28)/C30</f>
        <v>#REF!</v>
      </c>
      <c r="D29" s="159" t="e">
        <f>+(D21*D28)/D30</f>
        <v>#REF!</v>
      </c>
      <c r="E29" s="84"/>
    </row>
    <row r="30" spans="1:9" ht="17" thickBot="1" x14ac:dyDescent="0.25">
      <c r="A30" s="85" t="s">
        <v>49</v>
      </c>
      <c r="B30" s="90"/>
      <c r="C30" s="86">
        <v>60</v>
      </c>
      <c r="D30" s="86">
        <v>48</v>
      </c>
      <c r="E30" s="87"/>
    </row>
    <row r="31" spans="1:9" ht="16" x14ac:dyDescent="0.2">
      <c r="A31" s="74" t="s">
        <v>52</v>
      </c>
      <c r="B31" s="81">
        <v>0.2</v>
      </c>
      <c r="C31" s="81">
        <v>0.5</v>
      </c>
      <c r="D31" s="81">
        <v>0.6</v>
      </c>
      <c r="E31" s="82">
        <v>0.6</v>
      </c>
    </row>
    <row r="32" spans="1:9" ht="16" x14ac:dyDescent="0.2">
      <c r="A32" s="83" t="s">
        <v>53</v>
      </c>
      <c r="B32" s="159" t="e">
        <f>+(B31*B21)/B33</f>
        <v>#REF!</v>
      </c>
      <c r="C32" s="159" t="e">
        <f>+(C31*C21)/C33</f>
        <v>#REF!</v>
      </c>
      <c r="D32" s="159" t="e">
        <f>+(D31*D21)/D33</f>
        <v>#REF!</v>
      </c>
      <c r="E32" s="160" t="e">
        <f>+(E31*E21)/E33</f>
        <v>#REF!</v>
      </c>
    </row>
    <row r="33" spans="1:5" ht="17" thickBot="1" x14ac:dyDescent="0.25">
      <c r="A33" s="85" t="s">
        <v>54</v>
      </c>
      <c r="B33" s="86">
        <v>1</v>
      </c>
      <c r="C33" s="86">
        <v>1</v>
      </c>
      <c r="D33" s="86">
        <v>1</v>
      </c>
      <c r="E33" s="87">
        <v>1</v>
      </c>
    </row>
    <row r="34" spans="1:5" x14ac:dyDescent="0.2">
      <c r="A34" s="47" t="s">
        <v>64</v>
      </c>
      <c r="B34" s="63"/>
    </row>
  </sheetData>
  <sheetProtection sheet="1" objects="1" scenarios="1"/>
  <hyperlinks>
    <hyperlink ref="G2" location="INPUT!A1" display="back to input page" xr:uid="{00000000-0004-0000-0300-000000000000}"/>
  </hyperlinks>
  <pageMargins left="0.7" right="0.7" top="0.75" bottom="0.75" header="0.3" footer="0.3"/>
  <pageSetup scale="84" orientation="landscape"/>
  <ignoredErrors>
    <ignoredError sqref="C14:E14 C20 C16:E1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E13" sqref="E13"/>
    </sheetView>
  </sheetViews>
  <sheetFormatPr baseColWidth="10" defaultColWidth="11.5" defaultRowHeight="15" x14ac:dyDescent="0.2"/>
  <sheetData>
    <row r="1" spans="1:1" x14ac:dyDescent="0.2">
      <c r="A1" t="s">
        <v>262</v>
      </c>
    </row>
    <row r="2" spans="1:1" x14ac:dyDescent="0.2">
      <c r="A2" t="s">
        <v>263</v>
      </c>
    </row>
  </sheetData>
  <sheetProtection password="C931" sheet="1" objects="1" scenarios="1"/>
  <pageMargins left="0.75" right="0.75" top="1" bottom="1" header="0.5" footer="0.5"/>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FF00"/>
    <pageSetUpPr fitToPage="1"/>
  </sheetPr>
  <dimension ref="B1:N27"/>
  <sheetViews>
    <sheetView tabSelected="1" topLeftCell="A2" zoomScale="130" zoomScaleNormal="130" zoomScalePageLayoutView="130" workbookViewId="0">
      <selection activeCell="C16" sqref="C16"/>
    </sheetView>
  </sheetViews>
  <sheetFormatPr baseColWidth="10" defaultColWidth="9.1640625" defaultRowHeight="15" x14ac:dyDescent="0.2"/>
  <cols>
    <col min="1" max="1" width="5" style="104" customWidth="1"/>
    <col min="2" max="2" width="30.5" style="104" customWidth="1"/>
    <col min="3" max="3" width="23" style="104" customWidth="1"/>
    <col min="4" max="4" width="1.33203125" style="104" customWidth="1"/>
    <col min="5" max="5" width="46.83203125" style="105" customWidth="1"/>
    <col min="6" max="6" width="9.6640625" style="128" hidden="1" customWidth="1"/>
    <col min="7" max="7" width="3" style="105" customWidth="1"/>
    <col min="8" max="8" width="44.33203125" style="105" customWidth="1"/>
    <col min="9" max="9" width="9.6640625" style="128" hidden="1" customWidth="1"/>
    <col min="10" max="10" width="1.5" style="130" customWidth="1"/>
    <col min="11" max="16384" width="9.1640625" style="104"/>
  </cols>
  <sheetData>
    <row r="1" spans="2:14" ht="25.5" customHeight="1" x14ac:dyDescent="0.25">
      <c r="B1" s="168" t="s">
        <v>33</v>
      </c>
    </row>
    <row r="2" spans="2:14" ht="19" x14ac:dyDescent="0.2">
      <c r="B2" s="167" t="s">
        <v>177</v>
      </c>
      <c r="E2" s="389" t="s">
        <v>276</v>
      </c>
      <c r="H2" s="141"/>
    </row>
    <row r="3" spans="2:14" ht="16" thickBot="1" x14ac:dyDescent="0.25">
      <c r="I3" s="130"/>
      <c r="K3" s="114"/>
      <c r="L3" s="114"/>
      <c r="M3" s="114"/>
      <c r="N3" s="114"/>
    </row>
    <row r="4" spans="2:14" ht="6" customHeight="1" x14ac:dyDescent="0.2">
      <c r="B4" s="115"/>
      <c r="C4" s="116"/>
      <c r="D4" s="116"/>
      <c r="E4" s="117"/>
      <c r="F4" s="129"/>
      <c r="G4" s="117"/>
      <c r="H4" s="117"/>
      <c r="I4" s="129"/>
      <c r="J4" s="134"/>
      <c r="K4" s="114"/>
      <c r="L4" s="114"/>
      <c r="M4" s="114"/>
      <c r="N4" s="114"/>
    </row>
    <row r="5" spans="2:14" x14ac:dyDescent="0.2">
      <c r="B5" s="125" t="s">
        <v>66</v>
      </c>
      <c r="C5" s="114"/>
      <c r="D5" s="114"/>
      <c r="E5" s="112"/>
      <c r="F5" s="130"/>
      <c r="G5" s="112"/>
      <c r="H5" s="112"/>
      <c r="I5" s="130"/>
      <c r="J5" s="135"/>
      <c r="K5" s="114"/>
      <c r="L5" s="114"/>
      <c r="M5" s="114"/>
      <c r="N5" s="114"/>
    </row>
    <row r="6" spans="2:14" x14ac:dyDescent="0.2">
      <c r="B6" s="126" t="s">
        <v>67</v>
      </c>
      <c r="C6" s="177" t="s">
        <v>69</v>
      </c>
      <c r="D6" s="177"/>
      <c r="E6" s="178"/>
      <c r="F6" s="130"/>
      <c r="G6" s="112"/>
      <c r="H6" s="112"/>
      <c r="I6" s="130"/>
      <c r="J6" s="135"/>
      <c r="K6" s="114"/>
      <c r="L6" s="114"/>
      <c r="M6" s="114"/>
      <c r="N6" s="114"/>
    </row>
    <row r="7" spans="2:14" x14ac:dyDescent="0.2">
      <c r="B7" s="126" t="s">
        <v>68</v>
      </c>
      <c r="C7" s="114" t="s">
        <v>70</v>
      </c>
      <c r="D7" s="114"/>
      <c r="E7" s="112"/>
      <c r="F7" s="130"/>
      <c r="G7" s="112"/>
      <c r="H7" s="112"/>
      <c r="I7" s="130"/>
      <c r="J7" s="135"/>
      <c r="K7" s="114"/>
      <c r="L7" s="114"/>
      <c r="M7" s="114"/>
      <c r="N7" s="114"/>
    </row>
    <row r="8" spans="2:14" ht="6" customHeight="1" thickBot="1" x14ac:dyDescent="0.25">
      <c r="B8" s="127"/>
      <c r="C8" s="121"/>
      <c r="D8" s="121"/>
      <c r="E8" s="122"/>
      <c r="F8" s="131"/>
      <c r="G8" s="122"/>
      <c r="H8" s="122"/>
      <c r="I8" s="131"/>
      <c r="J8" s="136"/>
      <c r="K8" s="114"/>
      <c r="L8" s="114"/>
      <c r="M8" s="114"/>
      <c r="N8" s="114"/>
    </row>
    <row r="9" spans="2:14" ht="16" thickBot="1" x14ac:dyDescent="0.25">
      <c r="I9" s="130"/>
      <c r="K9" s="114"/>
      <c r="L9" s="114"/>
      <c r="M9" s="114"/>
      <c r="N9" s="114"/>
    </row>
    <row r="10" spans="2:14" ht="6" customHeight="1" x14ac:dyDescent="0.2">
      <c r="B10" s="115"/>
      <c r="C10" s="179"/>
      <c r="D10" s="116"/>
      <c r="E10" s="117"/>
      <c r="F10" s="129"/>
      <c r="G10" s="117"/>
      <c r="H10" s="117"/>
      <c r="I10" s="129"/>
      <c r="J10" s="134"/>
      <c r="K10" s="114"/>
      <c r="L10" s="114"/>
      <c r="M10" s="114"/>
      <c r="N10" s="114"/>
    </row>
    <row r="11" spans="2:14" ht="16" x14ac:dyDescent="0.2">
      <c r="B11" s="118"/>
      <c r="C11" s="180" t="str">
        <f>CONCATENATE("Block"," ",C14," ","Lot"," ",C15)</f>
        <v>Block 5 Lot 11</v>
      </c>
      <c r="D11" s="114"/>
      <c r="E11" s="508" t="s">
        <v>271</v>
      </c>
      <c r="F11" s="508"/>
      <c r="G11" s="123"/>
      <c r="H11" s="508" t="s">
        <v>75</v>
      </c>
      <c r="I11" s="508"/>
      <c r="J11" s="124"/>
      <c r="K11" s="114"/>
      <c r="L11" s="114"/>
      <c r="M11" s="114"/>
      <c r="N11" s="114"/>
    </row>
    <row r="12" spans="2:14" x14ac:dyDescent="0.2">
      <c r="B12" s="119" t="s">
        <v>71</v>
      </c>
      <c r="C12" s="176"/>
      <c r="D12" s="114"/>
      <c r="E12" s="169"/>
      <c r="F12" s="170"/>
      <c r="G12" s="169"/>
      <c r="H12" s="169"/>
      <c r="I12" s="130"/>
      <c r="J12" s="135"/>
      <c r="K12" s="114"/>
      <c r="L12" s="114"/>
      <c r="M12" s="114"/>
      <c r="N12" s="114"/>
    </row>
    <row r="13" spans="2:14" x14ac:dyDescent="0.2">
      <c r="B13" s="119" t="s">
        <v>256</v>
      </c>
      <c r="C13" s="176" t="s">
        <v>262</v>
      </c>
      <c r="D13" s="114"/>
      <c r="E13" s="171"/>
      <c r="F13" s="170"/>
      <c r="G13" s="169"/>
      <c r="H13" s="169"/>
      <c r="I13" s="130"/>
      <c r="J13" s="135"/>
      <c r="K13" s="114"/>
      <c r="L13" s="114"/>
      <c r="M13" s="114"/>
      <c r="N13" s="114"/>
    </row>
    <row r="14" spans="2:14" x14ac:dyDescent="0.2">
      <c r="B14" s="119" t="s">
        <v>72</v>
      </c>
      <c r="C14" s="176">
        <v>5</v>
      </c>
      <c r="D14" s="114"/>
      <c r="E14" s="173" t="s">
        <v>268</v>
      </c>
      <c r="F14" s="172" t="s">
        <v>108</v>
      </c>
      <c r="G14" s="169"/>
      <c r="H14" s="173" t="s">
        <v>268</v>
      </c>
      <c r="I14" s="132" t="s">
        <v>108</v>
      </c>
      <c r="J14" s="137"/>
      <c r="K14" s="114"/>
      <c r="L14" s="114"/>
      <c r="M14" s="114"/>
      <c r="N14" s="114"/>
    </row>
    <row r="15" spans="2:14" x14ac:dyDescent="0.2">
      <c r="B15" s="119" t="s">
        <v>73</v>
      </c>
      <c r="C15" s="176">
        <v>11</v>
      </c>
      <c r="D15" s="114"/>
      <c r="E15" s="173" t="s">
        <v>269</v>
      </c>
      <c r="F15" s="174">
        <v>0.2</v>
      </c>
      <c r="G15" s="169"/>
      <c r="H15" s="173" t="s">
        <v>269</v>
      </c>
      <c r="I15" s="133">
        <v>0.2</v>
      </c>
      <c r="J15" s="138"/>
      <c r="K15" s="114"/>
      <c r="L15" s="114"/>
      <c r="M15" s="114"/>
      <c r="N15" s="114"/>
    </row>
    <row r="16" spans="2:14" x14ac:dyDescent="0.2">
      <c r="B16" s="119" t="s">
        <v>275</v>
      </c>
      <c r="C16" s="423">
        <v>44200</v>
      </c>
      <c r="D16" s="114"/>
      <c r="E16" s="173" t="s">
        <v>270</v>
      </c>
      <c r="F16" s="174">
        <v>0.02</v>
      </c>
      <c r="G16" s="169"/>
      <c r="H16" s="173" t="s">
        <v>270</v>
      </c>
      <c r="I16" s="133"/>
      <c r="J16" s="138"/>
      <c r="K16" s="114"/>
      <c r="L16" s="114"/>
      <c r="M16" s="114"/>
      <c r="N16" s="114"/>
    </row>
    <row r="17" spans="2:14" x14ac:dyDescent="0.2">
      <c r="B17" s="119" t="s">
        <v>6</v>
      </c>
      <c r="C17" s="183">
        <f>VLOOKUP($C$11,'PRICE LIST 9-1-20'!$D:$H,3,0)</f>
        <v>520</v>
      </c>
      <c r="D17" s="114"/>
      <c r="E17" s="173" t="s">
        <v>261</v>
      </c>
      <c r="F17" s="175">
        <v>0</v>
      </c>
      <c r="G17" s="169"/>
      <c r="H17" s="173" t="s">
        <v>261</v>
      </c>
      <c r="I17" s="133">
        <v>0.02</v>
      </c>
      <c r="J17" s="138"/>
      <c r="K17" s="114"/>
      <c r="L17" s="114"/>
      <c r="M17" s="114"/>
      <c r="N17" s="114"/>
    </row>
    <row r="18" spans="2:14" x14ac:dyDescent="0.2">
      <c r="B18" s="119" t="s">
        <v>74</v>
      </c>
      <c r="C18" s="184">
        <f>VLOOKUP($C$11,'PRICE LIST 9-1-20'!$D:$H,5,0)</f>
        <v>9574000</v>
      </c>
      <c r="D18" s="114"/>
      <c r="E18" s="173" t="s">
        <v>328</v>
      </c>
      <c r="F18" s="175">
        <v>0</v>
      </c>
      <c r="G18" s="169"/>
      <c r="H18" s="173" t="s">
        <v>328</v>
      </c>
      <c r="I18" s="139">
        <v>0</v>
      </c>
      <c r="J18" s="140"/>
      <c r="K18" s="114"/>
      <c r="L18" s="114"/>
      <c r="M18" s="114"/>
      <c r="N18" s="114"/>
    </row>
    <row r="19" spans="2:14" x14ac:dyDescent="0.2">
      <c r="B19" s="119" t="s">
        <v>5</v>
      </c>
      <c r="C19" s="185" t="str">
        <f>VLOOKUP(C11,'PRICE LIST 9-1-20'!D:G,2,0)</f>
        <v>Garden</v>
      </c>
      <c r="D19" s="114"/>
      <c r="E19" s="104"/>
      <c r="F19" s="104"/>
      <c r="G19" s="104"/>
      <c r="H19" s="104"/>
      <c r="I19" s="139">
        <v>0</v>
      </c>
      <c r="J19" s="140"/>
      <c r="K19" s="114"/>
      <c r="L19" s="114"/>
      <c r="M19" s="114"/>
      <c r="N19" s="114"/>
    </row>
    <row r="20" spans="2:14" x14ac:dyDescent="0.2">
      <c r="B20" s="119"/>
      <c r="D20" s="114"/>
      <c r="F20" s="175"/>
      <c r="G20" s="169"/>
      <c r="H20" s="173"/>
      <c r="I20" s="139"/>
      <c r="J20" s="140"/>
      <c r="K20" s="114"/>
      <c r="L20" s="114"/>
      <c r="M20" s="114"/>
      <c r="N20" s="114"/>
    </row>
    <row r="21" spans="2:14" x14ac:dyDescent="0.2">
      <c r="B21" s="119"/>
      <c r="C21" s="181"/>
      <c r="D21" s="114"/>
      <c r="E21" s="104"/>
      <c r="F21" s="175"/>
      <c r="G21" s="169"/>
      <c r="H21" s="104"/>
      <c r="I21" s="139"/>
      <c r="J21" s="140"/>
      <c r="K21" s="114"/>
      <c r="L21" s="114"/>
      <c r="M21" s="114"/>
      <c r="N21" s="114"/>
    </row>
    <row r="22" spans="2:14" x14ac:dyDescent="0.2">
      <c r="B22" s="119" t="s">
        <v>65</v>
      </c>
      <c r="C22" s="482">
        <v>0.1</v>
      </c>
      <c r="D22" s="114"/>
      <c r="E22" s="113"/>
      <c r="F22" s="133"/>
      <c r="G22" s="112"/>
      <c r="H22" s="113"/>
      <c r="I22" s="133"/>
      <c r="J22" s="138"/>
      <c r="K22" s="114"/>
      <c r="L22" s="114"/>
      <c r="M22" s="114"/>
      <c r="N22" s="114"/>
    </row>
    <row r="23" spans="2:14" ht="16" thickBot="1" x14ac:dyDescent="0.25">
      <c r="B23" s="120"/>
      <c r="C23" s="182"/>
      <c r="D23" s="121"/>
      <c r="E23" s="122"/>
      <c r="F23" s="131"/>
      <c r="G23" s="122"/>
      <c r="H23" s="122"/>
      <c r="I23" s="131"/>
      <c r="J23" s="136"/>
      <c r="K23" s="114"/>
      <c r="L23" s="114"/>
      <c r="M23" s="114"/>
      <c r="N23" s="114"/>
    </row>
    <row r="24" spans="2:14" ht="6" customHeight="1" x14ac:dyDescent="0.2">
      <c r="I24" s="130"/>
      <c r="K24" s="114"/>
      <c r="L24" s="114"/>
      <c r="M24" s="114"/>
      <c r="N24" s="114"/>
    </row>
    <row r="26" spans="2:14" x14ac:dyDescent="0.2">
      <c r="E26" s="112"/>
    </row>
    <row r="27" spans="2:14" x14ac:dyDescent="0.2">
      <c r="E27" s="112"/>
    </row>
  </sheetData>
  <sheetProtection algorithmName="SHA-512" hashValue="407zFM4G6qDaSrfkVXsH2PcW2qs3HVdwgihlxskc1avbtdsZ9LTYcC2UFAvC/YcfaGHFB1T/zowI+gEzYrxGvQ==" saltValue="zfEYd/fRhseSscllXGAyhw==" spinCount="100000" sheet="1" objects="1" scenarios="1"/>
  <mergeCells count="2">
    <mergeCell ref="H11:I11"/>
    <mergeCell ref="E11:F11"/>
  </mergeCells>
  <hyperlinks>
    <hyperlink ref="H17" location="NonMem_NoDP!A1" display="40% over 60 months / 60% LS" xr:uid="{00000000-0004-0000-0500-000000000000}"/>
    <hyperlink ref="E14" location="Mem_Cash!A1" display="80% Spot / 20% on the 60th month" xr:uid="{00000000-0004-0000-0500-000001000000}"/>
    <hyperlink ref="E15" location="'Mem_Spot DP 1'!A1" display="20% Spot / 30% in 60 mos / 50% LS" xr:uid="{00000000-0004-0000-0500-000002000000}"/>
    <hyperlink ref="E16" location="'Mem_Spot DP 2'!A1" display="10% Spot/ 40% in 60mos / 50% LS " xr:uid="{00000000-0004-0000-0500-000003000000}"/>
    <hyperlink ref="E17" location="'Mem_No DP'!A1" display="40% over 60 months / 60% LS" xr:uid="{00000000-0004-0000-0500-000004000000}"/>
    <hyperlink ref="E18" location="'Mem_Promo Term'!A1" display="5% Spot / 95% over 120 months" xr:uid="{00000000-0004-0000-0500-000005000000}"/>
    <hyperlink ref="H14" location="NonMem_Cash!A1" display="80% Spot / 20% on the 60th month" xr:uid="{00000000-0004-0000-0500-000006000000}"/>
    <hyperlink ref="H15" location="'NonMem_SpotDP 1'!A1" display="20% Spot / 30% in 60 mos / 50% LS" xr:uid="{00000000-0004-0000-0500-000007000000}"/>
    <hyperlink ref="H16" location="'NonMem_SpotDP 2'!A1" display="10% Spot/ 40% in 60mos / 50% LS " xr:uid="{00000000-0004-0000-0500-000008000000}"/>
    <hyperlink ref="H18" location="'NonMem_Promo Term'!A1" display="5% Spot / 10% in 12 months/ 35% in 48 months/ 50% LS" xr:uid="{00000000-0004-0000-0500-000009000000}"/>
  </hyperlinks>
  <pageMargins left="0.7" right="0.7" top="0.75" bottom="0.75" header="0.3" footer="0.3"/>
  <pageSetup scale="93" orientation="landscape"/>
  <ignoredErrors>
    <ignoredError sqref="C21 C19" unlockedFormula="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GIVEOTAKE!$A$1:$A$2</xm:f>
          </x14:formula1>
          <xm:sqref>C13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92D050"/>
    <pageSetUpPr fitToPage="1"/>
  </sheetPr>
  <dimension ref="B1:O118"/>
  <sheetViews>
    <sheetView topLeftCell="V1" zoomScale="115" zoomScaleNormal="115" zoomScalePageLayoutView="115" workbookViewId="0">
      <selection activeCell="D36" sqref="D36"/>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18.33203125" style="212" customWidth="1"/>
    <col min="5" max="5" width="16.5" style="212" customWidth="1"/>
    <col min="6" max="6" width="16.83203125" style="212" hidden="1" customWidth="1"/>
    <col min="7" max="7" width="14.1640625" style="212" hidden="1" customWidth="1"/>
    <col min="8" max="8" width="18.5" style="212" customWidth="1"/>
    <col min="9" max="9" width="20.5" style="212" customWidth="1"/>
    <col min="10" max="10" width="9.33203125" style="212" bestFit="1" customWidth="1"/>
    <col min="11" max="11" width="8.83203125" style="212"/>
    <col min="12" max="12" width="26.1640625" style="212" hidden="1" customWidth="1"/>
    <col min="13" max="13" width="15.83203125" style="212" hidden="1" customWidth="1"/>
    <col min="14" max="14" width="0" style="212" hidden="1" customWidth="1"/>
    <col min="15"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5" x14ac:dyDescent="0.2">
      <c r="L1" s="511"/>
      <c r="O1" s="428"/>
    </row>
    <row r="2" spans="2:15" x14ac:dyDescent="0.2">
      <c r="B2" s="425" t="s">
        <v>81</v>
      </c>
      <c r="F2" s="426"/>
      <c r="G2" s="426"/>
      <c r="H2" s="426"/>
      <c r="I2" s="512" t="s">
        <v>82</v>
      </c>
      <c r="L2" s="511"/>
    </row>
    <row r="3" spans="2:15" x14ac:dyDescent="0.2">
      <c r="B3" s="425" t="s">
        <v>171</v>
      </c>
      <c r="F3" s="427"/>
      <c r="G3" s="427"/>
      <c r="H3" s="427"/>
      <c r="I3" s="512"/>
      <c r="L3" s="511"/>
    </row>
    <row r="4" spans="2:15" x14ac:dyDescent="0.2">
      <c r="B4" s="425" t="s">
        <v>83</v>
      </c>
    </row>
    <row r="5" spans="2:15" ht="16" thickBot="1" x14ac:dyDescent="0.25">
      <c r="K5" s="464" t="s">
        <v>84</v>
      </c>
    </row>
    <row r="6" spans="2:15" ht="33" customHeight="1" thickBot="1" x14ac:dyDescent="0.25">
      <c r="B6" s="429" t="s">
        <v>71</v>
      </c>
      <c r="C6" s="513">
        <f>INPUT!C12</f>
        <v>0</v>
      </c>
      <c r="D6" s="514"/>
    </row>
    <row r="7" spans="2:15" x14ac:dyDescent="0.2">
      <c r="B7" s="430" t="s">
        <v>85</v>
      </c>
      <c r="C7" s="515" t="str">
        <f>INPUT!C11</f>
        <v>Block 5 Lot 11</v>
      </c>
      <c r="D7" s="516"/>
      <c r="E7" s="425"/>
      <c r="L7" s="431"/>
      <c r="M7" s="431"/>
      <c r="N7" s="431"/>
    </row>
    <row r="8" spans="2:15" x14ac:dyDescent="0.2">
      <c r="B8" s="432" t="s">
        <v>6</v>
      </c>
      <c r="C8" s="517">
        <f>INPUT!C17</f>
        <v>520</v>
      </c>
      <c r="D8" s="518"/>
      <c r="L8" s="431"/>
      <c r="M8" s="431"/>
      <c r="N8" s="431"/>
    </row>
    <row r="9" spans="2:15" x14ac:dyDescent="0.2">
      <c r="B9" s="432" t="s">
        <v>77</v>
      </c>
      <c r="C9" s="519">
        <f>INPUT!C18</f>
        <v>9574000</v>
      </c>
      <c r="D9" s="520"/>
      <c r="L9" s="431"/>
      <c r="M9" s="431"/>
      <c r="N9" s="431"/>
    </row>
    <row r="10" spans="2:15" x14ac:dyDescent="0.2">
      <c r="B10" s="432" t="s">
        <v>86</v>
      </c>
      <c r="C10" s="521" t="s">
        <v>106</v>
      </c>
      <c r="D10" s="522"/>
      <c r="L10" s="431"/>
      <c r="M10" s="431"/>
      <c r="N10" s="431"/>
    </row>
    <row r="11" spans="2:15" x14ac:dyDescent="0.2">
      <c r="B11" s="432"/>
      <c r="C11" s="521" t="s">
        <v>107</v>
      </c>
      <c r="D11" s="522"/>
      <c r="L11" s="431"/>
      <c r="M11" s="431"/>
      <c r="N11" s="431"/>
    </row>
    <row r="12" spans="2:15" ht="16" thickBot="1" x14ac:dyDescent="0.25">
      <c r="B12" s="433"/>
      <c r="C12" s="523" t="s">
        <v>169</v>
      </c>
      <c r="D12" s="524"/>
      <c r="L12" s="434"/>
      <c r="M12" s="434"/>
      <c r="N12" s="434"/>
    </row>
    <row r="13" spans="2:15" x14ac:dyDescent="0.2">
      <c r="E13" s="434"/>
      <c r="F13" s="434"/>
      <c r="G13" s="434"/>
      <c r="H13" s="434"/>
      <c r="I13" s="434"/>
      <c r="J13" s="434"/>
      <c r="K13" s="434"/>
      <c r="L13" s="435" t="s">
        <v>87</v>
      </c>
      <c r="M13" s="436">
        <v>0.02</v>
      </c>
      <c r="N13" s="434"/>
    </row>
    <row r="14" spans="2:15" x14ac:dyDescent="0.2">
      <c r="B14" s="437" t="s">
        <v>88</v>
      </c>
      <c r="C14" s="437"/>
      <c r="E14" s="431"/>
      <c r="F14" s="434"/>
      <c r="G14" s="434"/>
      <c r="H14" s="434"/>
      <c r="I14" s="434"/>
      <c r="J14" s="434"/>
      <c r="K14" s="434"/>
      <c r="L14" s="434"/>
      <c r="M14" s="436">
        <v>0</v>
      </c>
      <c r="N14" s="434"/>
    </row>
    <row r="15" spans="2:15" x14ac:dyDescent="0.2">
      <c r="B15" s="438" t="s">
        <v>187</v>
      </c>
      <c r="C15" s="198"/>
      <c r="D15" s="199">
        <f>(C9-650000)</f>
        <v>8924000</v>
      </c>
      <c r="E15" s="459"/>
      <c r="F15" s="440">
        <f t="shared" ref="F15" si="0">D15-E15</f>
        <v>8924000</v>
      </c>
      <c r="G15" s="440"/>
      <c r="H15" s="440"/>
      <c r="I15" s="434"/>
      <c r="J15" s="434"/>
      <c r="K15" s="434"/>
      <c r="L15" s="434"/>
      <c r="M15" s="434"/>
      <c r="N15" s="434"/>
    </row>
    <row r="16" spans="2:15" x14ac:dyDescent="0.2">
      <c r="B16" s="441" t="s">
        <v>109</v>
      </c>
      <c r="C16" s="201">
        <f>+INPUT!C22</f>
        <v>0.1</v>
      </c>
      <c r="D16" s="200">
        <f>IF(C16&gt;10%,"maximum of 10%",(D15*C16))</f>
        <v>892400</v>
      </c>
      <c r="E16" s="459"/>
      <c r="F16" s="440"/>
      <c r="G16" s="440"/>
      <c r="H16" s="440"/>
      <c r="I16" s="434"/>
      <c r="J16" s="434"/>
      <c r="K16" s="434"/>
      <c r="L16" s="434"/>
      <c r="M16" s="434"/>
      <c r="N16" s="434"/>
    </row>
    <row r="17" spans="2:14" x14ac:dyDescent="0.2">
      <c r="B17" s="441" t="s">
        <v>89</v>
      </c>
      <c r="C17" s="206">
        <v>0.2</v>
      </c>
      <c r="D17" s="202">
        <f>IF(C17&gt;20%,"maximum of 20%",(D15-D16)*C17)</f>
        <v>1606320</v>
      </c>
      <c r="E17" s="459"/>
      <c r="F17" s="440"/>
      <c r="G17" s="440"/>
      <c r="H17" s="440"/>
      <c r="I17" s="434"/>
      <c r="L17" s="434"/>
      <c r="M17" s="434"/>
      <c r="N17" s="434"/>
    </row>
    <row r="18" spans="2:14" x14ac:dyDescent="0.2">
      <c r="B18" s="441" t="s">
        <v>277</v>
      </c>
      <c r="C18" s="206">
        <v>0.05</v>
      </c>
      <c r="D18" s="200">
        <f>IF(C18&gt;5%,"maximum of 5%",(D15-D16-D17)*C18)</f>
        <v>321264</v>
      </c>
      <c r="E18" s="459"/>
      <c r="F18" s="440"/>
      <c r="G18" s="440"/>
      <c r="H18" s="440"/>
      <c r="I18" s="434"/>
      <c r="L18" s="434"/>
      <c r="M18" s="434"/>
      <c r="N18" s="434"/>
    </row>
    <row r="19" spans="2:14" ht="15.75" customHeight="1" x14ac:dyDescent="0.2">
      <c r="B19" s="441" t="s">
        <v>87</v>
      </c>
      <c r="C19" s="201" t="str">
        <f>IF(INPUT!C13="Repeat Buyer","2%",IF(INPUT!C13="New Buyer","0%"))</f>
        <v>0%</v>
      </c>
      <c r="D19" s="210">
        <f>IF(C19&gt;2%,((D15-SUM(D16:D17)))*C19, "maximum of 2%")</f>
        <v>0</v>
      </c>
      <c r="E19" s="459"/>
      <c r="F19" s="440"/>
      <c r="G19" s="440"/>
      <c r="H19" s="440"/>
      <c r="I19" s="434"/>
      <c r="L19" s="434"/>
      <c r="M19" s="434"/>
      <c r="N19" s="434"/>
    </row>
    <row r="20" spans="2:14" x14ac:dyDescent="0.2">
      <c r="B20" s="470"/>
      <c r="C20" s="201"/>
      <c r="D20" s="202">
        <f>D15-SUM(D16:D19)</f>
        <v>6104016</v>
      </c>
      <c r="E20" s="459"/>
      <c r="F20" s="440"/>
      <c r="G20" s="440"/>
      <c r="H20" s="440"/>
      <c r="I20" s="434"/>
      <c r="J20" s="434"/>
      <c r="K20" s="434"/>
      <c r="L20" s="434"/>
      <c r="M20" s="434"/>
      <c r="N20" s="434"/>
    </row>
    <row r="21" spans="2:14" x14ac:dyDescent="0.2">
      <c r="B21" s="438" t="s">
        <v>267</v>
      </c>
      <c r="C21" s="201">
        <v>0.05</v>
      </c>
      <c r="D21" s="203">
        <f>(D20/1.12)*C21</f>
        <v>272500.71428571426</v>
      </c>
      <c r="E21" s="459"/>
      <c r="F21" s="440"/>
      <c r="G21" s="440"/>
      <c r="H21" s="440"/>
      <c r="I21" s="434"/>
      <c r="J21" s="434"/>
      <c r="K21" s="434"/>
      <c r="L21" s="434"/>
      <c r="M21" s="434"/>
      <c r="N21" s="434"/>
    </row>
    <row r="22" spans="2:14" x14ac:dyDescent="0.2">
      <c r="B22" s="438" t="s">
        <v>185</v>
      </c>
      <c r="C22" s="204"/>
      <c r="D22" s="203">
        <v>650000</v>
      </c>
      <c r="E22" s="459"/>
      <c r="F22" s="440"/>
      <c r="G22" s="440"/>
      <c r="H22" s="440"/>
      <c r="I22" s="434"/>
      <c r="J22" s="434"/>
      <c r="K22" s="434"/>
      <c r="L22" s="434"/>
      <c r="M22" s="434"/>
      <c r="N22" s="434"/>
    </row>
    <row r="23" spans="2:14" ht="16" thickBot="1" x14ac:dyDescent="0.25">
      <c r="B23" s="442" t="s">
        <v>186</v>
      </c>
      <c r="C23" s="201"/>
      <c r="D23" s="205">
        <f>+D20+D21+D22</f>
        <v>7026516.7142857146</v>
      </c>
      <c r="E23" s="477"/>
      <c r="F23" s="478"/>
      <c r="G23" s="478"/>
      <c r="H23" s="478"/>
      <c r="I23" s="434"/>
      <c r="J23" s="434"/>
      <c r="K23" s="434"/>
      <c r="L23" s="434"/>
      <c r="M23" s="434"/>
      <c r="N23" s="434"/>
    </row>
    <row r="24" spans="2:14" ht="17" thickTop="1" thickBot="1" x14ac:dyDescent="0.25">
      <c r="B24" s="438"/>
      <c r="C24" s="201"/>
      <c r="D24" s="203"/>
      <c r="E24" s="477"/>
      <c r="F24" s="478"/>
      <c r="G24" s="478"/>
      <c r="H24" s="478"/>
      <c r="I24" s="434"/>
      <c r="J24" s="434"/>
      <c r="K24" s="434"/>
      <c r="L24" s="434"/>
      <c r="M24" s="434"/>
      <c r="N24" s="434"/>
    </row>
    <row r="25" spans="2:14" ht="31" thickBot="1" x14ac:dyDescent="0.25">
      <c r="B25" s="525" t="s">
        <v>91</v>
      </c>
      <c r="C25" s="526"/>
      <c r="D25" s="444" t="s">
        <v>92</v>
      </c>
      <c r="E25" s="444" t="s">
        <v>93</v>
      </c>
      <c r="F25" s="445" t="s">
        <v>199</v>
      </c>
      <c r="G25" s="447" t="s">
        <v>184</v>
      </c>
      <c r="H25" s="447" t="s">
        <v>202</v>
      </c>
      <c r="I25" s="448" t="s">
        <v>94</v>
      </c>
      <c r="J25" s="434"/>
      <c r="K25" s="434"/>
      <c r="L25" s="434"/>
      <c r="M25" s="434"/>
      <c r="N25" s="434"/>
    </row>
    <row r="26" spans="2:14" x14ac:dyDescent="0.2">
      <c r="B26" s="527">
        <v>0</v>
      </c>
      <c r="C26" s="528"/>
      <c r="D26" s="472">
        <f>INPUT!C16</f>
        <v>44200</v>
      </c>
      <c r="E26" s="473" t="s">
        <v>46</v>
      </c>
      <c r="F26" s="186">
        <v>50000</v>
      </c>
      <c r="G26" s="187"/>
      <c r="H26" s="187">
        <f>F26</f>
        <v>50000</v>
      </c>
      <c r="I26" s="188">
        <f>D23-H26</f>
        <v>6976516.7142857146</v>
      </c>
      <c r="J26" s="450" t="s">
        <v>95</v>
      </c>
      <c r="K26" s="434"/>
      <c r="L26" s="439">
        <v>56000</v>
      </c>
      <c r="M26" s="440">
        <f>L26-F26</f>
        <v>6000</v>
      </c>
      <c r="N26" s="434"/>
    </row>
    <row r="27" spans="2:14" x14ac:dyDescent="0.2">
      <c r="B27" s="509">
        <v>1</v>
      </c>
      <c r="C27" s="510"/>
      <c r="D27" s="424">
        <f>EDATE(D26,1)</f>
        <v>44231</v>
      </c>
      <c r="E27" s="453" t="s">
        <v>39</v>
      </c>
      <c r="F27" s="189">
        <f>ROUND((((D15-SUM(D16:D19)+D22)*80%)-F26)/1,3)</f>
        <v>5353212.8</v>
      </c>
      <c r="G27" s="190">
        <f>ROUND((D21*80%)/1,3)</f>
        <v>218000.571</v>
      </c>
      <c r="H27" s="190">
        <f>SUM(F27:G27)</f>
        <v>5571213.3709999993</v>
      </c>
      <c r="I27" s="191">
        <f>I26-H27</f>
        <v>1405303.3432857152</v>
      </c>
      <c r="J27" s="450"/>
      <c r="K27" s="434"/>
      <c r="L27" s="439"/>
      <c r="M27" s="440"/>
      <c r="N27" s="434"/>
    </row>
    <row r="28" spans="2:14" x14ac:dyDescent="0.2">
      <c r="B28" s="509">
        <v>2</v>
      </c>
      <c r="C28" s="510"/>
      <c r="D28" s="474">
        <f>EDATE(D27,1)</f>
        <v>44259</v>
      </c>
      <c r="E28" s="452" t="s">
        <v>170</v>
      </c>
      <c r="F28" s="192">
        <v>0</v>
      </c>
      <c r="G28" s="193">
        <v>0</v>
      </c>
      <c r="H28" s="193">
        <f>G28</f>
        <v>0</v>
      </c>
      <c r="I28" s="191">
        <f t="shared" ref="I28:I85" si="1">I27-H28</f>
        <v>1405303.3432857152</v>
      </c>
      <c r="J28" s="450"/>
      <c r="K28" s="434"/>
      <c r="L28" s="439"/>
      <c r="M28" s="440"/>
      <c r="N28" s="434"/>
    </row>
    <row r="29" spans="2:14" x14ac:dyDescent="0.2">
      <c r="B29" s="509">
        <v>3</v>
      </c>
      <c r="C29" s="510"/>
      <c r="D29" s="474">
        <f t="shared" ref="D29:D87" si="2">EDATE(D28,1)</f>
        <v>44290</v>
      </c>
      <c r="E29" s="452" t="s">
        <v>110</v>
      </c>
      <c r="F29" s="192">
        <v>0</v>
      </c>
      <c r="G29" s="193">
        <v>0</v>
      </c>
      <c r="H29" s="193">
        <f t="shared" ref="H29:H86" si="3">G29</f>
        <v>0</v>
      </c>
      <c r="I29" s="191">
        <f t="shared" si="1"/>
        <v>1405303.3432857152</v>
      </c>
      <c r="J29" s="450"/>
      <c r="K29" s="434"/>
      <c r="L29" s="439"/>
      <c r="M29" s="440"/>
      <c r="N29" s="434"/>
    </row>
    <row r="30" spans="2:14" x14ac:dyDescent="0.2">
      <c r="B30" s="509">
        <v>4</v>
      </c>
      <c r="C30" s="510"/>
      <c r="D30" s="474">
        <f t="shared" si="2"/>
        <v>44320</v>
      </c>
      <c r="E30" s="452" t="s">
        <v>111</v>
      </c>
      <c r="F30" s="192">
        <v>0</v>
      </c>
      <c r="G30" s="193">
        <v>0</v>
      </c>
      <c r="H30" s="193">
        <f t="shared" si="3"/>
        <v>0</v>
      </c>
      <c r="I30" s="191">
        <f t="shared" si="1"/>
        <v>1405303.3432857152</v>
      </c>
      <c r="J30" s="450"/>
      <c r="K30" s="434"/>
      <c r="L30" s="439"/>
      <c r="M30" s="440"/>
      <c r="N30" s="434"/>
    </row>
    <row r="31" spans="2:14" x14ac:dyDescent="0.2">
      <c r="B31" s="509">
        <v>5</v>
      </c>
      <c r="C31" s="510"/>
      <c r="D31" s="474">
        <f t="shared" si="2"/>
        <v>44351</v>
      </c>
      <c r="E31" s="452" t="s">
        <v>112</v>
      </c>
      <c r="F31" s="192">
        <v>0</v>
      </c>
      <c r="G31" s="193">
        <v>0</v>
      </c>
      <c r="H31" s="193">
        <f t="shared" si="3"/>
        <v>0</v>
      </c>
      <c r="I31" s="191">
        <f t="shared" si="1"/>
        <v>1405303.3432857152</v>
      </c>
      <c r="J31" s="450"/>
      <c r="K31" s="434"/>
      <c r="L31" s="439"/>
      <c r="M31" s="440"/>
      <c r="N31" s="434"/>
    </row>
    <row r="32" spans="2:14" x14ac:dyDescent="0.2">
      <c r="B32" s="509">
        <v>6</v>
      </c>
      <c r="C32" s="510"/>
      <c r="D32" s="474">
        <f t="shared" si="2"/>
        <v>44381</v>
      </c>
      <c r="E32" s="452" t="s">
        <v>113</v>
      </c>
      <c r="F32" s="192">
        <v>0</v>
      </c>
      <c r="G32" s="193">
        <v>0</v>
      </c>
      <c r="H32" s="193">
        <f t="shared" si="3"/>
        <v>0</v>
      </c>
      <c r="I32" s="191">
        <f t="shared" si="1"/>
        <v>1405303.3432857152</v>
      </c>
      <c r="J32" s="450"/>
      <c r="K32" s="434"/>
      <c r="L32" s="439"/>
      <c r="M32" s="440"/>
      <c r="N32" s="434"/>
    </row>
    <row r="33" spans="2:14" x14ac:dyDescent="0.2">
      <c r="B33" s="509">
        <v>7</v>
      </c>
      <c r="C33" s="510"/>
      <c r="D33" s="474">
        <f t="shared" si="2"/>
        <v>44412</v>
      </c>
      <c r="E33" s="452" t="s">
        <v>114</v>
      </c>
      <c r="F33" s="192">
        <v>0</v>
      </c>
      <c r="G33" s="193">
        <v>0</v>
      </c>
      <c r="H33" s="193">
        <f t="shared" si="3"/>
        <v>0</v>
      </c>
      <c r="I33" s="191">
        <f t="shared" si="1"/>
        <v>1405303.3432857152</v>
      </c>
      <c r="J33" s="450"/>
      <c r="K33" s="434"/>
      <c r="L33" s="439"/>
      <c r="M33" s="440"/>
      <c r="N33" s="434"/>
    </row>
    <row r="34" spans="2:14" x14ac:dyDescent="0.2">
      <c r="B34" s="509">
        <v>8</v>
      </c>
      <c r="C34" s="510"/>
      <c r="D34" s="474">
        <f t="shared" si="2"/>
        <v>44443</v>
      </c>
      <c r="E34" s="452" t="s">
        <v>115</v>
      </c>
      <c r="F34" s="192">
        <v>0</v>
      </c>
      <c r="G34" s="193">
        <v>0</v>
      </c>
      <c r="H34" s="193">
        <f t="shared" si="3"/>
        <v>0</v>
      </c>
      <c r="I34" s="191">
        <f t="shared" si="1"/>
        <v>1405303.3432857152</v>
      </c>
      <c r="J34" s="450"/>
      <c r="K34" s="434"/>
      <c r="L34" s="439"/>
      <c r="M34" s="440"/>
      <c r="N34" s="434"/>
    </row>
    <row r="35" spans="2:14" x14ac:dyDescent="0.2">
      <c r="B35" s="509">
        <v>9</v>
      </c>
      <c r="C35" s="510"/>
      <c r="D35" s="474">
        <f t="shared" si="2"/>
        <v>44473</v>
      </c>
      <c r="E35" s="452" t="s">
        <v>116</v>
      </c>
      <c r="F35" s="192">
        <v>0</v>
      </c>
      <c r="G35" s="193">
        <v>0</v>
      </c>
      <c r="H35" s="193">
        <f t="shared" si="3"/>
        <v>0</v>
      </c>
      <c r="I35" s="191">
        <f t="shared" si="1"/>
        <v>1405303.3432857152</v>
      </c>
      <c r="J35" s="450"/>
      <c r="K35" s="434"/>
      <c r="L35" s="439"/>
      <c r="M35" s="440"/>
      <c r="N35" s="434"/>
    </row>
    <row r="36" spans="2:14" x14ac:dyDescent="0.2">
      <c r="B36" s="509">
        <v>10</v>
      </c>
      <c r="C36" s="510"/>
      <c r="D36" s="474">
        <f t="shared" si="2"/>
        <v>44504</v>
      </c>
      <c r="E36" s="452" t="s">
        <v>117</v>
      </c>
      <c r="F36" s="192">
        <v>0</v>
      </c>
      <c r="G36" s="193">
        <v>0</v>
      </c>
      <c r="H36" s="193">
        <f t="shared" si="3"/>
        <v>0</v>
      </c>
      <c r="I36" s="191">
        <f t="shared" si="1"/>
        <v>1405303.3432857152</v>
      </c>
      <c r="J36" s="450"/>
      <c r="K36" s="434"/>
      <c r="L36" s="439"/>
      <c r="M36" s="440"/>
      <c r="N36" s="434"/>
    </row>
    <row r="37" spans="2:14" x14ac:dyDescent="0.2">
      <c r="B37" s="509">
        <v>11</v>
      </c>
      <c r="C37" s="510"/>
      <c r="D37" s="474">
        <f t="shared" si="2"/>
        <v>44534</v>
      </c>
      <c r="E37" s="452" t="s">
        <v>118</v>
      </c>
      <c r="F37" s="192">
        <v>0</v>
      </c>
      <c r="G37" s="193">
        <v>0</v>
      </c>
      <c r="H37" s="193">
        <f t="shared" si="3"/>
        <v>0</v>
      </c>
      <c r="I37" s="191">
        <f t="shared" si="1"/>
        <v>1405303.3432857152</v>
      </c>
      <c r="J37" s="450"/>
      <c r="K37" s="434"/>
      <c r="L37" s="439"/>
      <c r="M37" s="440"/>
      <c r="N37" s="434"/>
    </row>
    <row r="38" spans="2:14" x14ac:dyDescent="0.2">
      <c r="B38" s="509">
        <v>12</v>
      </c>
      <c r="C38" s="510"/>
      <c r="D38" s="474">
        <f t="shared" si="2"/>
        <v>44565</v>
      </c>
      <c r="E38" s="452" t="s">
        <v>119</v>
      </c>
      <c r="F38" s="192">
        <v>0</v>
      </c>
      <c r="G38" s="193">
        <v>0</v>
      </c>
      <c r="H38" s="193">
        <f t="shared" si="3"/>
        <v>0</v>
      </c>
      <c r="I38" s="191">
        <f t="shared" si="1"/>
        <v>1405303.3432857152</v>
      </c>
      <c r="J38" s="450"/>
      <c r="K38" s="434"/>
      <c r="L38" s="439"/>
      <c r="M38" s="440"/>
      <c r="N38" s="434"/>
    </row>
    <row r="39" spans="2:14" x14ac:dyDescent="0.2">
      <c r="B39" s="509">
        <v>13</v>
      </c>
      <c r="C39" s="510"/>
      <c r="D39" s="474">
        <f t="shared" si="2"/>
        <v>44596</v>
      </c>
      <c r="E39" s="452" t="s">
        <v>120</v>
      </c>
      <c r="F39" s="192">
        <v>0</v>
      </c>
      <c r="G39" s="193">
        <v>0</v>
      </c>
      <c r="H39" s="193">
        <f t="shared" si="3"/>
        <v>0</v>
      </c>
      <c r="I39" s="191">
        <f t="shared" si="1"/>
        <v>1405303.3432857152</v>
      </c>
      <c r="J39" s="450"/>
      <c r="K39" s="434"/>
      <c r="L39" s="439"/>
      <c r="M39" s="440"/>
      <c r="N39" s="434"/>
    </row>
    <row r="40" spans="2:14" x14ac:dyDescent="0.2">
      <c r="B40" s="509">
        <v>14</v>
      </c>
      <c r="C40" s="510"/>
      <c r="D40" s="474">
        <f t="shared" si="2"/>
        <v>44624</v>
      </c>
      <c r="E40" s="452" t="s">
        <v>121</v>
      </c>
      <c r="F40" s="192">
        <v>0</v>
      </c>
      <c r="G40" s="193">
        <v>0</v>
      </c>
      <c r="H40" s="193">
        <f t="shared" si="3"/>
        <v>0</v>
      </c>
      <c r="I40" s="191">
        <f t="shared" si="1"/>
        <v>1405303.3432857152</v>
      </c>
      <c r="J40" s="450"/>
      <c r="K40" s="434"/>
      <c r="L40" s="439"/>
      <c r="M40" s="440"/>
      <c r="N40" s="434"/>
    </row>
    <row r="41" spans="2:14" x14ac:dyDescent="0.2">
      <c r="B41" s="509">
        <v>15</v>
      </c>
      <c r="C41" s="510"/>
      <c r="D41" s="474">
        <f t="shared" si="2"/>
        <v>44655</v>
      </c>
      <c r="E41" s="452" t="s">
        <v>122</v>
      </c>
      <c r="F41" s="192">
        <v>0</v>
      </c>
      <c r="G41" s="193">
        <v>0</v>
      </c>
      <c r="H41" s="193">
        <f t="shared" si="3"/>
        <v>0</v>
      </c>
      <c r="I41" s="191">
        <f t="shared" si="1"/>
        <v>1405303.3432857152</v>
      </c>
      <c r="J41" s="450"/>
      <c r="K41" s="434"/>
      <c r="L41" s="439"/>
      <c r="M41" s="440"/>
      <c r="N41" s="434"/>
    </row>
    <row r="42" spans="2:14" x14ac:dyDescent="0.2">
      <c r="B42" s="509">
        <v>16</v>
      </c>
      <c r="C42" s="510"/>
      <c r="D42" s="474">
        <f t="shared" si="2"/>
        <v>44685</v>
      </c>
      <c r="E42" s="452" t="s">
        <v>123</v>
      </c>
      <c r="F42" s="192">
        <v>0</v>
      </c>
      <c r="G42" s="193">
        <v>0</v>
      </c>
      <c r="H42" s="193">
        <f t="shared" si="3"/>
        <v>0</v>
      </c>
      <c r="I42" s="191">
        <f t="shared" si="1"/>
        <v>1405303.3432857152</v>
      </c>
      <c r="J42" s="450"/>
      <c r="K42" s="434"/>
      <c r="L42" s="439"/>
      <c r="M42" s="440"/>
      <c r="N42" s="434"/>
    </row>
    <row r="43" spans="2:14" x14ac:dyDescent="0.2">
      <c r="B43" s="509">
        <v>17</v>
      </c>
      <c r="C43" s="510"/>
      <c r="D43" s="474">
        <f t="shared" si="2"/>
        <v>44716</v>
      </c>
      <c r="E43" s="452" t="s">
        <v>124</v>
      </c>
      <c r="F43" s="192">
        <v>0</v>
      </c>
      <c r="G43" s="193">
        <v>0</v>
      </c>
      <c r="H43" s="193">
        <f t="shared" si="3"/>
        <v>0</v>
      </c>
      <c r="I43" s="191">
        <f t="shared" si="1"/>
        <v>1405303.3432857152</v>
      </c>
      <c r="J43" s="450"/>
      <c r="K43" s="434"/>
      <c r="L43" s="439"/>
      <c r="M43" s="440"/>
      <c r="N43" s="434"/>
    </row>
    <row r="44" spans="2:14" x14ac:dyDescent="0.2">
      <c r="B44" s="509">
        <v>18</v>
      </c>
      <c r="C44" s="510"/>
      <c r="D44" s="474">
        <f t="shared" si="2"/>
        <v>44746</v>
      </c>
      <c r="E44" s="452" t="s">
        <v>125</v>
      </c>
      <c r="F44" s="192">
        <v>0</v>
      </c>
      <c r="G44" s="193">
        <v>0</v>
      </c>
      <c r="H44" s="193">
        <f t="shared" si="3"/>
        <v>0</v>
      </c>
      <c r="I44" s="191">
        <f t="shared" si="1"/>
        <v>1405303.3432857152</v>
      </c>
      <c r="J44" s="450"/>
      <c r="K44" s="434"/>
      <c r="L44" s="439"/>
      <c r="M44" s="440"/>
      <c r="N44" s="434"/>
    </row>
    <row r="45" spans="2:14" x14ac:dyDescent="0.2">
      <c r="B45" s="509">
        <v>19</v>
      </c>
      <c r="C45" s="510"/>
      <c r="D45" s="474">
        <f t="shared" si="2"/>
        <v>44777</v>
      </c>
      <c r="E45" s="452" t="s">
        <v>126</v>
      </c>
      <c r="F45" s="192">
        <v>0</v>
      </c>
      <c r="G45" s="193">
        <v>0</v>
      </c>
      <c r="H45" s="193">
        <f t="shared" si="3"/>
        <v>0</v>
      </c>
      <c r="I45" s="191">
        <f t="shared" si="1"/>
        <v>1405303.3432857152</v>
      </c>
      <c r="J45" s="450"/>
      <c r="K45" s="434"/>
      <c r="L45" s="439"/>
      <c r="M45" s="440"/>
      <c r="N45" s="434"/>
    </row>
    <row r="46" spans="2:14" x14ac:dyDescent="0.2">
      <c r="B46" s="509">
        <v>20</v>
      </c>
      <c r="C46" s="510"/>
      <c r="D46" s="474">
        <f t="shared" si="2"/>
        <v>44808</v>
      </c>
      <c r="E46" s="452" t="s">
        <v>127</v>
      </c>
      <c r="F46" s="192">
        <v>0</v>
      </c>
      <c r="G46" s="193">
        <v>0</v>
      </c>
      <c r="H46" s="193">
        <f t="shared" si="3"/>
        <v>0</v>
      </c>
      <c r="I46" s="191">
        <f t="shared" si="1"/>
        <v>1405303.3432857152</v>
      </c>
      <c r="J46" s="450"/>
      <c r="K46" s="434"/>
      <c r="L46" s="439"/>
      <c r="M46" s="440"/>
      <c r="N46" s="434"/>
    </row>
    <row r="47" spans="2:14" x14ac:dyDescent="0.2">
      <c r="B47" s="509">
        <v>21</v>
      </c>
      <c r="C47" s="510"/>
      <c r="D47" s="474">
        <f t="shared" si="2"/>
        <v>44838</v>
      </c>
      <c r="E47" s="452" t="s">
        <v>128</v>
      </c>
      <c r="F47" s="192">
        <v>0</v>
      </c>
      <c r="G47" s="193">
        <v>0</v>
      </c>
      <c r="H47" s="193">
        <f t="shared" si="3"/>
        <v>0</v>
      </c>
      <c r="I47" s="191">
        <f t="shared" si="1"/>
        <v>1405303.3432857152</v>
      </c>
      <c r="J47" s="450"/>
      <c r="K47" s="434"/>
      <c r="L47" s="439"/>
      <c r="M47" s="440"/>
      <c r="N47" s="434"/>
    </row>
    <row r="48" spans="2:14" x14ac:dyDescent="0.2">
      <c r="B48" s="509">
        <v>22</v>
      </c>
      <c r="C48" s="510"/>
      <c r="D48" s="474">
        <f t="shared" si="2"/>
        <v>44869</v>
      </c>
      <c r="E48" s="452" t="s">
        <v>129</v>
      </c>
      <c r="F48" s="192">
        <v>0</v>
      </c>
      <c r="G48" s="193">
        <v>0</v>
      </c>
      <c r="H48" s="193">
        <f t="shared" si="3"/>
        <v>0</v>
      </c>
      <c r="I48" s="191">
        <f t="shared" si="1"/>
        <v>1405303.3432857152</v>
      </c>
      <c r="J48" s="450"/>
      <c r="K48" s="434"/>
      <c r="L48" s="439"/>
      <c r="M48" s="440"/>
      <c r="N48" s="434"/>
    </row>
    <row r="49" spans="2:14" x14ac:dyDescent="0.2">
      <c r="B49" s="509">
        <v>23</v>
      </c>
      <c r="C49" s="510"/>
      <c r="D49" s="474">
        <f t="shared" si="2"/>
        <v>44899</v>
      </c>
      <c r="E49" s="452" t="s">
        <v>130</v>
      </c>
      <c r="F49" s="192">
        <v>0</v>
      </c>
      <c r="G49" s="193">
        <v>0</v>
      </c>
      <c r="H49" s="193">
        <f t="shared" si="3"/>
        <v>0</v>
      </c>
      <c r="I49" s="191">
        <f t="shared" si="1"/>
        <v>1405303.3432857152</v>
      </c>
      <c r="J49" s="450"/>
      <c r="K49" s="434"/>
      <c r="L49" s="439"/>
      <c r="M49" s="440"/>
      <c r="N49" s="434"/>
    </row>
    <row r="50" spans="2:14" x14ac:dyDescent="0.2">
      <c r="B50" s="509">
        <v>24</v>
      </c>
      <c r="C50" s="510"/>
      <c r="D50" s="474">
        <f t="shared" si="2"/>
        <v>44930</v>
      </c>
      <c r="E50" s="452" t="s">
        <v>131</v>
      </c>
      <c r="F50" s="192">
        <v>0</v>
      </c>
      <c r="G50" s="193">
        <v>0</v>
      </c>
      <c r="H50" s="193">
        <f t="shared" si="3"/>
        <v>0</v>
      </c>
      <c r="I50" s="191">
        <f t="shared" si="1"/>
        <v>1405303.3432857152</v>
      </c>
      <c r="J50" s="450"/>
      <c r="K50" s="434"/>
      <c r="L50" s="439"/>
      <c r="M50" s="440"/>
      <c r="N50" s="434"/>
    </row>
    <row r="51" spans="2:14" x14ac:dyDescent="0.2">
      <c r="B51" s="509">
        <v>25</v>
      </c>
      <c r="C51" s="510"/>
      <c r="D51" s="474">
        <f t="shared" si="2"/>
        <v>44961</v>
      </c>
      <c r="E51" s="452" t="s">
        <v>132</v>
      </c>
      <c r="F51" s="192">
        <v>0</v>
      </c>
      <c r="G51" s="193">
        <v>0</v>
      </c>
      <c r="H51" s="193">
        <f t="shared" si="3"/>
        <v>0</v>
      </c>
      <c r="I51" s="191">
        <f t="shared" si="1"/>
        <v>1405303.3432857152</v>
      </c>
      <c r="J51" s="450"/>
      <c r="K51" s="434"/>
      <c r="L51" s="439"/>
      <c r="M51" s="440"/>
      <c r="N51" s="434"/>
    </row>
    <row r="52" spans="2:14" x14ac:dyDescent="0.2">
      <c r="B52" s="509">
        <v>26</v>
      </c>
      <c r="C52" s="510"/>
      <c r="D52" s="474">
        <f t="shared" si="2"/>
        <v>44989</v>
      </c>
      <c r="E52" s="452" t="s">
        <v>133</v>
      </c>
      <c r="F52" s="192">
        <v>0</v>
      </c>
      <c r="G52" s="193">
        <v>0</v>
      </c>
      <c r="H52" s="193">
        <f t="shared" si="3"/>
        <v>0</v>
      </c>
      <c r="I52" s="191">
        <f t="shared" si="1"/>
        <v>1405303.3432857152</v>
      </c>
      <c r="J52" s="450"/>
      <c r="K52" s="434"/>
      <c r="L52" s="439"/>
      <c r="M52" s="440"/>
      <c r="N52" s="434"/>
    </row>
    <row r="53" spans="2:14" x14ac:dyDescent="0.2">
      <c r="B53" s="509">
        <v>27</v>
      </c>
      <c r="C53" s="510"/>
      <c r="D53" s="474">
        <f t="shared" si="2"/>
        <v>45020</v>
      </c>
      <c r="E53" s="452" t="s">
        <v>134</v>
      </c>
      <c r="F53" s="192">
        <v>0</v>
      </c>
      <c r="G53" s="193">
        <v>0</v>
      </c>
      <c r="H53" s="193">
        <f t="shared" si="3"/>
        <v>0</v>
      </c>
      <c r="I53" s="191">
        <f t="shared" si="1"/>
        <v>1405303.3432857152</v>
      </c>
      <c r="J53" s="450"/>
      <c r="K53" s="434"/>
      <c r="L53" s="439"/>
      <c r="M53" s="440"/>
      <c r="N53" s="434"/>
    </row>
    <row r="54" spans="2:14" x14ac:dyDescent="0.2">
      <c r="B54" s="509">
        <v>28</v>
      </c>
      <c r="C54" s="510"/>
      <c r="D54" s="474">
        <f t="shared" si="2"/>
        <v>45050</v>
      </c>
      <c r="E54" s="452" t="s">
        <v>135</v>
      </c>
      <c r="F54" s="192">
        <v>0</v>
      </c>
      <c r="G54" s="193">
        <v>0</v>
      </c>
      <c r="H54" s="193">
        <f t="shared" si="3"/>
        <v>0</v>
      </c>
      <c r="I54" s="191">
        <f t="shared" si="1"/>
        <v>1405303.3432857152</v>
      </c>
      <c r="J54" s="450"/>
      <c r="K54" s="434"/>
      <c r="L54" s="439"/>
      <c r="M54" s="440"/>
      <c r="N54" s="434"/>
    </row>
    <row r="55" spans="2:14" x14ac:dyDescent="0.2">
      <c r="B55" s="509">
        <v>29</v>
      </c>
      <c r="C55" s="510"/>
      <c r="D55" s="474">
        <f t="shared" si="2"/>
        <v>45081</v>
      </c>
      <c r="E55" s="452" t="s">
        <v>136</v>
      </c>
      <c r="F55" s="192">
        <v>0</v>
      </c>
      <c r="G55" s="193">
        <v>0</v>
      </c>
      <c r="H55" s="193">
        <f t="shared" si="3"/>
        <v>0</v>
      </c>
      <c r="I55" s="191">
        <f t="shared" si="1"/>
        <v>1405303.3432857152</v>
      </c>
      <c r="J55" s="450"/>
      <c r="K55" s="434"/>
      <c r="L55" s="439"/>
      <c r="M55" s="440"/>
      <c r="N55" s="434"/>
    </row>
    <row r="56" spans="2:14" x14ac:dyDescent="0.2">
      <c r="B56" s="509">
        <v>30</v>
      </c>
      <c r="C56" s="510"/>
      <c r="D56" s="474">
        <f t="shared" si="2"/>
        <v>45111</v>
      </c>
      <c r="E56" s="452" t="s">
        <v>137</v>
      </c>
      <c r="F56" s="192">
        <v>0</v>
      </c>
      <c r="G56" s="193">
        <v>0</v>
      </c>
      <c r="H56" s="193">
        <f t="shared" si="3"/>
        <v>0</v>
      </c>
      <c r="I56" s="191">
        <f t="shared" si="1"/>
        <v>1405303.3432857152</v>
      </c>
      <c r="J56" s="450"/>
      <c r="K56" s="434"/>
      <c r="L56" s="439"/>
      <c r="M56" s="440"/>
      <c r="N56" s="434"/>
    </row>
    <row r="57" spans="2:14" x14ac:dyDescent="0.2">
      <c r="B57" s="509">
        <v>31</v>
      </c>
      <c r="C57" s="510"/>
      <c r="D57" s="474">
        <f t="shared" si="2"/>
        <v>45142</v>
      </c>
      <c r="E57" s="452" t="s">
        <v>138</v>
      </c>
      <c r="F57" s="192">
        <v>0</v>
      </c>
      <c r="G57" s="193">
        <v>0</v>
      </c>
      <c r="H57" s="193">
        <f t="shared" si="3"/>
        <v>0</v>
      </c>
      <c r="I57" s="191">
        <f t="shared" si="1"/>
        <v>1405303.3432857152</v>
      </c>
      <c r="J57" s="450"/>
      <c r="K57" s="434"/>
      <c r="L57" s="439"/>
      <c r="M57" s="440"/>
      <c r="N57" s="434"/>
    </row>
    <row r="58" spans="2:14" x14ac:dyDescent="0.2">
      <c r="B58" s="509">
        <v>32</v>
      </c>
      <c r="C58" s="510"/>
      <c r="D58" s="474">
        <f t="shared" si="2"/>
        <v>45173</v>
      </c>
      <c r="E58" s="452" t="s">
        <v>139</v>
      </c>
      <c r="F58" s="192">
        <v>0</v>
      </c>
      <c r="G58" s="193">
        <v>0</v>
      </c>
      <c r="H58" s="193">
        <f t="shared" si="3"/>
        <v>0</v>
      </c>
      <c r="I58" s="191">
        <f t="shared" si="1"/>
        <v>1405303.3432857152</v>
      </c>
      <c r="J58" s="450"/>
      <c r="K58" s="434"/>
      <c r="L58" s="439"/>
      <c r="M58" s="440"/>
      <c r="N58" s="434"/>
    </row>
    <row r="59" spans="2:14" x14ac:dyDescent="0.2">
      <c r="B59" s="509">
        <v>33</v>
      </c>
      <c r="C59" s="510"/>
      <c r="D59" s="474">
        <f t="shared" si="2"/>
        <v>45203</v>
      </c>
      <c r="E59" s="452" t="s">
        <v>140</v>
      </c>
      <c r="F59" s="192">
        <v>0</v>
      </c>
      <c r="G59" s="193">
        <v>0</v>
      </c>
      <c r="H59" s="193">
        <f t="shared" si="3"/>
        <v>0</v>
      </c>
      <c r="I59" s="191">
        <f t="shared" si="1"/>
        <v>1405303.3432857152</v>
      </c>
      <c r="J59" s="450"/>
      <c r="K59" s="434"/>
      <c r="L59" s="439"/>
      <c r="M59" s="440"/>
      <c r="N59" s="434"/>
    </row>
    <row r="60" spans="2:14" x14ac:dyDescent="0.2">
      <c r="B60" s="509">
        <v>34</v>
      </c>
      <c r="C60" s="510"/>
      <c r="D60" s="474">
        <f t="shared" si="2"/>
        <v>45234</v>
      </c>
      <c r="E60" s="452" t="s">
        <v>141</v>
      </c>
      <c r="F60" s="192">
        <v>0</v>
      </c>
      <c r="G60" s="193">
        <v>0</v>
      </c>
      <c r="H60" s="193">
        <f t="shared" si="3"/>
        <v>0</v>
      </c>
      <c r="I60" s="191">
        <f t="shared" si="1"/>
        <v>1405303.3432857152</v>
      </c>
      <c r="J60" s="450"/>
      <c r="K60" s="434"/>
      <c r="L60" s="439"/>
      <c r="M60" s="440"/>
      <c r="N60" s="434"/>
    </row>
    <row r="61" spans="2:14" x14ac:dyDescent="0.2">
      <c r="B61" s="509">
        <v>35</v>
      </c>
      <c r="C61" s="510"/>
      <c r="D61" s="474">
        <f t="shared" si="2"/>
        <v>45264</v>
      </c>
      <c r="E61" s="452" t="s">
        <v>142</v>
      </c>
      <c r="F61" s="192">
        <v>0</v>
      </c>
      <c r="G61" s="193">
        <v>0</v>
      </c>
      <c r="H61" s="193">
        <f t="shared" si="3"/>
        <v>0</v>
      </c>
      <c r="I61" s="191">
        <f t="shared" si="1"/>
        <v>1405303.3432857152</v>
      </c>
      <c r="J61" s="450"/>
      <c r="K61" s="434"/>
      <c r="L61" s="439"/>
      <c r="M61" s="440"/>
      <c r="N61" s="434"/>
    </row>
    <row r="62" spans="2:14" x14ac:dyDescent="0.2">
      <c r="B62" s="509">
        <v>36</v>
      </c>
      <c r="C62" s="510"/>
      <c r="D62" s="474">
        <f t="shared" si="2"/>
        <v>45295</v>
      </c>
      <c r="E62" s="452" t="s">
        <v>143</v>
      </c>
      <c r="F62" s="192">
        <v>0</v>
      </c>
      <c r="G62" s="193">
        <v>0</v>
      </c>
      <c r="H62" s="193">
        <f t="shared" si="3"/>
        <v>0</v>
      </c>
      <c r="I62" s="191">
        <f t="shared" si="1"/>
        <v>1405303.3432857152</v>
      </c>
      <c r="J62" s="450"/>
      <c r="K62" s="434"/>
      <c r="L62" s="439"/>
      <c r="M62" s="440"/>
      <c r="N62" s="434"/>
    </row>
    <row r="63" spans="2:14" x14ac:dyDescent="0.2">
      <c r="B63" s="509">
        <v>37</v>
      </c>
      <c r="C63" s="510"/>
      <c r="D63" s="474">
        <f t="shared" si="2"/>
        <v>45326</v>
      </c>
      <c r="E63" s="452" t="s">
        <v>144</v>
      </c>
      <c r="F63" s="192">
        <v>0</v>
      </c>
      <c r="G63" s="193">
        <v>0</v>
      </c>
      <c r="H63" s="193">
        <f t="shared" si="3"/>
        <v>0</v>
      </c>
      <c r="I63" s="191">
        <f t="shared" si="1"/>
        <v>1405303.3432857152</v>
      </c>
      <c r="J63" s="450"/>
      <c r="K63" s="434"/>
      <c r="L63" s="439"/>
      <c r="M63" s="440"/>
      <c r="N63" s="434"/>
    </row>
    <row r="64" spans="2:14" x14ac:dyDescent="0.2">
      <c r="B64" s="509">
        <v>38</v>
      </c>
      <c r="C64" s="510"/>
      <c r="D64" s="474">
        <f t="shared" si="2"/>
        <v>45355</v>
      </c>
      <c r="E64" s="452" t="s">
        <v>145</v>
      </c>
      <c r="F64" s="192">
        <v>0</v>
      </c>
      <c r="G64" s="193">
        <v>0</v>
      </c>
      <c r="H64" s="193">
        <f t="shared" si="3"/>
        <v>0</v>
      </c>
      <c r="I64" s="191">
        <f t="shared" si="1"/>
        <v>1405303.3432857152</v>
      </c>
      <c r="J64" s="450"/>
      <c r="K64" s="434"/>
      <c r="L64" s="439"/>
      <c r="M64" s="440"/>
      <c r="N64" s="434"/>
    </row>
    <row r="65" spans="2:14" x14ac:dyDescent="0.2">
      <c r="B65" s="509">
        <v>39</v>
      </c>
      <c r="C65" s="510"/>
      <c r="D65" s="474">
        <f t="shared" si="2"/>
        <v>45386</v>
      </c>
      <c r="E65" s="452" t="s">
        <v>146</v>
      </c>
      <c r="F65" s="192">
        <v>0</v>
      </c>
      <c r="G65" s="193">
        <v>0</v>
      </c>
      <c r="H65" s="193">
        <f t="shared" si="3"/>
        <v>0</v>
      </c>
      <c r="I65" s="191">
        <f t="shared" si="1"/>
        <v>1405303.3432857152</v>
      </c>
      <c r="J65" s="450"/>
      <c r="K65" s="434"/>
      <c r="L65" s="439"/>
      <c r="M65" s="440"/>
      <c r="N65" s="434"/>
    </row>
    <row r="66" spans="2:14" x14ac:dyDescent="0.2">
      <c r="B66" s="509">
        <v>40</v>
      </c>
      <c r="C66" s="510"/>
      <c r="D66" s="474">
        <f t="shared" si="2"/>
        <v>45416</v>
      </c>
      <c r="E66" s="452" t="s">
        <v>147</v>
      </c>
      <c r="F66" s="192">
        <v>0</v>
      </c>
      <c r="G66" s="193">
        <v>0</v>
      </c>
      <c r="H66" s="193">
        <f t="shared" si="3"/>
        <v>0</v>
      </c>
      <c r="I66" s="191">
        <f t="shared" si="1"/>
        <v>1405303.3432857152</v>
      </c>
      <c r="J66" s="450"/>
      <c r="K66" s="434"/>
      <c r="L66" s="439"/>
      <c r="M66" s="440"/>
      <c r="N66" s="434"/>
    </row>
    <row r="67" spans="2:14" x14ac:dyDescent="0.2">
      <c r="B67" s="509">
        <v>41</v>
      </c>
      <c r="C67" s="510"/>
      <c r="D67" s="474">
        <f t="shared" si="2"/>
        <v>45447</v>
      </c>
      <c r="E67" s="452" t="s">
        <v>148</v>
      </c>
      <c r="F67" s="192">
        <v>0</v>
      </c>
      <c r="G67" s="193">
        <v>0</v>
      </c>
      <c r="H67" s="193">
        <f t="shared" si="3"/>
        <v>0</v>
      </c>
      <c r="I67" s="191">
        <f t="shared" si="1"/>
        <v>1405303.3432857152</v>
      </c>
      <c r="J67" s="450"/>
      <c r="K67" s="434"/>
      <c r="L67" s="439"/>
      <c r="M67" s="440"/>
      <c r="N67" s="434"/>
    </row>
    <row r="68" spans="2:14" x14ac:dyDescent="0.2">
      <c r="B68" s="509">
        <v>42</v>
      </c>
      <c r="C68" s="510"/>
      <c r="D68" s="474">
        <f t="shared" si="2"/>
        <v>45477</v>
      </c>
      <c r="E68" s="452" t="s">
        <v>149</v>
      </c>
      <c r="F68" s="192">
        <v>0</v>
      </c>
      <c r="G68" s="193">
        <v>0</v>
      </c>
      <c r="H68" s="193">
        <f t="shared" si="3"/>
        <v>0</v>
      </c>
      <c r="I68" s="191">
        <f t="shared" si="1"/>
        <v>1405303.3432857152</v>
      </c>
      <c r="J68" s="450"/>
      <c r="K68" s="434"/>
      <c r="L68" s="439"/>
      <c r="M68" s="440"/>
      <c r="N68" s="434"/>
    </row>
    <row r="69" spans="2:14" x14ac:dyDescent="0.2">
      <c r="B69" s="509">
        <v>43</v>
      </c>
      <c r="C69" s="510"/>
      <c r="D69" s="474">
        <f t="shared" si="2"/>
        <v>45508</v>
      </c>
      <c r="E69" s="452" t="s">
        <v>150</v>
      </c>
      <c r="F69" s="192">
        <v>0</v>
      </c>
      <c r="G69" s="193">
        <v>0</v>
      </c>
      <c r="H69" s="193">
        <f t="shared" si="3"/>
        <v>0</v>
      </c>
      <c r="I69" s="191">
        <f t="shared" si="1"/>
        <v>1405303.3432857152</v>
      </c>
      <c r="J69" s="450"/>
      <c r="K69" s="434"/>
      <c r="L69" s="439"/>
      <c r="M69" s="440"/>
      <c r="N69" s="434"/>
    </row>
    <row r="70" spans="2:14" x14ac:dyDescent="0.2">
      <c r="B70" s="509">
        <v>44</v>
      </c>
      <c r="C70" s="510"/>
      <c r="D70" s="474">
        <f t="shared" si="2"/>
        <v>45539</v>
      </c>
      <c r="E70" s="452" t="s">
        <v>151</v>
      </c>
      <c r="F70" s="192">
        <v>0</v>
      </c>
      <c r="G70" s="193">
        <v>0</v>
      </c>
      <c r="H70" s="193">
        <f t="shared" si="3"/>
        <v>0</v>
      </c>
      <c r="I70" s="191">
        <f t="shared" si="1"/>
        <v>1405303.3432857152</v>
      </c>
      <c r="J70" s="450"/>
      <c r="K70" s="434"/>
      <c r="L70" s="439"/>
      <c r="M70" s="440"/>
      <c r="N70" s="434"/>
    </row>
    <row r="71" spans="2:14" x14ac:dyDescent="0.2">
      <c r="B71" s="509">
        <v>45</v>
      </c>
      <c r="C71" s="510"/>
      <c r="D71" s="474">
        <f t="shared" si="2"/>
        <v>45569</v>
      </c>
      <c r="E71" s="452" t="s">
        <v>152</v>
      </c>
      <c r="F71" s="192">
        <v>0</v>
      </c>
      <c r="G71" s="193">
        <v>0</v>
      </c>
      <c r="H71" s="193">
        <f t="shared" si="3"/>
        <v>0</v>
      </c>
      <c r="I71" s="191">
        <f t="shared" si="1"/>
        <v>1405303.3432857152</v>
      </c>
      <c r="J71" s="450"/>
      <c r="K71" s="434"/>
      <c r="L71" s="439"/>
      <c r="M71" s="440"/>
      <c r="N71" s="434"/>
    </row>
    <row r="72" spans="2:14" x14ac:dyDescent="0.2">
      <c r="B72" s="509">
        <v>46</v>
      </c>
      <c r="C72" s="510"/>
      <c r="D72" s="474">
        <f t="shared" si="2"/>
        <v>45600</v>
      </c>
      <c r="E72" s="452" t="s">
        <v>153</v>
      </c>
      <c r="F72" s="192">
        <v>0</v>
      </c>
      <c r="G72" s="193">
        <v>0</v>
      </c>
      <c r="H72" s="193">
        <f t="shared" si="3"/>
        <v>0</v>
      </c>
      <c r="I72" s="191">
        <f t="shared" si="1"/>
        <v>1405303.3432857152</v>
      </c>
      <c r="J72" s="450"/>
      <c r="K72" s="434"/>
      <c r="L72" s="439"/>
      <c r="M72" s="440"/>
      <c r="N72" s="434"/>
    </row>
    <row r="73" spans="2:14" x14ac:dyDescent="0.2">
      <c r="B73" s="509">
        <v>47</v>
      </c>
      <c r="C73" s="510"/>
      <c r="D73" s="474">
        <f t="shared" si="2"/>
        <v>45630</v>
      </c>
      <c r="E73" s="452" t="s">
        <v>154</v>
      </c>
      <c r="F73" s="192">
        <v>0</v>
      </c>
      <c r="G73" s="193">
        <v>0</v>
      </c>
      <c r="H73" s="193">
        <f t="shared" si="3"/>
        <v>0</v>
      </c>
      <c r="I73" s="191">
        <f t="shared" si="1"/>
        <v>1405303.3432857152</v>
      </c>
      <c r="J73" s="450"/>
      <c r="K73" s="434"/>
      <c r="L73" s="439"/>
      <c r="M73" s="440"/>
      <c r="N73" s="434"/>
    </row>
    <row r="74" spans="2:14" x14ac:dyDescent="0.2">
      <c r="B74" s="509">
        <v>48</v>
      </c>
      <c r="C74" s="510"/>
      <c r="D74" s="474">
        <f t="shared" si="2"/>
        <v>45661</v>
      </c>
      <c r="E74" s="452" t="s">
        <v>155</v>
      </c>
      <c r="F74" s="192">
        <v>0</v>
      </c>
      <c r="G74" s="193">
        <v>0</v>
      </c>
      <c r="H74" s="193">
        <f t="shared" si="3"/>
        <v>0</v>
      </c>
      <c r="I74" s="191">
        <f t="shared" si="1"/>
        <v>1405303.3432857152</v>
      </c>
      <c r="J74" s="450"/>
      <c r="K74" s="434"/>
      <c r="L74" s="439"/>
      <c r="M74" s="440"/>
      <c r="N74" s="434"/>
    </row>
    <row r="75" spans="2:14" x14ac:dyDescent="0.2">
      <c r="B75" s="509">
        <v>49</v>
      </c>
      <c r="C75" s="510"/>
      <c r="D75" s="474">
        <f t="shared" si="2"/>
        <v>45692</v>
      </c>
      <c r="E75" s="452" t="s">
        <v>156</v>
      </c>
      <c r="F75" s="192">
        <v>0</v>
      </c>
      <c r="G75" s="193">
        <v>0</v>
      </c>
      <c r="H75" s="193">
        <f t="shared" si="3"/>
        <v>0</v>
      </c>
      <c r="I75" s="191">
        <f t="shared" si="1"/>
        <v>1405303.3432857152</v>
      </c>
      <c r="J75" s="450"/>
      <c r="K75" s="434"/>
      <c r="L75" s="439"/>
      <c r="M75" s="440"/>
      <c r="N75" s="434"/>
    </row>
    <row r="76" spans="2:14" x14ac:dyDescent="0.2">
      <c r="B76" s="509">
        <v>50</v>
      </c>
      <c r="C76" s="510"/>
      <c r="D76" s="474">
        <f t="shared" si="2"/>
        <v>45720</v>
      </c>
      <c r="E76" s="452" t="s">
        <v>157</v>
      </c>
      <c r="F76" s="192">
        <v>0</v>
      </c>
      <c r="G76" s="193">
        <v>0</v>
      </c>
      <c r="H76" s="193">
        <f t="shared" si="3"/>
        <v>0</v>
      </c>
      <c r="I76" s="191">
        <f t="shared" si="1"/>
        <v>1405303.3432857152</v>
      </c>
      <c r="J76" s="450"/>
      <c r="K76" s="434"/>
      <c r="L76" s="439"/>
      <c r="M76" s="440"/>
      <c r="N76" s="434"/>
    </row>
    <row r="77" spans="2:14" x14ac:dyDescent="0.2">
      <c r="B77" s="509">
        <v>51</v>
      </c>
      <c r="C77" s="510"/>
      <c r="D77" s="474">
        <f t="shared" si="2"/>
        <v>45751</v>
      </c>
      <c r="E77" s="452" t="s">
        <v>158</v>
      </c>
      <c r="F77" s="192">
        <v>0</v>
      </c>
      <c r="G77" s="193">
        <v>0</v>
      </c>
      <c r="H77" s="193">
        <f t="shared" si="3"/>
        <v>0</v>
      </c>
      <c r="I77" s="191">
        <f t="shared" si="1"/>
        <v>1405303.3432857152</v>
      </c>
      <c r="J77" s="450"/>
      <c r="K77" s="434"/>
      <c r="L77" s="439"/>
      <c r="M77" s="440"/>
      <c r="N77" s="434"/>
    </row>
    <row r="78" spans="2:14" x14ac:dyDescent="0.2">
      <c r="B78" s="509">
        <v>52</v>
      </c>
      <c r="C78" s="510"/>
      <c r="D78" s="474">
        <f t="shared" si="2"/>
        <v>45781</v>
      </c>
      <c r="E78" s="452" t="s">
        <v>159</v>
      </c>
      <c r="F78" s="192">
        <v>0</v>
      </c>
      <c r="G78" s="193">
        <v>0</v>
      </c>
      <c r="H78" s="193">
        <f t="shared" si="3"/>
        <v>0</v>
      </c>
      <c r="I78" s="191">
        <f t="shared" si="1"/>
        <v>1405303.3432857152</v>
      </c>
      <c r="J78" s="450"/>
      <c r="K78" s="434"/>
      <c r="L78" s="439"/>
      <c r="M78" s="440"/>
      <c r="N78" s="434"/>
    </row>
    <row r="79" spans="2:14" x14ac:dyDescent="0.2">
      <c r="B79" s="509">
        <v>53</v>
      </c>
      <c r="C79" s="510"/>
      <c r="D79" s="474">
        <f t="shared" si="2"/>
        <v>45812</v>
      </c>
      <c r="E79" s="452" t="s">
        <v>160</v>
      </c>
      <c r="F79" s="192">
        <v>0</v>
      </c>
      <c r="G79" s="193">
        <v>0</v>
      </c>
      <c r="H79" s="193">
        <f t="shared" si="3"/>
        <v>0</v>
      </c>
      <c r="I79" s="191">
        <f t="shared" si="1"/>
        <v>1405303.3432857152</v>
      </c>
      <c r="J79" s="450"/>
      <c r="K79" s="434"/>
      <c r="L79" s="439"/>
      <c r="M79" s="440"/>
      <c r="N79" s="434"/>
    </row>
    <row r="80" spans="2:14" x14ac:dyDescent="0.2">
      <c r="B80" s="509">
        <v>54</v>
      </c>
      <c r="C80" s="510"/>
      <c r="D80" s="474">
        <f t="shared" si="2"/>
        <v>45842</v>
      </c>
      <c r="E80" s="452" t="s">
        <v>161</v>
      </c>
      <c r="F80" s="192">
        <v>0</v>
      </c>
      <c r="G80" s="193">
        <v>0</v>
      </c>
      <c r="H80" s="193">
        <f t="shared" si="3"/>
        <v>0</v>
      </c>
      <c r="I80" s="191">
        <f t="shared" si="1"/>
        <v>1405303.3432857152</v>
      </c>
      <c r="J80" s="450"/>
      <c r="K80" s="434"/>
      <c r="L80" s="439"/>
      <c r="M80" s="440"/>
      <c r="N80" s="434"/>
    </row>
    <row r="81" spans="2:14" x14ac:dyDescent="0.2">
      <c r="B81" s="509">
        <v>55</v>
      </c>
      <c r="C81" s="510"/>
      <c r="D81" s="474">
        <f t="shared" si="2"/>
        <v>45873</v>
      </c>
      <c r="E81" s="452" t="s">
        <v>162</v>
      </c>
      <c r="F81" s="192">
        <v>0</v>
      </c>
      <c r="G81" s="193">
        <v>0</v>
      </c>
      <c r="H81" s="193">
        <f t="shared" si="3"/>
        <v>0</v>
      </c>
      <c r="I81" s="191">
        <f t="shared" si="1"/>
        <v>1405303.3432857152</v>
      </c>
      <c r="J81" s="450"/>
      <c r="K81" s="434"/>
      <c r="L81" s="439"/>
      <c r="M81" s="440"/>
      <c r="N81" s="434"/>
    </row>
    <row r="82" spans="2:14" x14ac:dyDescent="0.2">
      <c r="B82" s="509">
        <v>56</v>
      </c>
      <c r="C82" s="510"/>
      <c r="D82" s="474">
        <f t="shared" si="2"/>
        <v>45904</v>
      </c>
      <c r="E82" s="452" t="s">
        <v>163</v>
      </c>
      <c r="F82" s="192">
        <v>0</v>
      </c>
      <c r="G82" s="193">
        <v>0</v>
      </c>
      <c r="H82" s="193">
        <f t="shared" si="3"/>
        <v>0</v>
      </c>
      <c r="I82" s="191">
        <f t="shared" si="1"/>
        <v>1405303.3432857152</v>
      </c>
      <c r="J82" s="450"/>
      <c r="K82" s="434"/>
      <c r="L82" s="439"/>
      <c r="M82" s="440"/>
      <c r="N82" s="434"/>
    </row>
    <row r="83" spans="2:14" x14ac:dyDescent="0.2">
      <c r="B83" s="509">
        <v>57</v>
      </c>
      <c r="C83" s="510"/>
      <c r="D83" s="474">
        <f t="shared" si="2"/>
        <v>45934</v>
      </c>
      <c r="E83" s="452" t="s">
        <v>164</v>
      </c>
      <c r="F83" s="192">
        <v>0</v>
      </c>
      <c r="G83" s="193">
        <v>0</v>
      </c>
      <c r="H83" s="193">
        <f t="shared" si="3"/>
        <v>0</v>
      </c>
      <c r="I83" s="191">
        <f t="shared" si="1"/>
        <v>1405303.3432857152</v>
      </c>
      <c r="J83" s="450"/>
      <c r="K83" s="434"/>
      <c r="L83" s="439"/>
      <c r="M83" s="440"/>
      <c r="N83" s="434"/>
    </row>
    <row r="84" spans="2:14" x14ac:dyDescent="0.2">
      <c r="B84" s="509">
        <v>58</v>
      </c>
      <c r="C84" s="510"/>
      <c r="D84" s="474">
        <f t="shared" si="2"/>
        <v>45965</v>
      </c>
      <c r="E84" s="452" t="s">
        <v>165</v>
      </c>
      <c r="F84" s="192">
        <v>0</v>
      </c>
      <c r="G84" s="193">
        <v>0</v>
      </c>
      <c r="H84" s="193">
        <f t="shared" si="3"/>
        <v>0</v>
      </c>
      <c r="I84" s="191">
        <f t="shared" si="1"/>
        <v>1405303.3432857152</v>
      </c>
      <c r="J84" s="450"/>
      <c r="K84" s="434"/>
      <c r="L84" s="439"/>
      <c r="M84" s="440"/>
      <c r="N84" s="434"/>
    </row>
    <row r="85" spans="2:14" x14ac:dyDescent="0.2">
      <c r="B85" s="509">
        <v>59</v>
      </c>
      <c r="C85" s="510"/>
      <c r="D85" s="474">
        <f t="shared" si="2"/>
        <v>45995</v>
      </c>
      <c r="E85" s="452" t="s">
        <v>166</v>
      </c>
      <c r="F85" s="192">
        <v>0</v>
      </c>
      <c r="G85" s="193">
        <v>0</v>
      </c>
      <c r="H85" s="193">
        <f t="shared" si="3"/>
        <v>0</v>
      </c>
      <c r="I85" s="191">
        <f t="shared" si="1"/>
        <v>1405303.3432857152</v>
      </c>
      <c r="J85" s="450"/>
      <c r="K85" s="434"/>
      <c r="L85" s="439"/>
      <c r="M85" s="440"/>
      <c r="N85" s="434"/>
    </row>
    <row r="86" spans="2:14" x14ac:dyDescent="0.2">
      <c r="B86" s="509">
        <v>60</v>
      </c>
      <c r="C86" s="510"/>
      <c r="D86" s="474">
        <f t="shared" si="2"/>
        <v>46026</v>
      </c>
      <c r="E86" s="452" t="s">
        <v>167</v>
      </c>
      <c r="F86" s="192">
        <v>0</v>
      </c>
      <c r="G86" s="193">
        <v>0</v>
      </c>
      <c r="H86" s="193">
        <f t="shared" si="3"/>
        <v>0</v>
      </c>
      <c r="I86" s="191">
        <f>I85-H86</f>
        <v>1405303.3432857152</v>
      </c>
      <c r="J86" s="450"/>
      <c r="K86" s="434"/>
      <c r="L86" s="439"/>
      <c r="M86" s="440"/>
      <c r="N86" s="434"/>
    </row>
    <row r="87" spans="2:14" ht="16" thickBot="1" x14ac:dyDescent="0.25">
      <c r="B87" s="531">
        <v>61</v>
      </c>
      <c r="C87" s="532"/>
      <c r="D87" s="474">
        <f t="shared" si="2"/>
        <v>46057</v>
      </c>
      <c r="E87" s="475" t="s">
        <v>168</v>
      </c>
      <c r="F87" s="194">
        <f>(((D15-SUM(D16:D19))+D22)*20%)/1</f>
        <v>1350803.2000000002</v>
      </c>
      <c r="G87" s="195">
        <f>(D21*20%)/1</f>
        <v>54500.142857142855</v>
      </c>
      <c r="H87" s="193">
        <f>SUM(F87:G87)</f>
        <v>1405303.3428571431</v>
      </c>
      <c r="I87" s="191">
        <f>I86-H87</f>
        <v>4.2857206426560879E-4</v>
      </c>
      <c r="J87" s="476">
        <v>1</v>
      </c>
      <c r="K87" s="434"/>
      <c r="L87" s="439" t="e">
        <f>(#REF!*J87)-L26</f>
        <v>#REF!</v>
      </c>
      <c r="M87" s="440" t="e">
        <f>L87-F87</f>
        <v>#REF!</v>
      </c>
      <c r="N87" s="434"/>
    </row>
    <row r="88" spans="2:14" ht="16" thickBot="1" x14ac:dyDescent="0.25">
      <c r="B88" s="454"/>
      <c r="C88" s="455"/>
      <c r="D88" s="456"/>
      <c r="E88" s="457" t="s">
        <v>96</v>
      </c>
      <c r="F88" s="196">
        <f>SUM(F26:F87)</f>
        <v>6754016</v>
      </c>
      <c r="G88" s="196">
        <f>SUM(G26:G87)</f>
        <v>272500.71385714284</v>
      </c>
      <c r="H88" s="196">
        <f>SUM(F88:G88)</f>
        <v>7026516.7138571432</v>
      </c>
      <c r="I88" s="197"/>
      <c r="J88" s="434"/>
      <c r="K88" s="434"/>
      <c r="L88" s="439" t="e">
        <f>SUM(L26:L87)</f>
        <v>#REF!</v>
      </c>
      <c r="M88" s="440" t="e">
        <f>L88-F88</f>
        <v>#REF!</v>
      </c>
      <c r="N88" s="434"/>
    </row>
    <row r="89" spans="2:14" x14ac:dyDescent="0.2">
      <c r="D89" s="458"/>
      <c r="L89" s="459"/>
    </row>
    <row r="90" spans="2:14" ht="15" customHeight="1" x14ac:dyDescent="0.2">
      <c r="B90" s="529" t="s">
        <v>197</v>
      </c>
      <c r="C90" s="529"/>
      <c r="D90" s="529"/>
      <c r="E90" s="529"/>
      <c r="F90" s="529"/>
      <c r="G90" s="529"/>
      <c r="H90" s="529"/>
      <c r="I90" s="529"/>
      <c r="L90" s="459"/>
    </row>
    <row r="91" spans="2:14" ht="14.25" customHeight="1" x14ac:dyDescent="0.2">
      <c r="B91" s="529"/>
      <c r="C91" s="529"/>
      <c r="D91" s="529"/>
      <c r="E91" s="529"/>
      <c r="F91" s="529"/>
      <c r="G91" s="529"/>
      <c r="H91" s="529"/>
      <c r="I91" s="529"/>
      <c r="L91" s="459"/>
    </row>
    <row r="92" spans="2:14" x14ac:dyDescent="0.2">
      <c r="B92" s="529"/>
      <c r="C92" s="529"/>
      <c r="D92" s="529"/>
      <c r="E92" s="529"/>
      <c r="F92" s="529"/>
      <c r="G92" s="529"/>
      <c r="H92" s="529"/>
      <c r="I92" s="529"/>
      <c r="L92" s="459"/>
    </row>
    <row r="93" spans="2:14" x14ac:dyDescent="0.2">
      <c r="B93" s="529"/>
      <c r="C93" s="529"/>
      <c r="D93" s="529"/>
      <c r="E93" s="529"/>
      <c r="F93" s="529"/>
      <c r="G93" s="529"/>
      <c r="H93" s="529"/>
      <c r="I93" s="529"/>
      <c r="L93" s="459"/>
    </row>
    <row r="94" spans="2:14" x14ac:dyDescent="0.2">
      <c r="B94" s="529"/>
      <c r="C94" s="529"/>
      <c r="D94" s="529"/>
      <c r="E94" s="529"/>
      <c r="F94" s="529"/>
      <c r="G94" s="529"/>
      <c r="H94" s="529"/>
      <c r="I94" s="529"/>
      <c r="L94" s="459"/>
    </row>
    <row r="95" spans="2:14" x14ac:dyDescent="0.2">
      <c r="B95" s="529"/>
      <c r="C95" s="529"/>
      <c r="D95" s="529"/>
      <c r="E95" s="529"/>
      <c r="F95" s="529"/>
      <c r="G95" s="529"/>
      <c r="H95" s="529"/>
      <c r="I95" s="529"/>
      <c r="L95" s="459"/>
    </row>
    <row r="96" spans="2:14" x14ac:dyDescent="0.2">
      <c r="B96" s="529"/>
      <c r="C96" s="529"/>
      <c r="D96" s="529"/>
      <c r="E96" s="529"/>
      <c r="F96" s="529"/>
      <c r="G96" s="529"/>
      <c r="H96" s="529"/>
      <c r="I96" s="529"/>
      <c r="L96" s="459"/>
    </row>
    <row r="97" spans="2:12" x14ac:dyDescent="0.2">
      <c r="B97" s="529"/>
      <c r="C97" s="529"/>
      <c r="D97" s="529"/>
      <c r="E97" s="529"/>
      <c r="F97" s="529"/>
      <c r="G97" s="529"/>
      <c r="H97" s="529"/>
      <c r="I97" s="529"/>
      <c r="L97" s="459"/>
    </row>
    <row r="98" spans="2:12" x14ac:dyDescent="0.2">
      <c r="B98" s="529"/>
      <c r="C98" s="529"/>
      <c r="D98" s="529"/>
      <c r="E98" s="529"/>
      <c r="F98" s="529"/>
      <c r="G98" s="529"/>
      <c r="H98" s="529"/>
      <c r="I98" s="529"/>
      <c r="L98" s="459"/>
    </row>
    <row r="99" spans="2:12" x14ac:dyDescent="0.2">
      <c r="B99" s="529"/>
      <c r="C99" s="529"/>
      <c r="D99" s="529"/>
      <c r="E99" s="529"/>
      <c r="F99" s="529"/>
      <c r="G99" s="529"/>
      <c r="H99" s="529"/>
      <c r="I99" s="529"/>
      <c r="L99" s="459"/>
    </row>
    <row r="100" spans="2:12" x14ac:dyDescent="0.2">
      <c r="B100" s="529"/>
      <c r="C100" s="529"/>
      <c r="D100" s="529"/>
      <c r="E100" s="529"/>
      <c r="F100" s="529"/>
      <c r="G100" s="529"/>
      <c r="H100" s="529"/>
      <c r="I100" s="529"/>
      <c r="L100" s="459"/>
    </row>
    <row r="101" spans="2:12" x14ac:dyDescent="0.2">
      <c r="B101" s="529"/>
      <c r="C101" s="529"/>
      <c r="D101" s="529"/>
      <c r="E101" s="529"/>
      <c r="F101" s="529"/>
      <c r="G101" s="529"/>
      <c r="H101" s="529"/>
      <c r="I101" s="529"/>
      <c r="L101" s="459"/>
    </row>
    <row r="102" spans="2:12" x14ac:dyDescent="0.2">
      <c r="B102" s="529"/>
      <c r="C102" s="529"/>
      <c r="D102" s="529"/>
      <c r="E102" s="529"/>
      <c r="F102" s="529"/>
      <c r="G102" s="529"/>
      <c r="H102" s="529"/>
      <c r="I102" s="529"/>
      <c r="L102" s="459"/>
    </row>
    <row r="103" spans="2:12" x14ac:dyDescent="0.2">
      <c r="B103" s="529"/>
      <c r="C103" s="529"/>
      <c r="D103" s="529"/>
      <c r="E103" s="529"/>
      <c r="F103" s="529"/>
      <c r="G103" s="529"/>
      <c r="H103" s="529"/>
      <c r="I103" s="529"/>
      <c r="L103" s="459"/>
    </row>
    <row r="104" spans="2:12" x14ac:dyDescent="0.2">
      <c r="B104" s="529"/>
      <c r="C104" s="529"/>
      <c r="D104" s="529"/>
      <c r="E104" s="529"/>
      <c r="F104" s="529"/>
      <c r="G104" s="529"/>
      <c r="H104" s="529"/>
      <c r="I104" s="529"/>
      <c r="L104" s="459"/>
    </row>
    <row r="105" spans="2:12" x14ac:dyDescent="0.2">
      <c r="B105" s="529"/>
      <c r="C105" s="529"/>
      <c r="D105" s="529"/>
      <c r="E105" s="529"/>
      <c r="F105" s="529"/>
      <c r="G105" s="529"/>
      <c r="H105" s="529"/>
      <c r="I105" s="529"/>
      <c r="L105" s="459"/>
    </row>
    <row r="106" spans="2:12" ht="69" customHeight="1" x14ac:dyDescent="0.2">
      <c r="B106" s="529"/>
      <c r="C106" s="529"/>
      <c r="D106" s="529"/>
      <c r="E106" s="529"/>
      <c r="F106" s="529"/>
      <c r="G106" s="529"/>
      <c r="H106" s="529"/>
      <c r="I106" s="529"/>
      <c r="L106" s="459"/>
    </row>
    <row r="107" spans="2:12" hidden="1" x14ac:dyDescent="0.2">
      <c r="B107" s="460" t="s">
        <v>97</v>
      </c>
      <c r="C107" s="460"/>
    </row>
    <row r="108" spans="2:12" hidden="1" x14ac:dyDescent="0.2">
      <c r="B108" s="461" t="s">
        <v>98</v>
      </c>
      <c r="C108" s="461"/>
    </row>
    <row r="109" spans="2:12" hidden="1" x14ac:dyDescent="0.2">
      <c r="B109" s="461" t="s">
        <v>99</v>
      </c>
      <c r="C109" s="461"/>
    </row>
    <row r="110" spans="2:12" hidden="1" x14ac:dyDescent="0.2">
      <c r="B110" s="461" t="s">
        <v>100</v>
      </c>
      <c r="C110" s="461"/>
    </row>
    <row r="111" spans="2:12" hidden="1" x14ac:dyDescent="0.2">
      <c r="B111" s="461" t="s">
        <v>101</v>
      </c>
      <c r="C111" s="461"/>
    </row>
    <row r="112" spans="2:12" s="462" customFormat="1" hidden="1" x14ac:dyDescent="0.2">
      <c r="B112" s="461" t="s">
        <v>102</v>
      </c>
      <c r="C112" s="461"/>
    </row>
    <row r="113" spans="2:10" ht="5.5" customHeight="1" x14ac:dyDescent="0.2"/>
    <row r="114" spans="2:10" x14ac:dyDescent="0.2">
      <c r="B114" s="463" t="s">
        <v>103</v>
      </c>
      <c r="C114" s="463"/>
    </row>
    <row r="117" spans="2:10" x14ac:dyDescent="0.2">
      <c r="B117" s="530" t="s">
        <v>104</v>
      </c>
      <c r="C117" s="530"/>
      <c r="D117" s="530"/>
      <c r="F117" s="530" t="s">
        <v>105</v>
      </c>
      <c r="G117" s="530"/>
      <c r="H117" s="530"/>
      <c r="I117" s="530"/>
    </row>
    <row r="118" spans="2:10" x14ac:dyDescent="0.2">
      <c r="B118" s="479"/>
      <c r="C118" s="479"/>
      <c r="D118" s="479"/>
      <c r="E118" s="479"/>
      <c r="F118" s="479"/>
      <c r="G118" s="479"/>
      <c r="H118" s="479"/>
      <c r="I118" s="479"/>
      <c r="J118" s="479"/>
    </row>
  </sheetData>
  <sheetProtection algorithmName="SHA-512" hashValue="ENMd5MzDuRwkouEtmwvbeuy9TX1HlbYnOBMya3jNqVvMjZiuUfIF1h8rj406qac+7gT9KwccO2TRoH/8QXkENg==" saltValue="JX5EZqXpUJZoQXnE+Jnv2g==" spinCount="100000" sheet="1" objects="1" scenarios="1"/>
  <mergeCells count="75">
    <mergeCell ref="B90:I106"/>
    <mergeCell ref="B117:D117"/>
    <mergeCell ref="F117:I117"/>
    <mergeCell ref="B87:C87"/>
    <mergeCell ref="B76:C76"/>
    <mergeCell ref="B77:C77"/>
    <mergeCell ref="B78:C78"/>
    <mergeCell ref="B79:C79"/>
    <mergeCell ref="B80:C80"/>
    <mergeCell ref="B81:C81"/>
    <mergeCell ref="B82:C82"/>
    <mergeCell ref="B83:C83"/>
    <mergeCell ref="B84:C84"/>
    <mergeCell ref="B85:C85"/>
    <mergeCell ref="B86:C86"/>
    <mergeCell ref="B75:C75"/>
    <mergeCell ref="B64:C64"/>
    <mergeCell ref="B65:C65"/>
    <mergeCell ref="B66:C66"/>
    <mergeCell ref="B67:C67"/>
    <mergeCell ref="B68:C68"/>
    <mergeCell ref="B69:C69"/>
    <mergeCell ref="B70:C70"/>
    <mergeCell ref="B71:C71"/>
    <mergeCell ref="B72:C72"/>
    <mergeCell ref="B73:C73"/>
    <mergeCell ref="B74:C74"/>
    <mergeCell ref="B63:C63"/>
    <mergeCell ref="B52:C52"/>
    <mergeCell ref="B53:C53"/>
    <mergeCell ref="B54:C54"/>
    <mergeCell ref="B55:C55"/>
    <mergeCell ref="B56:C56"/>
    <mergeCell ref="B57:C57"/>
    <mergeCell ref="B58:C58"/>
    <mergeCell ref="B59:C59"/>
    <mergeCell ref="B60:C60"/>
    <mergeCell ref="B61:C61"/>
    <mergeCell ref="B62:C62"/>
    <mergeCell ref="B51:C51"/>
    <mergeCell ref="B40:C40"/>
    <mergeCell ref="B41:C41"/>
    <mergeCell ref="B42:C42"/>
    <mergeCell ref="B43:C43"/>
    <mergeCell ref="B44:C44"/>
    <mergeCell ref="B45:C45"/>
    <mergeCell ref="B46:C46"/>
    <mergeCell ref="B47:C47"/>
    <mergeCell ref="B48:C48"/>
    <mergeCell ref="B49:C49"/>
    <mergeCell ref="B50:C50"/>
    <mergeCell ref="B39:C39"/>
    <mergeCell ref="B28:C28"/>
    <mergeCell ref="B29:C29"/>
    <mergeCell ref="B30:C30"/>
    <mergeCell ref="B31:C31"/>
    <mergeCell ref="B32:C32"/>
    <mergeCell ref="B33:C33"/>
    <mergeCell ref="B34:C34"/>
    <mergeCell ref="B35:C35"/>
    <mergeCell ref="B36:C36"/>
    <mergeCell ref="B37:C37"/>
    <mergeCell ref="B38:C38"/>
    <mergeCell ref="B27:C27"/>
    <mergeCell ref="L1:L3"/>
    <mergeCell ref="I2:I3"/>
    <mergeCell ref="C6:D6"/>
    <mergeCell ref="C7:D7"/>
    <mergeCell ref="C8:D8"/>
    <mergeCell ref="C9:D9"/>
    <mergeCell ref="C10:D10"/>
    <mergeCell ref="C11:D11"/>
    <mergeCell ref="C12:D12"/>
    <mergeCell ref="B25:C25"/>
    <mergeCell ref="B26:C26"/>
  </mergeCells>
  <phoneticPr fontId="45" type="noConversion"/>
  <hyperlinks>
    <hyperlink ref="K5" location="Input!A1" display="Return to Input" xr:uid="{00000000-0004-0000-0600-000000000000}"/>
  </hyperlinks>
  <pageMargins left="0.7" right="0.7" top="0.75" bottom="0.75" header="0.3" footer="0.3"/>
  <pageSetup paperSize="5" scale="53"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92D050"/>
    <pageSetUpPr fitToPage="1"/>
  </sheetPr>
  <dimension ref="B1:P118"/>
  <sheetViews>
    <sheetView topLeftCell="A23" zoomScale="125" zoomScaleNormal="125" zoomScalePageLayoutView="125" workbookViewId="0">
      <selection activeCell="B32" sqref="B32:C32"/>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18.33203125" style="212" customWidth="1"/>
    <col min="5" max="5" width="18.5" style="212" customWidth="1"/>
    <col min="6" max="7" width="17.5" style="212" hidden="1" customWidth="1"/>
    <col min="8" max="8" width="17.5" style="212" customWidth="1"/>
    <col min="9" max="9" width="20.83203125" style="212" customWidth="1"/>
    <col min="10" max="10" width="9.33203125" style="212" bestFit="1" customWidth="1"/>
    <col min="11" max="11" width="8.83203125" style="212"/>
    <col min="12" max="12" width="26.1640625" style="212" hidden="1" customWidth="1"/>
    <col min="13" max="13" width="15.83203125" style="212" hidden="1" customWidth="1"/>
    <col min="14" max="15" width="0" style="212" hidden="1" customWidth="1"/>
    <col min="16"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6" x14ac:dyDescent="0.2">
      <c r="L1" s="511"/>
    </row>
    <row r="2" spans="2:16" x14ac:dyDescent="0.2">
      <c r="B2" s="425" t="s">
        <v>81</v>
      </c>
      <c r="F2" s="426"/>
      <c r="G2" s="426"/>
      <c r="H2" s="426"/>
      <c r="I2" s="512" t="s">
        <v>82</v>
      </c>
      <c r="L2" s="511"/>
    </row>
    <row r="3" spans="2:16" x14ac:dyDescent="0.2">
      <c r="B3" s="425" t="s">
        <v>171</v>
      </c>
      <c r="F3" s="427"/>
      <c r="G3" s="427"/>
      <c r="H3" s="427"/>
      <c r="I3" s="512"/>
      <c r="L3" s="511"/>
    </row>
    <row r="4" spans="2:16" x14ac:dyDescent="0.2">
      <c r="B4" s="425" t="s">
        <v>83</v>
      </c>
    </row>
    <row r="5" spans="2:16" ht="16" thickBot="1" x14ac:dyDescent="0.25">
      <c r="P5" s="464" t="s">
        <v>84</v>
      </c>
    </row>
    <row r="6" spans="2:16" ht="33" customHeight="1" thickBot="1" x14ac:dyDescent="0.25">
      <c r="B6" s="429" t="s">
        <v>71</v>
      </c>
      <c r="C6" s="513">
        <f>INPUT!C12</f>
        <v>0</v>
      </c>
      <c r="D6" s="514"/>
    </row>
    <row r="7" spans="2:16" x14ac:dyDescent="0.2">
      <c r="B7" s="430" t="s">
        <v>85</v>
      </c>
      <c r="C7" s="515" t="str">
        <f>INPUT!C11</f>
        <v>Block 5 Lot 11</v>
      </c>
      <c r="D7" s="516"/>
      <c r="E7" s="425"/>
      <c r="L7" s="431"/>
      <c r="M7" s="431"/>
      <c r="N7" s="431"/>
    </row>
    <row r="8" spans="2:16" x14ac:dyDescent="0.2">
      <c r="B8" s="432" t="s">
        <v>6</v>
      </c>
      <c r="C8" s="517">
        <f>INPUT!C17</f>
        <v>520</v>
      </c>
      <c r="D8" s="518"/>
      <c r="L8" s="431"/>
      <c r="M8" s="431"/>
      <c r="N8" s="431"/>
    </row>
    <row r="9" spans="2:16" x14ac:dyDescent="0.2">
      <c r="B9" s="432" t="s">
        <v>77</v>
      </c>
      <c r="C9" s="519">
        <f>INPUT!C18</f>
        <v>9574000</v>
      </c>
      <c r="D9" s="520"/>
      <c r="L9" s="431"/>
      <c r="M9" s="431"/>
      <c r="N9" s="431"/>
    </row>
    <row r="10" spans="2:16" x14ac:dyDescent="0.2">
      <c r="B10" s="432" t="s">
        <v>86</v>
      </c>
      <c r="C10" s="521" t="s">
        <v>257</v>
      </c>
      <c r="D10" s="522"/>
      <c r="L10" s="431"/>
      <c r="M10" s="431"/>
      <c r="N10" s="431"/>
    </row>
    <row r="11" spans="2:16" x14ac:dyDescent="0.2">
      <c r="B11" s="432"/>
      <c r="C11" s="521" t="s">
        <v>258</v>
      </c>
      <c r="D11" s="522"/>
      <c r="L11" s="431"/>
      <c r="M11" s="431"/>
      <c r="N11" s="431"/>
    </row>
    <row r="12" spans="2:16" ht="16" thickBot="1" x14ac:dyDescent="0.25">
      <c r="B12" s="433"/>
      <c r="C12" s="533" t="s">
        <v>174</v>
      </c>
      <c r="D12" s="534"/>
      <c r="L12" s="434"/>
      <c r="M12" s="434"/>
      <c r="N12" s="434"/>
    </row>
    <row r="13" spans="2:16" x14ac:dyDescent="0.2">
      <c r="E13" s="434"/>
      <c r="F13" s="434"/>
      <c r="G13" s="434"/>
      <c r="H13" s="434"/>
      <c r="I13" s="434"/>
      <c r="J13" s="434"/>
      <c r="K13" s="434"/>
      <c r="L13" s="435" t="s">
        <v>87</v>
      </c>
      <c r="M13" s="436">
        <v>0.02</v>
      </c>
      <c r="N13" s="434"/>
    </row>
    <row r="14" spans="2:16" x14ac:dyDescent="0.2">
      <c r="B14" s="437" t="s">
        <v>88</v>
      </c>
      <c r="C14" s="437"/>
      <c r="E14" s="434"/>
      <c r="F14" s="434"/>
      <c r="G14" s="434"/>
      <c r="H14" s="434"/>
      <c r="I14" s="434"/>
      <c r="J14" s="434"/>
      <c r="K14" s="434"/>
      <c r="L14" s="434"/>
      <c r="M14" s="436">
        <v>0</v>
      </c>
      <c r="N14" s="434"/>
    </row>
    <row r="15" spans="2:16" x14ac:dyDescent="0.2">
      <c r="B15" s="438" t="s">
        <v>187</v>
      </c>
      <c r="C15" s="198"/>
      <c r="D15" s="199">
        <f>(C9-650000)</f>
        <v>8924000</v>
      </c>
      <c r="E15" s="469"/>
      <c r="F15" s="440">
        <f t="shared" ref="F15" si="0">D15-E15</f>
        <v>8924000</v>
      </c>
      <c r="G15" s="440"/>
      <c r="H15" s="440"/>
      <c r="I15" s="434"/>
      <c r="J15" s="434"/>
      <c r="K15" s="434"/>
      <c r="L15" s="434"/>
      <c r="M15" s="434"/>
      <c r="N15" s="434"/>
    </row>
    <row r="16" spans="2:16" x14ac:dyDescent="0.2">
      <c r="B16" s="441" t="s">
        <v>109</v>
      </c>
      <c r="C16" s="201">
        <f>INPUT!C22</f>
        <v>0.1</v>
      </c>
      <c r="D16" s="200">
        <f>IF(C16&gt;10%,"maximum of 10%",(D15*C16))</f>
        <v>892400</v>
      </c>
      <c r="E16" s="469"/>
      <c r="F16" s="440"/>
      <c r="G16" s="440"/>
      <c r="H16" s="440"/>
      <c r="I16" s="434"/>
      <c r="J16" s="434"/>
      <c r="K16" s="434"/>
      <c r="L16" s="434"/>
      <c r="M16" s="434"/>
      <c r="N16" s="434"/>
    </row>
    <row r="17" spans="2:14" x14ac:dyDescent="0.2">
      <c r="B17" s="441" t="s">
        <v>89</v>
      </c>
      <c r="C17" s="206">
        <v>0.04</v>
      </c>
      <c r="D17" s="202">
        <f>IF(C17&gt;4%,"maximum of 4%",(D15-D16)*C17)</f>
        <v>321264</v>
      </c>
      <c r="E17" s="469"/>
      <c r="F17" s="440"/>
      <c r="G17" s="440"/>
      <c r="H17" s="440"/>
      <c r="I17" s="434"/>
      <c r="J17" s="434"/>
      <c r="K17" s="434"/>
      <c r="L17" s="434"/>
      <c r="M17" s="434"/>
      <c r="N17" s="434"/>
    </row>
    <row r="18" spans="2:14" x14ac:dyDescent="0.2">
      <c r="B18" s="441" t="s">
        <v>277</v>
      </c>
      <c r="C18" s="206">
        <v>0.05</v>
      </c>
      <c r="D18" s="200">
        <f>IF(C18&gt;5%,"maximum of 5%",(D15-D16-D17)*C18)</f>
        <v>385516.80000000005</v>
      </c>
      <c r="E18" s="469"/>
      <c r="F18" s="440"/>
      <c r="G18" s="440"/>
      <c r="H18" s="440"/>
      <c r="I18" s="434"/>
      <c r="J18" s="434"/>
      <c r="K18" s="434"/>
      <c r="L18" s="434"/>
      <c r="M18" s="434"/>
      <c r="N18" s="434"/>
    </row>
    <row r="19" spans="2:14" x14ac:dyDescent="0.2">
      <c r="B19" s="441" t="s">
        <v>87</v>
      </c>
      <c r="C19" s="201" t="str">
        <f>IF(INPUT!C13="Repeat Buyer","2%",IF(INPUT!C13="New Buyer","0%"))</f>
        <v>0%</v>
      </c>
      <c r="D19" s="210">
        <f>IF(C19&gt;2%,((D15-SUM(D16:D18)))*C19, "maximum of 2%")</f>
        <v>0</v>
      </c>
      <c r="E19" s="469"/>
      <c r="F19" s="440"/>
      <c r="G19" s="440"/>
      <c r="H19" s="440"/>
      <c r="I19" s="434"/>
      <c r="J19" s="434"/>
      <c r="K19" s="434"/>
      <c r="L19" s="434"/>
      <c r="M19" s="434"/>
      <c r="N19" s="434"/>
    </row>
    <row r="20" spans="2:14" x14ac:dyDescent="0.2">
      <c r="B20" s="470"/>
      <c r="C20" s="201"/>
      <c r="D20" s="200">
        <f>D15-SUM(D16:D19)</f>
        <v>7324819.2000000002</v>
      </c>
      <c r="E20" s="439"/>
      <c r="F20" s="440"/>
      <c r="G20" s="440"/>
      <c r="H20" s="440"/>
      <c r="I20" s="434"/>
      <c r="J20" s="434"/>
      <c r="K20" s="434"/>
      <c r="L20" s="434"/>
      <c r="M20" s="434"/>
      <c r="N20" s="434"/>
    </row>
    <row r="21" spans="2:14" x14ac:dyDescent="0.2">
      <c r="B21" s="441" t="s">
        <v>267</v>
      </c>
      <c r="C21" s="201">
        <v>0.05</v>
      </c>
      <c r="D21" s="200">
        <f>(D20/1.12)*C21</f>
        <v>327000.85714285716</v>
      </c>
      <c r="E21" s="459"/>
      <c r="F21" s="440"/>
      <c r="G21" s="440"/>
      <c r="H21" s="440"/>
      <c r="I21" s="434"/>
      <c r="J21" s="434"/>
      <c r="K21" s="434"/>
      <c r="L21" s="434"/>
      <c r="M21" s="434"/>
      <c r="N21" s="434"/>
    </row>
    <row r="22" spans="2:14" x14ac:dyDescent="0.2">
      <c r="B22" s="438" t="s">
        <v>178</v>
      </c>
      <c r="C22" s="201"/>
      <c r="D22" s="200">
        <v>650000</v>
      </c>
      <c r="E22" s="439"/>
      <c r="F22" s="440"/>
      <c r="G22" s="440"/>
      <c r="H22" s="440"/>
      <c r="I22" s="434"/>
      <c r="J22" s="434"/>
      <c r="K22" s="434"/>
      <c r="L22" s="434"/>
      <c r="M22" s="434"/>
      <c r="N22" s="434"/>
    </row>
    <row r="23" spans="2:14" ht="16" thickBot="1" x14ac:dyDescent="0.25">
      <c r="B23" s="442" t="s">
        <v>90</v>
      </c>
      <c r="C23" s="201"/>
      <c r="D23" s="205">
        <f>SUM(D20:D22)</f>
        <v>8301820.0571428575</v>
      </c>
      <c r="E23" s="439"/>
      <c r="F23" s="440"/>
      <c r="G23" s="440"/>
      <c r="H23" s="440"/>
      <c r="I23" s="434"/>
      <c r="J23" s="434"/>
      <c r="K23" s="434"/>
      <c r="L23" s="434"/>
      <c r="M23" s="434"/>
      <c r="N23" s="434"/>
    </row>
    <row r="24" spans="2:14" ht="16" thickTop="1" x14ac:dyDescent="0.2">
      <c r="B24" s="442"/>
      <c r="C24" s="201"/>
      <c r="D24" s="471"/>
      <c r="E24" s="439"/>
      <c r="F24" s="440"/>
      <c r="G24" s="440"/>
      <c r="H24" s="440"/>
      <c r="I24" s="434"/>
      <c r="J24" s="434"/>
      <c r="K24" s="434"/>
      <c r="L24" s="434"/>
      <c r="M24" s="434"/>
      <c r="N24" s="434"/>
    </row>
    <row r="25" spans="2:14" ht="16" thickBot="1" x14ac:dyDescent="0.25"/>
    <row r="26" spans="2:14" ht="31" thickBot="1" x14ac:dyDescent="0.25">
      <c r="B26" s="525" t="s">
        <v>91</v>
      </c>
      <c r="C26" s="526"/>
      <c r="D26" s="444" t="s">
        <v>92</v>
      </c>
      <c r="E26" s="444" t="s">
        <v>93</v>
      </c>
      <c r="F26" s="445" t="s">
        <v>199</v>
      </c>
      <c r="G26" s="446" t="s">
        <v>184</v>
      </c>
      <c r="H26" s="446" t="s">
        <v>202</v>
      </c>
      <c r="I26" s="448" t="s">
        <v>94</v>
      </c>
      <c r="J26" s="434"/>
      <c r="K26" s="434"/>
      <c r="L26" s="434"/>
      <c r="M26" s="434"/>
      <c r="N26" s="434"/>
    </row>
    <row r="27" spans="2:14" x14ac:dyDescent="0.2">
      <c r="B27" s="527">
        <v>0</v>
      </c>
      <c r="C27" s="528"/>
      <c r="D27" s="472">
        <f>INPUT!C16</f>
        <v>44200</v>
      </c>
      <c r="E27" s="473" t="s">
        <v>46</v>
      </c>
      <c r="F27" s="186">
        <v>50000</v>
      </c>
      <c r="G27" s="187"/>
      <c r="H27" s="187">
        <f>F27</f>
        <v>50000</v>
      </c>
      <c r="I27" s="188">
        <f>D23-H27</f>
        <v>8251820.0571428575</v>
      </c>
      <c r="J27" s="450" t="s">
        <v>95</v>
      </c>
      <c r="K27" s="434"/>
      <c r="L27" s="439">
        <v>56000</v>
      </c>
      <c r="M27" s="440">
        <f>L27-F27</f>
        <v>6000</v>
      </c>
      <c r="N27" s="434"/>
    </row>
    <row r="28" spans="2:14" x14ac:dyDescent="0.2">
      <c r="B28" s="509">
        <v>1</v>
      </c>
      <c r="C28" s="510"/>
      <c r="D28" s="424">
        <f>EDATE(D27,1)</f>
        <v>44231</v>
      </c>
      <c r="E28" s="453" t="s">
        <v>39</v>
      </c>
      <c r="F28" s="189">
        <f>ROUND(((((D15-SUM(D16:D19))+D22)*20%)-F27)/1,3)</f>
        <v>1544963.84</v>
      </c>
      <c r="G28" s="190">
        <f>ROUND((D21*20%)/1,3)</f>
        <v>65400.171000000002</v>
      </c>
      <c r="H28" s="190">
        <f>F28+G28</f>
        <v>1610364.0110000002</v>
      </c>
      <c r="I28" s="191">
        <f>I27-H28</f>
        <v>6641456.0461428575</v>
      </c>
      <c r="J28" s="450"/>
      <c r="K28" s="434"/>
      <c r="L28" s="439"/>
      <c r="M28" s="440"/>
      <c r="N28" s="434"/>
    </row>
    <row r="29" spans="2:14" x14ac:dyDescent="0.2">
      <c r="B29" s="509">
        <v>2</v>
      </c>
      <c r="C29" s="510"/>
      <c r="D29" s="474">
        <f>EDATE(D28,1)</f>
        <v>44259</v>
      </c>
      <c r="E29" s="452" t="s">
        <v>170</v>
      </c>
      <c r="F29" s="189">
        <f>ROUND((((D15-SUM(D16:D19))+D22)*30%)/60,4)</f>
        <v>39874.095999999998</v>
      </c>
      <c r="G29" s="193">
        <f>+ROUND((D21*30%)/60,4)</f>
        <v>1635.0043000000001</v>
      </c>
      <c r="H29" s="193">
        <f>SUM(F29:G29)</f>
        <v>41509.100299999998</v>
      </c>
      <c r="I29" s="191">
        <f t="shared" ref="I29:I89" si="1">I28-H29</f>
        <v>6599946.9458428575</v>
      </c>
      <c r="J29" s="450"/>
      <c r="K29" s="434"/>
      <c r="L29" s="439"/>
      <c r="M29" s="440"/>
      <c r="N29" s="434"/>
    </row>
    <row r="30" spans="2:14" x14ac:dyDescent="0.2">
      <c r="B30" s="509">
        <v>3</v>
      </c>
      <c r="C30" s="510"/>
      <c r="D30" s="474">
        <f t="shared" ref="D30:D89" si="2">EDATE(D29,1)</f>
        <v>44290</v>
      </c>
      <c r="E30" s="452" t="s">
        <v>110</v>
      </c>
      <c r="F30" s="192">
        <f>+F29</f>
        <v>39874.095999999998</v>
      </c>
      <c r="G30" s="193">
        <f>G29</f>
        <v>1635.0043000000001</v>
      </c>
      <c r="H30" s="193">
        <f t="shared" ref="H30:H87" si="3">SUM(F30:G30)</f>
        <v>41509.100299999998</v>
      </c>
      <c r="I30" s="191">
        <f t="shared" si="1"/>
        <v>6558437.8455428574</v>
      </c>
      <c r="J30" s="450"/>
      <c r="K30" s="434"/>
      <c r="L30" s="439"/>
      <c r="M30" s="440"/>
      <c r="N30" s="434"/>
    </row>
    <row r="31" spans="2:14" x14ac:dyDescent="0.2">
      <c r="B31" s="509">
        <v>4</v>
      </c>
      <c r="C31" s="510"/>
      <c r="D31" s="474">
        <f t="shared" si="2"/>
        <v>44320</v>
      </c>
      <c r="E31" s="452" t="s">
        <v>111</v>
      </c>
      <c r="F31" s="192">
        <f t="shared" ref="F31:G86" si="4">F30</f>
        <v>39874.095999999998</v>
      </c>
      <c r="G31" s="193">
        <f t="shared" si="4"/>
        <v>1635.0043000000001</v>
      </c>
      <c r="H31" s="193">
        <f t="shared" si="3"/>
        <v>41509.100299999998</v>
      </c>
      <c r="I31" s="191">
        <f t="shared" si="1"/>
        <v>6516928.7452428574</v>
      </c>
      <c r="J31" s="450"/>
      <c r="K31" s="434"/>
      <c r="L31" s="439"/>
      <c r="M31" s="440"/>
      <c r="N31" s="434"/>
    </row>
    <row r="32" spans="2:14" x14ac:dyDescent="0.2">
      <c r="B32" s="509">
        <v>5</v>
      </c>
      <c r="C32" s="510"/>
      <c r="D32" s="474">
        <f t="shared" si="2"/>
        <v>44351</v>
      </c>
      <c r="E32" s="452" t="s">
        <v>112</v>
      </c>
      <c r="F32" s="192">
        <f t="shared" si="4"/>
        <v>39874.095999999998</v>
      </c>
      <c r="G32" s="193">
        <f t="shared" si="4"/>
        <v>1635.0043000000001</v>
      </c>
      <c r="H32" s="193">
        <f t="shared" si="3"/>
        <v>41509.100299999998</v>
      </c>
      <c r="I32" s="191">
        <f t="shared" si="1"/>
        <v>6475419.6449428573</v>
      </c>
      <c r="J32" s="450"/>
      <c r="K32" s="434"/>
      <c r="L32" s="439"/>
      <c r="M32" s="440"/>
      <c r="N32" s="434"/>
    </row>
    <row r="33" spans="2:14" x14ac:dyDescent="0.2">
      <c r="B33" s="509">
        <v>6</v>
      </c>
      <c r="C33" s="510"/>
      <c r="D33" s="474">
        <f t="shared" si="2"/>
        <v>44381</v>
      </c>
      <c r="E33" s="452" t="s">
        <v>113</v>
      </c>
      <c r="F33" s="192">
        <f t="shared" si="4"/>
        <v>39874.095999999998</v>
      </c>
      <c r="G33" s="193">
        <f t="shared" si="4"/>
        <v>1635.0043000000001</v>
      </c>
      <c r="H33" s="193">
        <f t="shared" si="3"/>
        <v>41509.100299999998</v>
      </c>
      <c r="I33" s="191">
        <f t="shared" si="1"/>
        <v>6433910.5446428573</v>
      </c>
      <c r="J33" s="450"/>
      <c r="K33" s="434"/>
      <c r="L33" s="439"/>
      <c r="M33" s="440"/>
      <c r="N33" s="434"/>
    </row>
    <row r="34" spans="2:14" x14ac:dyDescent="0.2">
      <c r="B34" s="509">
        <v>7</v>
      </c>
      <c r="C34" s="510"/>
      <c r="D34" s="474">
        <f t="shared" si="2"/>
        <v>44412</v>
      </c>
      <c r="E34" s="452" t="s">
        <v>114</v>
      </c>
      <c r="F34" s="192">
        <f t="shared" si="4"/>
        <v>39874.095999999998</v>
      </c>
      <c r="G34" s="193">
        <f t="shared" si="4"/>
        <v>1635.0043000000001</v>
      </c>
      <c r="H34" s="193">
        <f t="shared" si="3"/>
        <v>41509.100299999998</v>
      </c>
      <c r="I34" s="191">
        <f t="shared" si="1"/>
        <v>6392401.4443428572</v>
      </c>
      <c r="J34" s="450"/>
      <c r="K34" s="434"/>
      <c r="L34" s="439"/>
      <c r="M34" s="440"/>
      <c r="N34" s="434"/>
    </row>
    <row r="35" spans="2:14" x14ac:dyDescent="0.2">
      <c r="B35" s="509">
        <v>8</v>
      </c>
      <c r="C35" s="510"/>
      <c r="D35" s="474">
        <f t="shared" si="2"/>
        <v>44443</v>
      </c>
      <c r="E35" s="452" t="s">
        <v>115</v>
      </c>
      <c r="F35" s="192">
        <f t="shared" si="4"/>
        <v>39874.095999999998</v>
      </c>
      <c r="G35" s="193">
        <f t="shared" si="4"/>
        <v>1635.0043000000001</v>
      </c>
      <c r="H35" s="193">
        <f t="shared" si="3"/>
        <v>41509.100299999998</v>
      </c>
      <c r="I35" s="191">
        <f t="shared" si="1"/>
        <v>6350892.3440428572</v>
      </c>
      <c r="J35" s="450"/>
      <c r="K35" s="434"/>
      <c r="L35" s="439"/>
      <c r="M35" s="440"/>
      <c r="N35" s="434"/>
    </row>
    <row r="36" spans="2:14" x14ac:dyDescent="0.2">
      <c r="B36" s="509">
        <v>9</v>
      </c>
      <c r="C36" s="510"/>
      <c r="D36" s="474">
        <f t="shared" si="2"/>
        <v>44473</v>
      </c>
      <c r="E36" s="452" t="s">
        <v>116</v>
      </c>
      <c r="F36" s="192">
        <f t="shared" si="4"/>
        <v>39874.095999999998</v>
      </c>
      <c r="G36" s="193">
        <f t="shared" si="4"/>
        <v>1635.0043000000001</v>
      </c>
      <c r="H36" s="193">
        <f t="shared" si="3"/>
        <v>41509.100299999998</v>
      </c>
      <c r="I36" s="191">
        <f t="shared" si="1"/>
        <v>6309383.2437428571</v>
      </c>
      <c r="J36" s="450"/>
      <c r="K36" s="434"/>
      <c r="L36" s="439"/>
      <c r="M36" s="440"/>
      <c r="N36" s="434"/>
    </row>
    <row r="37" spans="2:14" x14ac:dyDescent="0.2">
      <c r="B37" s="509">
        <v>10</v>
      </c>
      <c r="C37" s="510"/>
      <c r="D37" s="474">
        <f t="shared" si="2"/>
        <v>44504</v>
      </c>
      <c r="E37" s="452" t="s">
        <v>117</v>
      </c>
      <c r="F37" s="192">
        <f t="shared" si="4"/>
        <v>39874.095999999998</v>
      </c>
      <c r="G37" s="193">
        <f t="shared" si="4"/>
        <v>1635.0043000000001</v>
      </c>
      <c r="H37" s="193">
        <f t="shared" si="3"/>
        <v>41509.100299999998</v>
      </c>
      <c r="I37" s="191">
        <f t="shared" si="1"/>
        <v>6267874.1434428571</v>
      </c>
      <c r="J37" s="450"/>
      <c r="K37" s="434"/>
      <c r="L37" s="439"/>
      <c r="M37" s="440"/>
      <c r="N37" s="434"/>
    </row>
    <row r="38" spans="2:14" x14ac:dyDescent="0.2">
      <c r="B38" s="509">
        <v>11</v>
      </c>
      <c r="C38" s="510"/>
      <c r="D38" s="474">
        <f t="shared" si="2"/>
        <v>44534</v>
      </c>
      <c r="E38" s="452" t="s">
        <v>118</v>
      </c>
      <c r="F38" s="192">
        <f t="shared" si="4"/>
        <v>39874.095999999998</v>
      </c>
      <c r="G38" s="193">
        <f t="shared" si="4"/>
        <v>1635.0043000000001</v>
      </c>
      <c r="H38" s="193">
        <f t="shared" si="3"/>
        <v>41509.100299999998</v>
      </c>
      <c r="I38" s="191">
        <f t="shared" si="1"/>
        <v>6226365.043142857</v>
      </c>
      <c r="J38" s="450"/>
      <c r="K38" s="434"/>
      <c r="L38" s="439"/>
      <c r="M38" s="440"/>
      <c r="N38" s="434"/>
    </row>
    <row r="39" spans="2:14" x14ac:dyDescent="0.2">
      <c r="B39" s="509">
        <v>12</v>
      </c>
      <c r="C39" s="510"/>
      <c r="D39" s="474">
        <f t="shared" si="2"/>
        <v>44565</v>
      </c>
      <c r="E39" s="452" t="s">
        <v>119</v>
      </c>
      <c r="F39" s="192">
        <f t="shared" si="4"/>
        <v>39874.095999999998</v>
      </c>
      <c r="G39" s="193">
        <f t="shared" si="4"/>
        <v>1635.0043000000001</v>
      </c>
      <c r="H39" s="193">
        <f t="shared" si="3"/>
        <v>41509.100299999998</v>
      </c>
      <c r="I39" s="191">
        <f t="shared" si="1"/>
        <v>6184855.942842857</v>
      </c>
      <c r="J39" s="450"/>
      <c r="K39" s="434"/>
      <c r="L39" s="439"/>
      <c r="M39" s="440"/>
      <c r="N39" s="434"/>
    </row>
    <row r="40" spans="2:14" x14ac:dyDescent="0.2">
      <c r="B40" s="509">
        <v>13</v>
      </c>
      <c r="C40" s="510"/>
      <c r="D40" s="474">
        <f t="shared" si="2"/>
        <v>44596</v>
      </c>
      <c r="E40" s="452" t="s">
        <v>120</v>
      </c>
      <c r="F40" s="192">
        <f t="shared" si="4"/>
        <v>39874.095999999998</v>
      </c>
      <c r="G40" s="193">
        <f t="shared" si="4"/>
        <v>1635.0043000000001</v>
      </c>
      <c r="H40" s="193">
        <f t="shared" si="3"/>
        <v>41509.100299999998</v>
      </c>
      <c r="I40" s="191">
        <f t="shared" si="1"/>
        <v>6143346.8425428569</v>
      </c>
      <c r="J40" s="450"/>
      <c r="K40" s="434"/>
      <c r="L40" s="439"/>
      <c r="M40" s="440"/>
      <c r="N40" s="434"/>
    </row>
    <row r="41" spans="2:14" x14ac:dyDescent="0.2">
      <c r="B41" s="509">
        <v>14</v>
      </c>
      <c r="C41" s="510"/>
      <c r="D41" s="474">
        <f t="shared" si="2"/>
        <v>44624</v>
      </c>
      <c r="E41" s="452" t="s">
        <v>121</v>
      </c>
      <c r="F41" s="192">
        <f t="shared" si="4"/>
        <v>39874.095999999998</v>
      </c>
      <c r="G41" s="193">
        <f t="shared" si="4"/>
        <v>1635.0043000000001</v>
      </c>
      <c r="H41" s="193">
        <f t="shared" si="3"/>
        <v>41509.100299999998</v>
      </c>
      <c r="I41" s="191">
        <f t="shared" si="1"/>
        <v>6101837.7422428569</v>
      </c>
      <c r="J41" s="450"/>
      <c r="K41" s="434"/>
      <c r="L41" s="439"/>
      <c r="M41" s="440"/>
      <c r="N41" s="434"/>
    </row>
    <row r="42" spans="2:14" x14ac:dyDescent="0.2">
      <c r="B42" s="509">
        <v>15</v>
      </c>
      <c r="C42" s="510"/>
      <c r="D42" s="474">
        <f t="shared" si="2"/>
        <v>44655</v>
      </c>
      <c r="E42" s="452" t="s">
        <v>122</v>
      </c>
      <c r="F42" s="192">
        <f t="shared" si="4"/>
        <v>39874.095999999998</v>
      </c>
      <c r="G42" s="193">
        <f t="shared" si="4"/>
        <v>1635.0043000000001</v>
      </c>
      <c r="H42" s="193">
        <f t="shared" si="3"/>
        <v>41509.100299999998</v>
      </c>
      <c r="I42" s="191">
        <f t="shared" si="1"/>
        <v>6060328.6419428568</v>
      </c>
      <c r="J42" s="450"/>
      <c r="K42" s="434"/>
      <c r="L42" s="439"/>
      <c r="M42" s="440"/>
      <c r="N42" s="434"/>
    </row>
    <row r="43" spans="2:14" x14ac:dyDescent="0.2">
      <c r="B43" s="509">
        <v>16</v>
      </c>
      <c r="C43" s="510"/>
      <c r="D43" s="474">
        <f t="shared" si="2"/>
        <v>44685</v>
      </c>
      <c r="E43" s="452" t="s">
        <v>123</v>
      </c>
      <c r="F43" s="192">
        <f t="shared" si="4"/>
        <v>39874.095999999998</v>
      </c>
      <c r="G43" s="193">
        <f t="shared" si="4"/>
        <v>1635.0043000000001</v>
      </c>
      <c r="H43" s="193">
        <f t="shared" si="3"/>
        <v>41509.100299999998</v>
      </c>
      <c r="I43" s="191">
        <f t="shared" si="1"/>
        <v>6018819.5416428568</v>
      </c>
      <c r="J43" s="450"/>
      <c r="K43" s="434"/>
      <c r="L43" s="439"/>
      <c r="M43" s="440"/>
      <c r="N43" s="434"/>
    </row>
    <row r="44" spans="2:14" x14ac:dyDescent="0.2">
      <c r="B44" s="509">
        <v>17</v>
      </c>
      <c r="C44" s="510"/>
      <c r="D44" s="474">
        <f t="shared" si="2"/>
        <v>44716</v>
      </c>
      <c r="E44" s="452" t="s">
        <v>124</v>
      </c>
      <c r="F44" s="192">
        <f t="shared" si="4"/>
        <v>39874.095999999998</v>
      </c>
      <c r="G44" s="193">
        <f t="shared" si="4"/>
        <v>1635.0043000000001</v>
      </c>
      <c r="H44" s="193">
        <f t="shared" si="3"/>
        <v>41509.100299999998</v>
      </c>
      <c r="I44" s="191">
        <f t="shared" si="1"/>
        <v>5977310.4413428567</v>
      </c>
      <c r="J44" s="450"/>
      <c r="K44" s="434"/>
      <c r="L44" s="439"/>
      <c r="M44" s="440"/>
      <c r="N44" s="434"/>
    </row>
    <row r="45" spans="2:14" x14ac:dyDescent="0.2">
      <c r="B45" s="509">
        <v>18</v>
      </c>
      <c r="C45" s="510"/>
      <c r="D45" s="474">
        <f t="shared" si="2"/>
        <v>44746</v>
      </c>
      <c r="E45" s="452" t="s">
        <v>125</v>
      </c>
      <c r="F45" s="192">
        <f t="shared" si="4"/>
        <v>39874.095999999998</v>
      </c>
      <c r="G45" s="193">
        <f t="shared" si="4"/>
        <v>1635.0043000000001</v>
      </c>
      <c r="H45" s="193">
        <f t="shared" si="3"/>
        <v>41509.100299999998</v>
      </c>
      <c r="I45" s="191">
        <f t="shared" si="1"/>
        <v>5935801.3410428567</v>
      </c>
      <c r="J45" s="450"/>
      <c r="K45" s="434"/>
      <c r="L45" s="439"/>
      <c r="M45" s="440"/>
      <c r="N45" s="434"/>
    </row>
    <row r="46" spans="2:14" x14ac:dyDescent="0.2">
      <c r="B46" s="509">
        <v>19</v>
      </c>
      <c r="C46" s="510"/>
      <c r="D46" s="474">
        <f t="shared" si="2"/>
        <v>44777</v>
      </c>
      <c r="E46" s="452" t="s">
        <v>126</v>
      </c>
      <c r="F46" s="192">
        <f t="shared" si="4"/>
        <v>39874.095999999998</v>
      </c>
      <c r="G46" s="193">
        <f t="shared" si="4"/>
        <v>1635.0043000000001</v>
      </c>
      <c r="H46" s="193">
        <f t="shared" si="3"/>
        <v>41509.100299999998</v>
      </c>
      <c r="I46" s="191">
        <f t="shared" si="1"/>
        <v>5894292.2407428566</v>
      </c>
      <c r="J46" s="450"/>
      <c r="K46" s="434"/>
      <c r="L46" s="439"/>
      <c r="M46" s="440"/>
      <c r="N46" s="434"/>
    </row>
    <row r="47" spans="2:14" x14ac:dyDescent="0.2">
      <c r="B47" s="509">
        <v>20</v>
      </c>
      <c r="C47" s="510"/>
      <c r="D47" s="474">
        <f t="shared" si="2"/>
        <v>44808</v>
      </c>
      <c r="E47" s="452" t="s">
        <v>127</v>
      </c>
      <c r="F47" s="192">
        <f t="shared" si="4"/>
        <v>39874.095999999998</v>
      </c>
      <c r="G47" s="193">
        <f t="shared" si="4"/>
        <v>1635.0043000000001</v>
      </c>
      <c r="H47" s="193">
        <f t="shared" si="3"/>
        <v>41509.100299999998</v>
      </c>
      <c r="I47" s="191">
        <f t="shared" si="1"/>
        <v>5852783.1404428566</v>
      </c>
      <c r="J47" s="450"/>
      <c r="K47" s="434"/>
      <c r="L47" s="439"/>
      <c r="M47" s="440"/>
      <c r="N47" s="434"/>
    </row>
    <row r="48" spans="2:14" x14ac:dyDescent="0.2">
      <c r="B48" s="509">
        <v>21</v>
      </c>
      <c r="C48" s="510"/>
      <c r="D48" s="474">
        <f t="shared" si="2"/>
        <v>44838</v>
      </c>
      <c r="E48" s="452" t="s">
        <v>128</v>
      </c>
      <c r="F48" s="192">
        <f t="shared" si="4"/>
        <v>39874.095999999998</v>
      </c>
      <c r="G48" s="193">
        <f t="shared" si="4"/>
        <v>1635.0043000000001</v>
      </c>
      <c r="H48" s="193">
        <f t="shared" si="3"/>
        <v>41509.100299999998</v>
      </c>
      <c r="I48" s="191">
        <f t="shared" si="1"/>
        <v>5811274.0401428565</v>
      </c>
      <c r="J48" s="450"/>
      <c r="K48" s="434"/>
      <c r="L48" s="439"/>
      <c r="M48" s="440"/>
      <c r="N48" s="434"/>
    </row>
    <row r="49" spans="2:14" x14ac:dyDescent="0.2">
      <c r="B49" s="509">
        <v>22</v>
      </c>
      <c r="C49" s="510"/>
      <c r="D49" s="474">
        <f t="shared" si="2"/>
        <v>44869</v>
      </c>
      <c r="E49" s="452" t="s">
        <v>129</v>
      </c>
      <c r="F49" s="192">
        <f t="shared" si="4"/>
        <v>39874.095999999998</v>
      </c>
      <c r="G49" s="193">
        <f t="shared" si="4"/>
        <v>1635.0043000000001</v>
      </c>
      <c r="H49" s="193">
        <f t="shared" si="3"/>
        <v>41509.100299999998</v>
      </c>
      <c r="I49" s="191">
        <f t="shared" si="1"/>
        <v>5769764.9398428565</v>
      </c>
      <c r="J49" s="450"/>
      <c r="K49" s="434"/>
      <c r="L49" s="439"/>
      <c r="M49" s="440"/>
      <c r="N49" s="434"/>
    </row>
    <row r="50" spans="2:14" x14ac:dyDescent="0.2">
      <c r="B50" s="509">
        <v>23</v>
      </c>
      <c r="C50" s="510"/>
      <c r="D50" s="474">
        <f t="shared" si="2"/>
        <v>44899</v>
      </c>
      <c r="E50" s="452" t="s">
        <v>130</v>
      </c>
      <c r="F50" s="192">
        <f t="shared" si="4"/>
        <v>39874.095999999998</v>
      </c>
      <c r="G50" s="193">
        <f t="shared" si="4"/>
        <v>1635.0043000000001</v>
      </c>
      <c r="H50" s="193">
        <f t="shared" si="3"/>
        <v>41509.100299999998</v>
      </c>
      <c r="I50" s="191">
        <f t="shared" si="1"/>
        <v>5728255.8395428564</v>
      </c>
      <c r="J50" s="450"/>
      <c r="K50" s="434"/>
      <c r="L50" s="439"/>
      <c r="M50" s="440"/>
      <c r="N50" s="434"/>
    </row>
    <row r="51" spans="2:14" x14ac:dyDescent="0.2">
      <c r="B51" s="509">
        <v>24</v>
      </c>
      <c r="C51" s="510"/>
      <c r="D51" s="474">
        <f t="shared" si="2"/>
        <v>44930</v>
      </c>
      <c r="E51" s="452" t="s">
        <v>131</v>
      </c>
      <c r="F51" s="192">
        <f t="shared" si="4"/>
        <v>39874.095999999998</v>
      </c>
      <c r="G51" s="193">
        <f t="shared" si="4"/>
        <v>1635.0043000000001</v>
      </c>
      <c r="H51" s="193">
        <f t="shared" si="3"/>
        <v>41509.100299999998</v>
      </c>
      <c r="I51" s="191">
        <f t="shared" si="1"/>
        <v>5686746.7392428564</v>
      </c>
      <c r="J51" s="450"/>
      <c r="K51" s="434"/>
      <c r="L51" s="439"/>
      <c r="M51" s="440"/>
      <c r="N51" s="434"/>
    </row>
    <row r="52" spans="2:14" x14ac:dyDescent="0.2">
      <c r="B52" s="509">
        <v>25</v>
      </c>
      <c r="C52" s="510"/>
      <c r="D52" s="474">
        <f t="shared" si="2"/>
        <v>44961</v>
      </c>
      <c r="E52" s="452" t="s">
        <v>132</v>
      </c>
      <c r="F52" s="192">
        <f t="shared" si="4"/>
        <v>39874.095999999998</v>
      </c>
      <c r="G52" s="193">
        <f t="shared" si="4"/>
        <v>1635.0043000000001</v>
      </c>
      <c r="H52" s="193">
        <f t="shared" si="3"/>
        <v>41509.100299999998</v>
      </c>
      <c r="I52" s="191">
        <f t="shared" si="1"/>
        <v>5645237.6389428563</v>
      </c>
      <c r="J52" s="450"/>
      <c r="K52" s="434"/>
      <c r="L52" s="439"/>
      <c r="M52" s="440"/>
      <c r="N52" s="434"/>
    </row>
    <row r="53" spans="2:14" x14ac:dyDescent="0.2">
      <c r="B53" s="509">
        <v>26</v>
      </c>
      <c r="C53" s="510"/>
      <c r="D53" s="474">
        <f t="shared" si="2"/>
        <v>44989</v>
      </c>
      <c r="E53" s="452" t="s">
        <v>133</v>
      </c>
      <c r="F53" s="192">
        <f t="shared" si="4"/>
        <v>39874.095999999998</v>
      </c>
      <c r="G53" s="193">
        <f t="shared" si="4"/>
        <v>1635.0043000000001</v>
      </c>
      <c r="H53" s="193">
        <f t="shared" si="3"/>
        <v>41509.100299999998</v>
      </c>
      <c r="I53" s="191">
        <f t="shared" si="1"/>
        <v>5603728.5386428563</v>
      </c>
      <c r="J53" s="450"/>
      <c r="K53" s="434"/>
      <c r="L53" s="439"/>
      <c r="M53" s="440"/>
      <c r="N53" s="434"/>
    </row>
    <row r="54" spans="2:14" x14ac:dyDescent="0.2">
      <c r="B54" s="509">
        <v>27</v>
      </c>
      <c r="C54" s="510"/>
      <c r="D54" s="474">
        <f t="shared" si="2"/>
        <v>45020</v>
      </c>
      <c r="E54" s="452" t="s">
        <v>134</v>
      </c>
      <c r="F54" s="192">
        <f t="shared" si="4"/>
        <v>39874.095999999998</v>
      </c>
      <c r="G54" s="193">
        <f t="shared" si="4"/>
        <v>1635.0043000000001</v>
      </c>
      <c r="H54" s="193">
        <f t="shared" si="3"/>
        <v>41509.100299999998</v>
      </c>
      <c r="I54" s="191">
        <f t="shared" si="1"/>
        <v>5562219.4383428562</v>
      </c>
      <c r="J54" s="450"/>
      <c r="K54" s="434"/>
      <c r="L54" s="439"/>
      <c r="M54" s="440"/>
      <c r="N54" s="434"/>
    </row>
    <row r="55" spans="2:14" x14ac:dyDescent="0.2">
      <c r="B55" s="509">
        <v>28</v>
      </c>
      <c r="C55" s="510"/>
      <c r="D55" s="474">
        <f t="shared" si="2"/>
        <v>45050</v>
      </c>
      <c r="E55" s="452" t="s">
        <v>135</v>
      </c>
      <c r="F55" s="192">
        <f t="shared" si="4"/>
        <v>39874.095999999998</v>
      </c>
      <c r="G55" s="193">
        <f t="shared" si="4"/>
        <v>1635.0043000000001</v>
      </c>
      <c r="H55" s="193">
        <f t="shared" si="3"/>
        <v>41509.100299999998</v>
      </c>
      <c r="I55" s="191">
        <f t="shared" si="1"/>
        <v>5520710.3380428562</v>
      </c>
      <c r="J55" s="450"/>
      <c r="K55" s="434"/>
      <c r="L55" s="439"/>
      <c r="M55" s="440"/>
      <c r="N55" s="434"/>
    </row>
    <row r="56" spans="2:14" x14ac:dyDescent="0.2">
      <c r="B56" s="509">
        <v>29</v>
      </c>
      <c r="C56" s="510"/>
      <c r="D56" s="474">
        <f t="shared" si="2"/>
        <v>45081</v>
      </c>
      <c r="E56" s="452" t="s">
        <v>136</v>
      </c>
      <c r="F56" s="192">
        <f t="shared" si="4"/>
        <v>39874.095999999998</v>
      </c>
      <c r="G56" s="193">
        <f t="shared" si="4"/>
        <v>1635.0043000000001</v>
      </c>
      <c r="H56" s="193">
        <f t="shared" si="3"/>
        <v>41509.100299999998</v>
      </c>
      <c r="I56" s="191">
        <f t="shared" si="1"/>
        <v>5479201.2377428561</v>
      </c>
      <c r="J56" s="450"/>
      <c r="K56" s="434"/>
      <c r="L56" s="439"/>
      <c r="M56" s="440"/>
      <c r="N56" s="434"/>
    </row>
    <row r="57" spans="2:14" x14ac:dyDescent="0.2">
      <c r="B57" s="509">
        <v>30</v>
      </c>
      <c r="C57" s="510"/>
      <c r="D57" s="474">
        <f t="shared" si="2"/>
        <v>45111</v>
      </c>
      <c r="E57" s="452" t="s">
        <v>137</v>
      </c>
      <c r="F57" s="192">
        <f t="shared" si="4"/>
        <v>39874.095999999998</v>
      </c>
      <c r="G57" s="193">
        <f t="shared" si="4"/>
        <v>1635.0043000000001</v>
      </c>
      <c r="H57" s="193">
        <f t="shared" si="3"/>
        <v>41509.100299999998</v>
      </c>
      <c r="I57" s="191">
        <f t="shared" si="1"/>
        <v>5437692.1374428561</v>
      </c>
      <c r="J57" s="450"/>
      <c r="K57" s="434"/>
      <c r="L57" s="439"/>
      <c r="M57" s="440"/>
      <c r="N57" s="434"/>
    </row>
    <row r="58" spans="2:14" x14ac:dyDescent="0.2">
      <c r="B58" s="509">
        <v>31</v>
      </c>
      <c r="C58" s="510"/>
      <c r="D58" s="474">
        <f t="shared" si="2"/>
        <v>45142</v>
      </c>
      <c r="E58" s="452" t="s">
        <v>138</v>
      </c>
      <c r="F58" s="192">
        <f t="shared" si="4"/>
        <v>39874.095999999998</v>
      </c>
      <c r="G58" s="193">
        <f t="shared" si="4"/>
        <v>1635.0043000000001</v>
      </c>
      <c r="H58" s="193">
        <f t="shared" si="3"/>
        <v>41509.100299999998</v>
      </c>
      <c r="I58" s="191">
        <f t="shared" si="1"/>
        <v>5396183.037142856</v>
      </c>
      <c r="J58" s="450"/>
      <c r="K58" s="434"/>
      <c r="L58" s="439"/>
      <c r="M58" s="440"/>
      <c r="N58" s="434"/>
    </row>
    <row r="59" spans="2:14" x14ac:dyDescent="0.2">
      <c r="B59" s="509">
        <v>32</v>
      </c>
      <c r="C59" s="510"/>
      <c r="D59" s="474">
        <f t="shared" si="2"/>
        <v>45173</v>
      </c>
      <c r="E59" s="452" t="s">
        <v>139</v>
      </c>
      <c r="F59" s="192">
        <f t="shared" si="4"/>
        <v>39874.095999999998</v>
      </c>
      <c r="G59" s="193">
        <f t="shared" si="4"/>
        <v>1635.0043000000001</v>
      </c>
      <c r="H59" s="193">
        <f t="shared" si="3"/>
        <v>41509.100299999998</v>
      </c>
      <c r="I59" s="191">
        <f t="shared" si="1"/>
        <v>5354673.936842856</v>
      </c>
      <c r="J59" s="450"/>
      <c r="K59" s="434"/>
      <c r="L59" s="439"/>
      <c r="M59" s="440"/>
      <c r="N59" s="434"/>
    </row>
    <row r="60" spans="2:14" x14ac:dyDescent="0.2">
      <c r="B60" s="509">
        <v>33</v>
      </c>
      <c r="C60" s="510"/>
      <c r="D60" s="474">
        <f t="shared" si="2"/>
        <v>45203</v>
      </c>
      <c r="E60" s="452" t="s">
        <v>140</v>
      </c>
      <c r="F60" s="192">
        <f t="shared" si="4"/>
        <v>39874.095999999998</v>
      </c>
      <c r="G60" s="193">
        <f t="shared" si="4"/>
        <v>1635.0043000000001</v>
      </c>
      <c r="H60" s="193">
        <f t="shared" si="3"/>
        <v>41509.100299999998</v>
      </c>
      <c r="I60" s="191">
        <f t="shared" si="1"/>
        <v>5313164.8365428559</v>
      </c>
      <c r="J60" s="450"/>
      <c r="K60" s="434"/>
      <c r="L60" s="439"/>
      <c r="M60" s="440"/>
      <c r="N60" s="434"/>
    </row>
    <row r="61" spans="2:14" x14ac:dyDescent="0.2">
      <c r="B61" s="509">
        <v>34</v>
      </c>
      <c r="C61" s="510"/>
      <c r="D61" s="474">
        <f t="shared" si="2"/>
        <v>45234</v>
      </c>
      <c r="E61" s="452" t="s">
        <v>141</v>
      </c>
      <c r="F61" s="192">
        <f t="shared" si="4"/>
        <v>39874.095999999998</v>
      </c>
      <c r="G61" s="193">
        <f t="shared" si="4"/>
        <v>1635.0043000000001</v>
      </c>
      <c r="H61" s="193">
        <f t="shared" si="3"/>
        <v>41509.100299999998</v>
      </c>
      <c r="I61" s="191">
        <f t="shared" si="1"/>
        <v>5271655.7362428559</v>
      </c>
      <c r="J61" s="450"/>
      <c r="K61" s="434"/>
      <c r="L61" s="439"/>
      <c r="M61" s="440"/>
      <c r="N61" s="434"/>
    </row>
    <row r="62" spans="2:14" x14ac:dyDescent="0.2">
      <c r="B62" s="509">
        <v>35</v>
      </c>
      <c r="C62" s="510"/>
      <c r="D62" s="474">
        <f t="shared" si="2"/>
        <v>45264</v>
      </c>
      <c r="E62" s="452" t="s">
        <v>142</v>
      </c>
      <c r="F62" s="192">
        <f t="shared" si="4"/>
        <v>39874.095999999998</v>
      </c>
      <c r="G62" s="193">
        <f t="shared" si="4"/>
        <v>1635.0043000000001</v>
      </c>
      <c r="H62" s="193">
        <f t="shared" si="3"/>
        <v>41509.100299999998</v>
      </c>
      <c r="I62" s="191">
        <f t="shared" si="1"/>
        <v>5230146.6359428558</v>
      </c>
      <c r="J62" s="450"/>
      <c r="K62" s="434"/>
      <c r="L62" s="439"/>
      <c r="M62" s="440"/>
      <c r="N62" s="434"/>
    </row>
    <row r="63" spans="2:14" x14ac:dyDescent="0.2">
      <c r="B63" s="509">
        <v>36</v>
      </c>
      <c r="C63" s="510"/>
      <c r="D63" s="474">
        <f t="shared" si="2"/>
        <v>45295</v>
      </c>
      <c r="E63" s="452" t="s">
        <v>143</v>
      </c>
      <c r="F63" s="192">
        <f t="shared" si="4"/>
        <v>39874.095999999998</v>
      </c>
      <c r="G63" s="193">
        <f t="shared" si="4"/>
        <v>1635.0043000000001</v>
      </c>
      <c r="H63" s="193">
        <f t="shared" si="3"/>
        <v>41509.100299999998</v>
      </c>
      <c r="I63" s="191">
        <f t="shared" si="1"/>
        <v>5188637.5356428558</v>
      </c>
      <c r="J63" s="450"/>
      <c r="K63" s="434"/>
      <c r="L63" s="439"/>
      <c r="M63" s="440"/>
      <c r="N63" s="434"/>
    </row>
    <row r="64" spans="2:14" x14ac:dyDescent="0.2">
      <c r="B64" s="509">
        <v>37</v>
      </c>
      <c r="C64" s="510"/>
      <c r="D64" s="474">
        <f t="shared" si="2"/>
        <v>45326</v>
      </c>
      <c r="E64" s="452" t="s">
        <v>144</v>
      </c>
      <c r="F64" s="192">
        <f t="shared" si="4"/>
        <v>39874.095999999998</v>
      </c>
      <c r="G64" s="193">
        <f t="shared" si="4"/>
        <v>1635.0043000000001</v>
      </c>
      <c r="H64" s="193">
        <f t="shared" si="3"/>
        <v>41509.100299999998</v>
      </c>
      <c r="I64" s="191">
        <f t="shared" si="1"/>
        <v>5147128.4353428558</v>
      </c>
      <c r="J64" s="450"/>
      <c r="K64" s="434"/>
      <c r="L64" s="439"/>
      <c r="M64" s="440"/>
      <c r="N64" s="434"/>
    </row>
    <row r="65" spans="2:14" x14ac:dyDescent="0.2">
      <c r="B65" s="509">
        <v>38</v>
      </c>
      <c r="C65" s="510"/>
      <c r="D65" s="474">
        <f t="shared" si="2"/>
        <v>45355</v>
      </c>
      <c r="E65" s="452" t="s">
        <v>145</v>
      </c>
      <c r="F65" s="192">
        <f t="shared" si="4"/>
        <v>39874.095999999998</v>
      </c>
      <c r="G65" s="193">
        <f t="shared" si="4"/>
        <v>1635.0043000000001</v>
      </c>
      <c r="H65" s="193">
        <f t="shared" si="3"/>
        <v>41509.100299999998</v>
      </c>
      <c r="I65" s="191">
        <f t="shared" si="1"/>
        <v>5105619.3350428557</v>
      </c>
      <c r="J65" s="450"/>
      <c r="K65" s="434"/>
      <c r="L65" s="439"/>
      <c r="M65" s="440"/>
      <c r="N65" s="434"/>
    </row>
    <row r="66" spans="2:14" x14ac:dyDescent="0.2">
      <c r="B66" s="509">
        <v>39</v>
      </c>
      <c r="C66" s="510"/>
      <c r="D66" s="474">
        <f t="shared" si="2"/>
        <v>45386</v>
      </c>
      <c r="E66" s="452" t="s">
        <v>146</v>
      </c>
      <c r="F66" s="192">
        <f t="shared" si="4"/>
        <v>39874.095999999998</v>
      </c>
      <c r="G66" s="193">
        <f t="shared" si="4"/>
        <v>1635.0043000000001</v>
      </c>
      <c r="H66" s="193">
        <f t="shared" si="3"/>
        <v>41509.100299999998</v>
      </c>
      <c r="I66" s="191">
        <f t="shared" si="1"/>
        <v>5064110.2347428557</v>
      </c>
      <c r="J66" s="450"/>
      <c r="K66" s="434"/>
      <c r="L66" s="439"/>
      <c r="M66" s="440"/>
      <c r="N66" s="434"/>
    </row>
    <row r="67" spans="2:14" x14ac:dyDescent="0.2">
      <c r="B67" s="509">
        <v>40</v>
      </c>
      <c r="C67" s="510"/>
      <c r="D67" s="474">
        <f t="shared" si="2"/>
        <v>45416</v>
      </c>
      <c r="E67" s="452" t="s">
        <v>147</v>
      </c>
      <c r="F67" s="192">
        <f t="shared" si="4"/>
        <v>39874.095999999998</v>
      </c>
      <c r="G67" s="193">
        <f t="shared" si="4"/>
        <v>1635.0043000000001</v>
      </c>
      <c r="H67" s="193">
        <f t="shared" si="3"/>
        <v>41509.100299999998</v>
      </c>
      <c r="I67" s="191">
        <f t="shared" si="1"/>
        <v>5022601.1344428556</v>
      </c>
      <c r="J67" s="450"/>
      <c r="K67" s="434"/>
      <c r="L67" s="439"/>
      <c r="M67" s="440"/>
      <c r="N67" s="434"/>
    </row>
    <row r="68" spans="2:14" x14ac:dyDescent="0.2">
      <c r="B68" s="509">
        <v>41</v>
      </c>
      <c r="C68" s="510"/>
      <c r="D68" s="474">
        <f t="shared" si="2"/>
        <v>45447</v>
      </c>
      <c r="E68" s="452" t="s">
        <v>148</v>
      </c>
      <c r="F68" s="192">
        <f t="shared" si="4"/>
        <v>39874.095999999998</v>
      </c>
      <c r="G68" s="193">
        <f t="shared" si="4"/>
        <v>1635.0043000000001</v>
      </c>
      <c r="H68" s="193">
        <f t="shared" si="3"/>
        <v>41509.100299999998</v>
      </c>
      <c r="I68" s="191">
        <f t="shared" si="1"/>
        <v>4981092.0341428556</v>
      </c>
      <c r="J68" s="450"/>
      <c r="K68" s="434"/>
      <c r="L68" s="439"/>
      <c r="M68" s="440"/>
      <c r="N68" s="434"/>
    </row>
    <row r="69" spans="2:14" x14ac:dyDescent="0.2">
      <c r="B69" s="509">
        <v>42</v>
      </c>
      <c r="C69" s="510"/>
      <c r="D69" s="474">
        <f t="shared" si="2"/>
        <v>45477</v>
      </c>
      <c r="E69" s="452" t="s">
        <v>149</v>
      </c>
      <c r="F69" s="192">
        <f t="shared" si="4"/>
        <v>39874.095999999998</v>
      </c>
      <c r="G69" s="193">
        <f t="shared" si="4"/>
        <v>1635.0043000000001</v>
      </c>
      <c r="H69" s="193">
        <f t="shared" si="3"/>
        <v>41509.100299999998</v>
      </c>
      <c r="I69" s="191">
        <f t="shared" si="1"/>
        <v>4939582.9338428555</v>
      </c>
      <c r="J69" s="450"/>
      <c r="K69" s="434"/>
      <c r="L69" s="439"/>
      <c r="M69" s="440"/>
      <c r="N69" s="434"/>
    </row>
    <row r="70" spans="2:14" x14ac:dyDescent="0.2">
      <c r="B70" s="509">
        <v>43</v>
      </c>
      <c r="C70" s="510"/>
      <c r="D70" s="474">
        <f t="shared" si="2"/>
        <v>45508</v>
      </c>
      <c r="E70" s="452" t="s">
        <v>150</v>
      </c>
      <c r="F70" s="192">
        <f t="shared" si="4"/>
        <v>39874.095999999998</v>
      </c>
      <c r="G70" s="193">
        <f t="shared" si="4"/>
        <v>1635.0043000000001</v>
      </c>
      <c r="H70" s="193">
        <f t="shared" si="3"/>
        <v>41509.100299999998</v>
      </c>
      <c r="I70" s="191">
        <f t="shared" si="1"/>
        <v>4898073.8335428555</v>
      </c>
      <c r="J70" s="450"/>
      <c r="K70" s="434"/>
      <c r="L70" s="439"/>
      <c r="M70" s="440"/>
      <c r="N70" s="434"/>
    </row>
    <row r="71" spans="2:14" x14ac:dyDescent="0.2">
      <c r="B71" s="509">
        <v>44</v>
      </c>
      <c r="C71" s="510"/>
      <c r="D71" s="474">
        <f t="shared" si="2"/>
        <v>45539</v>
      </c>
      <c r="E71" s="452" t="s">
        <v>151</v>
      </c>
      <c r="F71" s="192">
        <f t="shared" si="4"/>
        <v>39874.095999999998</v>
      </c>
      <c r="G71" s="193">
        <f t="shared" si="4"/>
        <v>1635.0043000000001</v>
      </c>
      <c r="H71" s="193">
        <f t="shared" si="3"/>
        <v>41509.100299999998</v>
      </c>
      <c r="I71" s="191">
        <f t="shared" si="1"/>
        <v>4856564.7332428554</v>
      </c>
      <c r="J71" s="450"/>
      <c r="K71" s="434"/>
      <c r="L71" s="439"/>
      <c r="M71" s="440"/>
      <c r="N71" s="434"/>
    </row>
    <row r="72" spans="2:14" x14ac:dyDescent="0.2">
      <c r="B72" s="509">
        <v>45</v>
      </c>
      <c r="C72" s="510"/>
      <c r="D72" s="474">
        <f t="shared" si="2"/>
        <v>45569</v>
      </c>
      <c r="E72" s="452" t="s">
        <v>152</v>
      </c>
      <c r="F72" s="192">
        <f t="shared" si="4"/>
        <v>39874.095999999998</v>
      </c>
      <c r="G72" s="193">
        <f t="shared" si="4"/>
        <v>1635.0043000000001</v>
      </c>
      <c r="H72" s="193">
        <f t="shared" si="3"/>
        <v>41509.100299999998</v>
      </c>
      <c r="I72" s="191">
        <f t="shared" si="1"/>
        <v>4815055.6329428554</v>
      </c>
      <c r="J72" s="450"/>
      <c r="K72" s="434"/>
      <c r="L72" s="439"/>
      <c r="M72" s="440"/>
      <c r="N72" s="434"/>
    </row>
    <row r="73" spans="2:14" x14ac:dyDescent="0.2">
      <c r="B73" s="509">
        <v>46</v>
      </c>
      <c r="C73" s="510"/>
      <c r="D73" s="474">
        <f t="shared" si="2"/>
        <v>45600</v>
      </c>
      <c r="E73" s="452" t="s">
        <v>153</v>
      </c>
      <c r="F73" s="192">
        <f t="shared" si="4"/>
        <v>39874.095999999998</v>
      </c>
      <c r="G73" s="193">
        <f t="shared" si="4"/>
        <v>1635.0043000000001</v>
      </c>
      <c r="H73" s="193">
        <f t="shared" si="3"/>
        <v>41509.100299999998</v>
      </c>
      <c r="I73" s="191">
        <f t="shared" si="1"/>
        <v>4773546.5326428553</v>
      </c>
      <c r="J73" s="450"/>
      <c r="K73" s="434"/>
      <c r="L73" s="439"/>
      <c r="M73" s="440"/>
      <c r="N73" s="434"/>
    </row>
    <row r="74" spans="2:14" x14ac:dyDescent="0.2">
      <c r="B74" s="509">
        <v>47</v>
      </c>
      <c r="C74" s="510"/>
      <c r="D74" s="474">
        <f t="shared" si="2"/>
        <v>45630</v>
      </c>
      <c r="E74" s="452" t="s">
        <v>154</v>
      </c>
      <c r="F74" s="192">
        <f t="shared" si="4"/>
        <v>39874.095999999998</v>
      </c>
      <c r="G74" s="193">
        <f t="shared" si="4"/>
        <v>1635.0043000000001</v>
      </c>
      <c r="H74" s="193">
        <f t="shared" si="3"/>
        <v>41509.100299999998</v>
      </c>
      <c r="I74" s="191">
        <f t="shared" si="1"/>
        <v>4732037.4323428553</v>
      </c>
      <c r="J74" s="450"/>
      <c r="K74" s="434"/>
      <c r="L74" s="439"/>
      <c r="M74" s="440"/>
      <c r="N74" s="434"/>
    </row>
    <row r="75" spans="2:14" x14ac:dyDescent="0.2">
      <c r="B75" s="509">
        <v>48</v>
      </c>
      <c r="C75" s="510"/>
      <c r="D75" s="474">
        <f t="shared" si="2"/>
        <v>45661</v>
      </c>
      <c r="E75" s="452" t="s">
        <v>155</v>
      </c>
      <c r="F75" s="192">
        <f t="shared" si="4"/>
        <v>39874.095999999998</v>
      </c>
      <c r="G75" s="193">
        <f t="shared" si="4"/>
        <v>1635.0043000000001</v>
      </c>
      <c r="H75" s="193">
        <f t="shared" si="3"/>
        <v>41509.100299999998</v>
      </c>
      <c r="I75" s="191">
        <f t="shared" si="1"/>
        <v>4690528.3320428552</v>
      </c>
      <c r="J75" s="450"/>
      <c r="K75" s="434"/>
      <c r="L75" s="439"/>
      <c r="M75" s="440"/>
      <c r="N75" s="434"/>
    </row>
    <row r="76" spans="2:14" x14ac:dyDescent="0.2">
      <c r="B76" s="509">
        <v>49</v>
      </c>
      <c r="C76" s="510"/>
      <c r="D76" s="474">
        <f t="shared" si="2"/>
        <v>45692</v>
      </c>
      <c r="E76" s="452" t="s">
        <v>156</v>
      </c>
      <c r="F76" s="192">
        <f t="shared" si="4"/>
        <v>39874.095999999998</v>
      </c>
      <c r="G76" s="193">
        <f t="shared" si="4"/>
        <v>1635.0043000000001</v>
      </c>
      <c r="H76" s="193">
        <f t="shared" si="3"/>
        <v>41509.100299999998</v>
      </c>
      <c r="I76" s="191">
        <f t="shared" si="1"/>
        <v>4649019.2317428552</v>
      </c>
      <c r="J76" s="450"/>
      <c r="K76" s="434"/>
      <c r="L76" s="439"/>
      <c r="M76" s="440"/>
      <c r="N76" s="434"/>
    </row>
    <row r="77" spans="2:14" x14ac:dyDescent="0.2">
      <c r="B77" s="509">
        <v>50</v>
      </c>
      <c r="C77" s="510"/>
      <c r="D77" s="474">
        <f t="shared" si="2"/>
        <v>45720</v>
      </c>
      <c r="E77" s="452" t="s">
        <v>157</v>
      </c>
      <c r="F77" s="192">
        <f t="shared" si="4"/>
        <v>39874.095999999998</v>
      </c>
      <c r="G77" s="193">
        <f t="shared" si="4"/>
        <v>1635.0043000000001</v>
      </c>
      <c r="H77" s="193">
        <f t="shared" si="3"/>
        <v>41509.100299999998</v>
      </c>
      <c r="I77" s="191">
        <f t="shared" si="1"/>
        <v>4607510.1314428551</v>
      </c>
      <c r="J77" s="450"/>
      <c r="K77" s="434"/>
      <c r="L77" s="439"/>
      <c r="M77" s="440"/>
      <c r="N77" s="434"/>
    </row>
    <row r="78" spans="2:14" x14ac:dyDescent="0.2">
      <c r="B78" s="509">
        <v>51</v>
      </c>
      <c r="C78" s="510"/>
      <c r="D78" s="474">
        <f t="shared" si="2"/>
        <v>45751</v>
      </c>
      <c r="E78" s="452" t="s">
        <v>158</v>
      </c>
      <c r="F78" s="192">
        <f t="shared" si="4"/>
        <v>39874.095999999998</v>
      </c>
      <c r="G78" s="193">
        <f t="shared" si="4"/>
        <v>1635.0043000000001</v>
      </c>
      <c r="H78" s="193">
        <f t="shared" si="3"/>
        <v>41509.100299999998</v>
      </c>
      <c r="I78" s="191">
        <f t="shared" si="1"/>
        <v>4566001.0311428551</v>
      </c>
      <c r="J78" s="450"/>
      <c r="K78" s="434"/>
      <c r="L78" s="439"/>
      <c r="M78" s="440"/>
      <c r="N78" s="434"/>
    </row>
    <row r="79" spans="2:14" x14ac:dyDescent="0.2">
      <c r="B79" s="509">
        <v>52</v>
      </c>
      <c r="C79" s="510"/>
      <c r="D79" s="474">
        <f t="shared" si="2"/>
        <v>45781</v>
      </c>
      <c r="E79" s="452" t="s">
        <v>159</v>
      </c>
      <c r="F79" s="192">
        <f t="shared" si="4"/>
        <v>39874.095999999998</v>
      </c>
      <c r="G79" s="193">
        <f t="shared" si="4"/>
        <v>1635.0043000000001</v>
      </c>
      <c r="H79" s="193">
        <f t="shared" si="3"/>
        <v>41509.100299999998</v>
      </c>
      <c r="I79" s="191">
        <f t="shared" si="1"/>
        <v>4524491.930842855</v>
      </c>
      <c r="J79" s="450"/>
      <c r="K79" s="434"/>
      <c r="L79" s="439"/>
      <c r="M79" s="440"/>
      <c r="N79" s="434"/>
    </row>
    <row r="80" spans="2:14" x14ac:dyDescent="0.2">
      <c r="B80" s="509">
        <v>53</v>
      </c>
      <c r="C80" s="510"/>
      <c r="D80" s="474">
        <f t="shared" si="2"/>
        <v>45812</v>
      </c>
      <c r="E80" s="452" t="s">
        <v>160</v>
      </c>
      <c r="F80" s="192">
        <f t="shared" si="4"/>
        <v>39874.095999999998</v>
      </c>
      <c r="G80" s="193">
        <f t="shared" si="4"/>
        <v>1635.0043000000001</v>
      </c>
      <c r="H80" s="193">
        <f t="shared" si="3"/>
        <v>41509.100299999998</v>
      </c>
      <c r="I80" s="191">
        <f t="shared" si="1"/>
        <v>4482982.830542855</v>
      </c>
      <c r="J80" s="450"/>
      <c r="K80" s="434"/>
      <c r="L80" s="439"/>
      <c r="M80" s="440"/>
      <c r="N80" s="434"/>
    </row>
    <row r="81" spans="2:14" x14ac:dyDescent="0.2">
      <c r="B81" s="509">
        <v>54</v>
      </c>
      <c r="C81" s="510"/>
      <c r="D81" s="474">
        <f t="shared" si="2"/>
        <v>45842</v>
      </c>
      <c r="E81" s="452" t="s">
        <v>161</v>
      </c>
      <c r="F81" s="192">
        <f t="shared" si="4"/>
        <v>39874.095999999998</v>
      </c>
      <c r="G81" s="193">
        <f t="shared" si="4"/>
        <v>1635.0043000000001</v>
      </c>
      <c r="H81" s="193">
        <f t="shared" si="3"/>
        <v>41509.100299999998</v>
      </c>
      <c r="I81" s="191">
        <f t="shared" si="1"/>
        <v>4441473.7302428549</v>
      </c>
      <c r="J81" s="450"/>
      <c r="K81" s="434"/>
      <c r="L81" s="439"/>
      <c r="M81" s="440"/>
      <c r="N81" s="434"/>
    </row>
    <row r="82" spans="2:14" x14ac:dyDescent="0.2">
      <c r="B82" s="509">
        <v>55</v>
      </c>
      <c r="C82" s="510"/>
      <c r="D82" s="474">
        <f t="shared" si="2"/>
        <v>45873</v>
      </c>
      <c r="E82" s="452" t="s">
        <v>162</v>
      </c>
      <c r="F82" s="192">
        <f t="shared" si="4"/>
        <v>39874.095999999998</v>
      </c>
      <c r="G82" s="193">
        <f t="shared" si="4"/>
        <v>1635.0043000000001</v>
      </c>
      <c r="H82" s="193">
        <f t="shared" si="3"/>
        <v>41509.100299999998</v>
      </c>
      <c r="I82" s="191">
        <f t="shared" si="1"/>
        <v>4399964.6299428549</v>
      </c>
      <c r="J82" s="450"/>
      <c r="K82" s="434"/>
      <c r="L82" s="439"/>
      <c r="M82" s="440"/>
      <c r="N82" s="434"/>
    </row>
    <row r="83" spans="2:14" x14ac:dyDescent="0.2">
      <c r="B83" s="509">
        <v>56</v>
      </c>
      <c r="C83" s="510"/>
      <c r="D83" s="474">
        <f t="shared" si="2"/>
        <v>45904</v>
      </c>
      <c r="E83" s="452" t="s">
        <v>163</v>
      </c>
      <c r="F83" s="192">
        <f t="shared" si="4"/>
        <v>39874.095999999998</v>
      </c>
      <c r="G83" s="193">
        <f t="shared" si="4"/>
        <v>1635.0043000000001</v>
      </c>
      <c r="H83" s="193">
        <f t="shared" si="3"/>
        <v>41509.100299999998</v>
      </c>
      <c r="I83" s="191">
        <f t="shared" si="1"/>
        <v>4358455.5296428548</v>
      </c>
      <c r="J83" s="450"/>
      <c r="K83" s="434"/>
      <c r="L83" s="439"/>
      <c r="M83" s="440"/>
      <c r="N83" s="434"/>
    </row>
    <row r="84" spans="2:14" x14ac:dyDescent="0.2">
      <c r="B84" s="509">
        <v>57</v>
      </c>
      <c r="C84" s="510"/>
      <c r="D84" s="474">
        <f t="shared" si="2"/>
        <v>45934</v>
      </c>
      <c r="E84" s="452" t="s">
        <v>164</v>
      </c>
      <c r="F84" s="192">
        <f t="shared" si="4"/>
        <v>39874.095999999998</v>
      </c>
      <c r="G84" s="193">
        <f t="shared" si="4"/>
        <v>1635.0043000000001</v>
      </c>
      <c r="H84" s="193">
        <f t="shared" si="3"/>
        <v>41509.100299999998</v>
      </c>
      <c r="I84" s="191">
        <f t="shared" si="1"/>
        <v>4316946.4293428548</v>
      </c>
      <c r="J84" s="450"/>
      <c r="K84" s="434"/>
      <c r="L84" s="439"/>
      <c r="M84" s="440"/>
      <c r="N84" s="434"/>
    </row>
    <row r="85" spans="2:14" x14ac:dyDescent="0.2">
      <c r="B85" s="509">
        <v>58</v>
      </c>
      <c r="C85" s="510"/>
      <c r="D85" s="474">
        <f t="shared" si="2"/>
        <v>45965</v>
      </c>
      <c r="E85" s="452" t="s">
        <v>165</v>
      </c>
      <c r="F85" s="192">
        <f>F84</f>
        <v>39874.095999999998</v>
      </c>
      <c r="G85" s="193">
        <f t="shared" si="4"/>
        <v>1635.0043000000001</v>
      </c>
      <c r="H85" s="193">
        <f t="shared" si="3"/>
        <v>41509.100299999998</v>
      </c>
      <c r="I85" s="191">
        <f t="shared" si="1"/>
        <v>4275437.3290428547</v>
      </c>
      <c r="J85" s="450"/>
      <c r="K85" s="434"/>
      <c r="L85" s="439"/>
      <c r="M85" s="440"/>
      <c r="N85" s="434"/>
    </row>
    <row r="86" spans="2:14" x14ac:dyDescent="0.2">
      <c r="B86" s="509">
        <v>59</v>
      </c>
      <c r="C86" s="510"/>
      <c r="D86" s="474">
        <f t="shared" si="2"/>
        <v>45995</v>
      </c>
      <c r="E86" s="452" t="s">
        <v>166</v>
      </c>
      <c r="F86" s="192">
        <f t="shared" si="4"/>
        <v>39874.095999999998</v>
      </c>
      <c r="G86" s="193">
        <f t="shared" si="4"/>
        <v>1635.0043000000001</v>
      </c>
      <c r="H86" s="193">
        <f t="shared" si="3"/>
        <v>41509.100299999998</v>
      </c>
      <c r="I86" s="191">
        <f t="shared" si="1"/>
        <v>4233928.2287428547</v>
      </c>
      <c r="J86" s="450"/>
      <c r="K86" s="434"/>
      <c r="L86" s="439"/>
      <c r="M86" s="440"/>
      <c r="N86" s="434"/>
    </row>
    <row r="87" spans="2:14" x14ac:dyDescent="0.2">
      <c r="B87" s="509">
        <v>60</v>
      </c>
      <c r="C87" s="510"/>
      <c r="D87" s="474">
        <f t="shared" si="2"/>
        <v>46026</v>
      </c>
      <c r="E87" s="452" t="s">
        <v>167</v>
      </c>
      <c r="F87" s="192">
        <f>F86</f>
        <v>39874.095999999998</v>
      </c>
      <c r="G87" s="193">
        <f>G86</f>
        <v>1635.0043000000001</v>
      </c>
      <c r="H87" s="193">
        <f t="shared" si="3"/>
        <v>41509.100299999998</v>
      </c>
      <c r="I87" s="191">
        <f t="shared" si="1"/>
        <v>4192419.1284428546</v>
      </c>
      <c r="J87" s="450"/>
      <c r="K87" s="434"/>
      <c r="L87" s="439"/>
      <c r="M87" s="440"/>
      <c r="N87" s="434"/>
    </row>
    <row r="88" spans="2:14" x14ac:dyDescent="0.2">
      <c r="B88" s="509">
        <v>61</v>
      </c>
      <c r="C88" s="510"/>
      <c r="D88" s="474">
        <f t="shared" si="2"/>
        <v>46057</v>
      </c>
      <c r="E88" s="452" t="s">
        <v>168</v>
      </c>
      <c r="F88" s="207">
        <f>F87</f>
        <v>39874.095999999998</v>
      </c>
      <c r="G88" s="193">
        <f>G87</f>
        <v>1635.0043000000001</v>
      </c>
      <c r="H88" s="193">
        <f>SUM(F88:G88)</f>
        <v>41509.100299999998</v>
      </c>
      <c r="I88" s="191">
        <f t="shared" si="1"/>
        <v>4150910.0281428546</v>
      </c>
      <c r="J88" s="450"/>
      <c r="K88" s="434"/>
      <c r="L88" s="439"/>
      <c r="M88" s="440"/>
      <c r="N88" s="434"/>
    </row>
    <row r="89" spans="2:14" ht="16" thickBot="1" x14ac:dyDescent="0.25">
      <c r="B89" s="509">
        <v>62</v>
      </c>
      <c r="C89" s="510"/>
      <c r="D89" s="474">
        <f t="shared" si="2"/>
        <v>46085</v>
      </c>
      <c r="E89" s="475" t="s">
        <v>175</v>
      </c>
      <c r="F89" s="194">
        <f>((((D15-SUM(D16:D19))+D22)*50%))</f>
        <v>3987409.6</v>
      </c>
      <c r="G89" s="208">
        <f>(D21*50%)/1</f>
        <v>163500.42857142858</v>
      </c>
      <c r="H89" s="208">
        <f>SUM(F89:G89)</f>
        <v>4150910.0285714287</v>
      </c>
      <c r="I89" s="191">
        <f t="shared" si="1"/>
        <v>-4.2857415974140167E-4</v>
      </c>
      <c r="J89" s="476">
        <v>1</v>
      </c>
      <c r="K89" s="434"/>
      <c r="L89" s="439">
        <f>(E23*J89)-L27</f>
        <v>-56000</v>
      </c>
      <c r="M89" s="440">
        <f>L89-F89</f>
        <v>-4043409.6</v>
      </c>
      <c r="N89" s="434"/>
    </row>
    <row r="90" spans="2:14" ht="16" thickBot="1" x14ac:dyDescent="0.25">
      <c r="B90" s="454"/>
      <c r="C90" s="455"/>
      <c r="D90" s="456"/>
      <c r="E90" s="457" t="s">
        <v>96</v>
      </c>
      <c r="F90" s="196">
        <f>SUM(F27:F89)</f>
        <v>7974819.1999999946</v>
      </c>
      <c r="G90" s="196">
        <f>SUM(G27:G89)</f>
        <v>327000.85757142864</v>
      </c>
      <c r="H90" s="196">
        <f>SUM(F90:G90)</f>
        <v>8301820.0575714232</v>
      </c>
      <c r="I90" s="197"/>
      <c r="J90" s="434"/>
      <c r="K90" s="434"/>
      <c r="L90" s="439">
        <f>SUM(L27:L89)</f>
        <v>0</v>
      </c>
      <c r="M90" s="440">
        <f>L90-F90</f>
        <v>-7974819.1999999946</v>
      </c>
      <c r="N90" s="434"/>
    </row>
    <row r="91" spans="2:14" x14ac:dyDescent="0.2">
      <c r="D91" s="458"/>
      <c r="L91" s="459"/>
    </row>
    <row r="92" spans="2:14" x14ac:dyDescent="0.2">
      <c r="B92" s="529" t="s">
        <v>195</v>
      </c>
      <c r="C92" s="535"/>
      <c r="D92" s="535"/>
      <c r="E92" s="535"/>
      <c r="F92" s="535"/>
      <c r="G92" s="535"/>
      <c r="H92" s="535"/>
      <c r="I92" s="535"/>
      <c r="L92" s="459"/>
    </row>
    <row r="93" spans="2:14" x14ac:dyDescent="0.2">
      <c r="B93" s="535"/>
      <c r="C93" s="535"/>
      <c r="D93" s="535"/>
      <c r="E93" s="535"/>
      <c r="F93" s="535"/>
      <c r="G93" s="535"/>
      <c r="H93" s="535"/>
      <c r="I93" s="535"/>
      <c r="L93" s="459"/>
    </row>
    <row r="94" spans="2:14" x14ac:dyDescent="0.2">
      <c r="B94" s="535"/>
      <c r="C94" s="535"/>
      <c r="D94" s="535"/>
      <c r="E94" s="535"/>
      <c r="F94" s="535"/>
      <c r="G94" s="535"/>
      <c r="H94" s="535"/>
      <c r="I94" s="535"/>
      <c r="L94" s="459"/>
    </row>
    <row r="95" spans="2:14" x14ac:dyDescent="0.2">
      <c r="B95" s="535"/>
      <c r="C95" s="535"/>
      <c r="D95" s="535"/>
      <c r="E95" s="535"/>
      <c r="F95" s="535"/>
      <c r="G95" s="535"/>
      <c r="H95" s="535"/>
      <c r="I95" s="535"/>
      <c r="L95" s="459"/>
    </row>
    <row r="96" spans="2:14" x14ac:dyDescent="0.2">
      <c r="B96" s="535"/>
      <c r="C96" s="535"/>
      <c r="D96" s="535"/>
      <c r="E96" s="535"/>
      <c r="F96" s="535"/>
      <c r="G96" s="535"/>
      <c r="H96" s="535"/>
      <c r="I96" s="535"/>
      <c r="L96" s="459"/>
    </row>
    <row r="97" spans="2:12" x14ac:dyDescent="0.2">
      <c r="B97" s="535"/>
      <c r="C97" s="535"/>
      <c r="D97" s="535"/>
      <c r="E97" s="535"/>
      <c r="F97" s="535"/>
      <c r="G97" s="535"/>
      <c r="H97" s="535"/>
      <c r="I97" s="535"/>
      <c r="L97" s="459"/>
    </row>
    <row r="98" spans="2:12" x14ac:dyDescent="0.2">
      <c r="B98" s="535"/>
      <c r="C98" s="535"/>
      <c r="D98" s="535"/>
      <c r="E98" s="535"/>
      <c r="F98" s="535"/>
      <c r="G98" s="535"/>
      <c r="H98" s="535"/>
      <c r="I98" s="535"/>
      <c r="L98" s="459"/>
    </row>
    <row r="99" spans="2:12" x14ac:dyDescent="0.2">
      <c r="B99" s="535"/>
      <c r="C99" s="535"/>
      <c r="D99" s="535"/>
      <c r="E99" s="535"/>
      <c r="F99" s="535"/>
      <c r="G99" s="535"/>
      <c r="H99" s="535"/>
      <c r="I99" s="535"/>
      <c r="L99" s="459"/>
    </row>
    <row r="100" spans="2:12" x14ac:dyDescent="0.2">
      <c r="B100" s="535"/>
      <c r="C100" s="535"/>
      <c r="D100" s="535"/>
      <c r="E100" s="535"/>
      <c r="F100" s="535"/>
      <c r="G100" s="535"/>
      <c r="H100" s="535"/>
      <c r="I100" s="535"/>
      <c r="L100" s="459"/>
    </row>
    <row r="101" spans="2:12" x14ac:dyDescent="0.2">
      <c r="B101" s="535"/>
      <c r="C101" s="535"/>
      <c r="D101" s="535"/>
      <c r="E101" s="535"/>
      <c r="F101" s="535"/>
      <c r="G101" s="535"/>
      <c r="H101" s="535"/>
      <c r="I101" s="535"/>
      <c r="L101" s="459"/>
    </row>
    <row r="102" spans="2:12" x14ac:dyDescent="0.2">
      <c r="B102" s="535"/>
      <c r="C102" s="535"/>
      <c r="D102" s="535"/>
      <c r="E102" s="535"/>
      <c r="F102" s="535"/>
      <c r="G102" s="535"/>
      <c r="H102" s="535"/>
      <c r="I102" s="535"/>
      <c r="L102" s="459"/>
    </row>
    <row r="103" spans="2:12" x14ac:dyDescent="0.2">
      <c r="B103" s="535"/>
      <c r="C103" s="535"/>
      <c r="D103" s="535"/>
      <c r="E103" s="535"/>
      <c r="F103" s="535"/>
      <c r="G103" s="535"/>
      <c r="H103" s="535"/>
      <c r="I103" s="535"/>
      <c r="L103" s="459"/>
    </row>
    <row r="104" spans="2:12" x14ac:dyDescent="0.2">
      <c r="B104" s="535"/>
      <c r="C104" s="535"/>
      <c r="D104" s="535"/>
      <c r="E104" s="535"/>
      <c r="F104" s="535"/>
      <c r="G104" s="535"/>
      <c r="H104" s="535"/>
      <c r="I104" s="535"/>
      <c r="L104" s="459"/>
    </row>
    <row r="105" spans="2:12" x14ac:dyDescent="0.2">
      <c r="B105" s="535"/>
      <c r="C105" s="535"/>
      <c r="D105" s="535"/>
      <c r="E105" s="535"/>
      <c r="F105" s="535"/>
      <c r="G105" s="535"/>
      <c r="H105" s="535"/>
      <c r="I105" s="535"/>
      <c r="L105" s="459"/>
    </row>
    <row r="106" spans="2:12" x14ac:dyDescent="0.2">
      <c r="B106" s="535"/>
      <c r="C106" s="535"/>
      <c r="D106" s="535"/>
      <c r="E106" s="535"/>
      <c r="F106" s="535"/>
      <c r="G106" s="535"/>
      <c r="H106" s="535"/>
      <c r="I106" s="535"/>
      <c r="L106" s="459"/>
    </row>
    <row r="107" spans="2:12" ht="103.25" customHeight="1" x14ac:dyDescent="0.2">
      <c r="B107" s="535"/>
      <c r="C107" s="535"/>
      <c r="D107" s="535"/>
      <c r="E107" s="535"/>
      <c r="F107" s="535"/>
      <c r="G107" s="535"/>
      <c r="H107" s="535"/>
      <c r="I107" s="535"/>
      <c r="L107" s="459"/>
    </row>
    <row r="108" spans="2:12" hidden="1" x14ac:dyDescent="0.2">
      <c r="B108" s="460" t="s">
        <v>97</v>
      </c>
      <c r="C108" s="460"/>
    </row>
    <row r="109" spans="2:12" hidden="1" x14ac:dyDescent="0.2">
      <c r="B109" s="461" t="s">
        <v>98</v>
      </c>
      <c r="C109" s="461"/>
    </row>
    <row r="110" spans="2:12" hidden="1" x14ac:dyDescent="0.2">
      <c r="B110" s="461" t="s">
        <v>99</v>
      </c>
      <c r="C110" s="461"/>
    </row>
    <row r="111" spans="2:12" hidden="1" x14ac:dyDescent="0.2">
      <c r="B111" s="461" t="s">
        <v>100</v>
      </c>
      <c r="C111" s="461"/>
    </row>
    <row r="112" spans="2:12" hidden="1" x14ac:dyDescent="0.2">
      <c r="B112" s="461" t="s">
        <v>101</v>
      </c>
      <c r="C112" s="461"/>
    </row>
    <row r="113" spans="2:9" s="462" customFormat="1" hidden="1" x14ac:dyDescent="0.2">
      <c r="B113" s="461" t="s">
        <v>102</v>
      </c>
      <c r="C113" s="461"/>
    </row>
    <row r="115" spans="2:9" x14ac:dyDescent="0.2">
      <c r="B115" s="463" t="s">
        <v>103</v>
      </c>
      <c r="C115" s="463"/>
    </row>
    <row r="118" spans="2:9" x14ac:dyDescent="0.2">
      <c r="B118" s="530" t="s">
        <v>104</v>
      </c>
      <c r="C118" s="530"/>
      <c r="D118" s="530"/>
      <c r="F118" s="530" t="s">
        <v>105</v>
      </c>
      <c r="G118" s="530"/>
      <c r="H118" s="530"/>
      <c r="I118" s="530"/>
    </row>
  </sheetData>
  <sheetProtection algorithmName="SHA-512" hashValue="7/PZGP79v8+AFUvbhIfvRzBdz+rxEyiDrT3kbWpD/m6ox25eyAjivFagPDzVzWBDaqCLZhf93g6I9H7Z8VHqaw==" saltValue="4opRqMaWxcumAafeemCPzg==" spinCount="100000" sheet="1" objects="1" scenarios="1"/>
  <mergeCells count="76">
    <mergeCell ref="B89:C89"/>
    <mergeCell ref="B118:D118"/>
    <mergeCell ref="F118:I118"/>
    <mergeCell ref="B92:I107"/>
    <mergeCell ref="B88:C88"/>
    <mergeCell ref="B85:C85"/>
    <mergeCell ref="B86:C86"/>
    <mergeCell ref="B77:C77"/>
    <mergeCell ref="B78:C78"/>
    <mergeCell ref="B79:C79"/>
    <mergeCell ref="B80:C80"/>
    <mergeCell ref="B81:C81"/>
    <mergeCell ref="B87:C87"/>
    <mergeCell ref="B76:C76"/>
    <mergeCell ref="B65:C65"/>
    <mergeCell ref="B66:C66"/>
    <mergeCell ref="B67:C67"/>
    <mergeCell ref="B68:C68"/>
    <mergeCell ref="B69:C69"/>
    <mergeCell ref="B70:C70"/>
    <mergeCell ref="B71:C71"/>
    <mergeCell ref="B72:C72"/>
    <mergeCell ref="B73:C73"/>
    <mergeCell ref="B74:C74"/>
    <mergeCell ref="B75:C75"/>
    <mergeCell ref="B82:C82"/>
    <mergeCell ref="B83:C83"/>
    <mergeCell ref="B84:C84"/>
    <mergeCell ref="B64:C64"/>
    <mergeCell ref="B53:C53"/>
    <mergeCell ref="B54:C54"/>
    <mergeCell ref="B55:C55"/>
    <mergeCell ref="B56:C56"/>
    <mergeCell ref="B57:C57"/>
    <mergeCell ref="B58:C58"/>
    <mergeCell ref="B59:C59"/>
    <mergeCell ref="B60:C60"/>
    <mergeCell ref="B61:C61"/>
    <mergeCell ref="B62:C62"/>
    <mergeCell ref="B63:C63"/>
    <mergeCell ref="B52:C52"/>
    <mergeCell ref="B41:C41"/>
    <mergeCell ref="B42:C42"/>
    <mergeCell ref="B43:C43"/>
    <mergeCell ref="B44:C44"/>
    <mergeCell ref="B45:C45"/>
    <mergeCell ref="B46:C46"/>
    <mergeCell ref="B47:C47"/>
    <mergeCell ref="B48:C48"/>
    <mergeCell ref="B49:C49"/>
    <mergeCell ref="B50:C50"/>
    <mergeCell ref="B51:C51"/>
    <mergeCell ref="B40:C40"/>
    <mergeCell ref="B29:C29"/>
    <mergeCell ref="B30:C30"/>
    <mergeCell ref="B31:C31"/>
    <mergeCell ref="B32:C32"/>
    <mergeCell ref="B33:C33"/>
    <mergeCell ref="B34:C34"/>
    <mergeCell ref="B35:C35"/>
    <mergeCell ref="B36:C36"/>
    <mergeCell ref="B37:C37"/>
    <mergeCell ref="B38:C38"/>
    <mergeCell ref="B39:C39"/>
    <mergeCell ref="B28:C28"/>
    <mergeCell ref="L1:L3"/>
    <mergeCell ref="I2:I3"/>
    <mergeCell ref="C6:D6"/>
    <mergeCell ref="C7:D7"/>
    <mergeCell ref="C8:D8"/>
    <mergeCell ref="C9:D9"/>
    <mergeCell ref="C10:D10"/>
    <mergeCell ref="C11:D11"/>
    <mergeCell ref="C12:D12"/>
    <mergeCell ref="B26:C26"/>
    <mergeCell ref="B27:C27"/>
  </mergeCells>
  <phoneticPr fontId="45" type="noConversion"/>
  <hyperlinks>
    <hyperlink ref="P5" location="Input!A1" display="Return to Input" xr:uid="{00000000-0004-0000-0700-000000000000}"/>
  </hyperlinks>
  <pageMargins left="0.7" right="0.7" top="0.75" bottom="0.75" header="0.3" footer="0.3"/>
  <pageSetup paperSize="5" scale="52" orientation="portrait"/>
  <ignoredErrors>
    <ignoredError sqref="C16" unlocked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B1:N118"/>
  <sheetViews>
    <sheetView topLeftCell="A16" zoomScale="130" zoomScaleNormal="130" zoomScalePageLayoutView="130" workbookViewId="0">
      <selection activeCell="I13" sqref="I13"/>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18.33203125" style="212" customWidth="1"/>
    <col min="5" max="5" width="18.5" style="212" customWidth="1"/>
    <col min="6" max="7" width="17.5" style="212" hidden="1" customWidth="1"/>
    <col min="8" max="8" width="17.5" style="212" customWidth="1"/>
    <col min="9" max="9" width="20.83203125" style="212" customWidth="1"/>
    <col min="10" max="10" width="9.33203125" style="212" bestFit="1" customWidth="1"/>
    <col min="11" max="11" width="8.83203125" style="212"/>
    <col min="12" max="12" width="26.1640625" style="212" hidden="1" customWidth="1"/>
    <col min="13" max="13" width="15.83203125" style="212" hidden="1" customWidth="1"/>
    <col min="14" max="15" width="0" style="212" hidden="1" customWidth="1"/>
    <col min="16"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4" x14ac:dyDescent="0.2">
      <c r="L1" s="511"/>
    </row>
    <row r="2" spans="2:14" x14ac:dyDescent="0.2">
      <c r="B2" s="425" t="s">
        <v>81</v>
      </c>
      <c r="F2" s="426"/>
      <c r="G2" s="426"/>
      <c r="H2" s="426"/>
      <c r="I2" s="512" t="s">
        <v>82</v>
      </c>
      <c r="L2" s="511"/>
    </row>
    <row r="3" spans="2:14" x14ac:dyDescent="0.2">
      <c r="B3" s="425" t="s">
        <v>171</v>
      </c>
      <c r="F3" s="427"/>
      <c r="G3" s="427"/>
      <c r="H3" s="427"/>
      <c r="I3" s="512"/>
      <c r="L3" s="511"/>
    </row>
    <row r="4" spans="2:14" x14ac:dyDescent="0.2">
      <c r="B4" s="425" t="s">
        <v>83</v>
      </c>
    </row>
    <row r="5" spans="2:14" ht="16" thickBot="1" x14ac:dyDescent="0.25">
      <c r="J5" s="464" t="s">
        <v>84</v>
      </c>
    </row>
    <row r="6" spans="2:14" ht="33" customHeight="1" thickBot="1" x14ac:dyDescent="0.25">
      <c r="B6" s="429" t="s">
        <v>71</v>
      </c>
      <c r="C6" s="513">
        <f>INPUT!C12</f>
        <v>0</v>
      </c>
      <c r="D6" s="514"/>
    </row>
    <row r="7" spans="2:14" x14ac:dyDescent="0.2">
      <c r="B7" s="430" t="s">
        <v>85</v>
      </c>
      <c r="C7" s="515" t="str">
        <f>INPUT!C11</f>
        <v>Block 5 Lot 11</v>
      </c>
      <c r="D7" s="516"/>
      <c r="E7" s="425"/>
      <c r="L7" s="431"/>
      <c r="M7" s="431"/>
      <c r="N7" s="431"/>
    </row>
    <row r="8" spans="2:14" x14ac:dyDescent="0.2">
      <c r="B8" s="432" t="s">
        <v>6</v>
      </c>
      <c r="C8" s="517">
        <f>INPUT!C17</f>
        <v>520</v>
      </c>
      <c r="D8" s="518"/>
      <c r="L8" s="431"/>
      <c r="M8" s="431"/>
      <c r="N8" s="431"/>
    </row>
    <row r="9" spans="2:14" x14ac:dyDescent="0.2">
      <c r="B9" s="432" t="s">
        <v>77</v>
      </c>
      <c r="C9" s="519">
        <f>INPUT!C18</f>
        <v>9574000</v>
      </c>
      <c r="D9" s="520"/>
      <c r="L9" s="431"/>
      <c r="M9" s="431"/>
      <c r="N9" s="431"/>
    </row>
    <row r="10" spans="2:14" x14ac:dyDescent="0.2">
      <c r="B10" s="432" t="s">
        <v>86</v>
      </c>
      <c r="C10" s="521" t="s">
        <v>172</v>
      </c>
      <c r="D10" s="522"/>
      <c r="L10" s="431"/>
      <c r="M10" s="431"/>
      <c r="N10" s="431"/>
    </row>
    <row r="11" spans="2:14" x14ac:dyDescent="0.2">
      <c r="B11" s="432"/>
      <c r="C11" s="521" t="s">
        <v>173</v>
      </c>
      <c r="D11" s="522"/>
      <c r="L11" s="431"/>
      <c r="M11" s="431"/>
      <c r="N11" s="431"/>
    </row>
    <row r="12" spans="2:14" ht="16" thickBot="1" x14ac:dyDescent="0.25">
      <c r="B12" s="433"/>
      <c r="C12" s="533" t="s">
        <v>174</v>
      </c>
      <c r="D12" s="534"/>
      <c r="L12" s="434"/>
      <c r="M12" s="434"/>
      <c r="N12" s="434"/>
    </row>
    <row r="13" spans="2:14" x14ac:dyDescent="0.2">
      <c r="E13" s="434"/>
      <c r="F13" s="434"/>
      <c r="G13" s="434"/>
      <c r="H13" s="434"/>
      <c r="I13" s="434"/>
      <c r="J13" s="434"/>
      <c r="K13" s="434"/>
      <c r="L13" s="435" t="s">
        <v>87</v>
      </c>
      <c r="M13" s="436">
        <v>0.02</v>
      </c>
      <c r="N13" s="434"/>
    </row>
    <row r="14" spans="2:14" x14ac:dyDescent="0.2">
      <c r="B14" s="437" t="s">
        <v>88</v>
      </c>
      <c r="C14" s="437"/>
      <c r="E14" s="434"/>
      <c r="F14" s="434"/>
      <c r="G14" s="434"/>
      <c r="H14" s="434"/>
      <c r="I14" s="434"/>
      <c r="J14" s="434"/>
      <c r="K14" s="434"/>
      <c r="L14" s="434"/>
      <c r="M14" s="436">
        <v>0</v>
      </c>
      <c r="N14" s="434"/>
    </row>
    <row r="15" spans="2:14" x14ac:dyDescent="0.2">
      <c r="B15" s="438" t="s">
        <v>187</v>
      </c>
      <c r="C15" s="198"/>
      <c r="D15" s="199">
        <f>(C9-650000)</f>
        <v>8924000</v>
      </c>
      <c r="E15" s="469"/>
      <c r="F15" s="440">
        <f t="shared" ref="F15" si="0">D15-E15</f>
        <v>8924000</v>
      </c>
      <c r="G15" s="440"/>
      <c r="H15" s="440"/>
      <c r="I15" s="434"/>
      <c r="J15" s="434"/>
      <c r="K15" s="434"/>
      <c r="L15" s="434"/>
      <c r="M15" s="434"/>
      <c r="N15" s="434"/>
    </row>
    <row r="16" spans="2:14" x14ac:dyDescent="0.2">
      <c r="B16" s="441" t="s">
        <v>109</v>
      </c>
      <c r="C16" s="201">
        <f>INPUT!C22</f>
        <v>0.1</v>
      </c>
      <c r="D16" s="200">
        <f>IF(C16&gt;10%,"maximum of 10%",(D15*C16))</f>
        <v>892400</v>
      </c>
      <c r="E16" s="469"/>
      <c r="F16" s="440"/>
      <c r="G16" s="440"/>
      <c r="H16" s="440"/>
      <c r="I16" s="434"/>
      <c r="J16" s="434"/>
      <c r="K16" s="434"/>
      <c r="L16" s="434"/>
      <c r="M16" s="434"/>
      <c r="N16" s="434"/>
    </row>
    <row r="17" spans="2:14" x14ac:dyDescent="0.2">
      <c r="B17" s="441" t="s">
        <v>89</v>
      </c>
      <c r="C17" s="206">
        <v>0.02</v>
      </c>
      <c r="D17" s="200">
        <f>IF(C17&gt;2%,"maximum of 2%",(D15-D16)*C17)</f>
        <v>160632</v>
      </c>
      <c r="E17" s="469"/>
      <c r="F17" s="440"/>
      <c r="G17" s="440"/>
      <c r="H17" s="440"/>
      <c r="I17" s="434"/>
      <c r="J17" s="434"/>
      <c r="K17" s="434"/>
      <c r="L17" s="434"/>
      <c r="M17" s="434"/>
      <c r="N17" s="434"/>
    </row>
    <row r="18" spans="2:14" x14ac:dyDescent="0.2">
      <c r="B18" s="441" t="s">
        <v>277</v>
      </c>
      <c r="C18" s="206">
        <v>0.05</v>
      </c>
      <c r="D18" s="200">
        <f>IF(C18&gt;5%,"maximum of 5%",(D15-D16-D17)*C18)</f>
        <v>393548.4</v>
      </c>
      <c r="E18" s="469"/>
      <c r="F18" s="440"/>
      <c r="G18" s="440"/>
      <c r="H18" s="440"/>
      <c r="I18" s="434"/>
      <c r="J18" s="434"/>
      <c r="K18" s="434"/>
      <c r="L18" s="434"/>
      <c r="M18" s="434"/>
      <c r="N18" s="434"/>
    </row>
    <row r="19" spans="2:14" x14ac:dyDescent="0.2">
      <c r="B19" s="441" t="s">
        <v>87</v>
      </c>
      <c r="C19" s="201" t="str">
        <f>IF(INPUT!C13="Repeat Buyer","2%",IF(INPUT!C13="New Buyer","0%"))</f>
        <v>0%</v>
      </c>
      <c r="D19" s="210">
        <f>IF(C19&gt;2%,((D15-SUM(D16:D18)))*C19, "maximum of 2%")</f>
        <v>0</v>
      </c>
      <c r="E19" s="469"/>
      <c r="F19" s="440"/>
      <c r="G19" s="440"/>
      <c r="H19" s="440"/>
      <c r="I19" s="434"/>
      <c r="J19" s="434"/>
      <c r="K19" s="434"/>
      <c r="L19" s="434"/>
      <c r="M19" s="434"/>
      <c r="N19" s="434"/>
    </row>
    <row r="20" spans="2:14" x14ac:dyDescent="0.2">
      <c r="B20" s="470"/>
      <c r="C20" s="201"/>
      <c r="D20" s="200">
        <f>D15-SUM(D16:D19)</f>
        <v>7477419.5999999996</v>
      </c>
      <c r="E20" s="439"/>
      <c r="F20" s="440"/>
      <c r="G20" s="440"/>
      <c r="H20" s="440"/>
      <c r="I20" s="434"/>
      <c r="J20" s="434"/>
      <c r="K20" s="434"/>
      <c r="L20" s="434"/>
      <c r="M20" s="434"/>
      <c r="N20" s="434"/>
    </row>
    <row r="21" spans="2:14" x14ac:dyDescent="0.2">
      <c r="B21" s="441" t="s">
        <v>267</v>
      </c>
      <c r="C21" s="201">
        <v>0.05</v>
      </c>
      <c r="D21" s="200">
        <f>(D20/1.12)*C21</f>
        <v>333813.375</v>
      </c>
      <c r="E21" s="459"/>
      <c r="F21" s="440"/>
      <c r="G21" s="440"/>
      <c r="H21" s="440"/>
      <c r="I21" s="434"/>
      <c r="J21" s="434"/>
      <c r="K21" s="434"/>
      <c r="L21" s="434"/>
      <c r="M21" s="434"/>
      <c r="N21" s="434"/>
    </row>
    <row r="22" spans="2:14" x14ac:dyDescent="0.2">
      <c r="B22" s="438" t="s">
        <v>178</v>
      </c>
      <c r="C22" s="201"/>
      <c r="D22" s="200">
        <v>650000</v>
      </c>
      <c r="E22" s="439"/>
      <c r="F22" s="440"/>
      <c r="G22" s="440"/>
      <c r="H22" s="440"/>
      <c r="I22" s="434"/>
      <c r="J22" s="434"/>
      <c r="K22" s="434"/>
      <c r="L22" s="434"/>
      <c r="M22" s="434"/>
      <c r="N22" s="434"/>
    </row>
    <row r="23" spans="2:14" ht="16" thickBot="1" x14ac:dyDescent="0.25">
      <c r="B23" s="442" t="s">
        <v>90</v>
      </c>
      <c r="C23" s="201"/>
      <c r="D23" s="205">
        <f>SUM(D20:D22)</f>
        <v>8461232.9749999996</v>
      </c>
      <c r="E23" s="439"/>
      <c r="F23" s="440"/>
      <c r="G23" s="440"/>
      <c r="H23" s="440"/>
      <c r="I23" s="434"/>
      <c r="J23" s="434"/>
      <c r="K23" s="434"/>
      <c r="L23" s="434"/>
      <c r="M23" s="434"/>
      <c r="N23" s="434"/>
    </row>
    <row r="24" spans="2:14" ht="16" thickTop="1" x14ac:dyDescent="0.2">
      <c r="B24" s="442"/>
      <c r="C24" s="201"/>
      <c r="D24" s="471"/>
      <c r="E24" s="439"/>
      <c r="F24" s="440"/>
      <c r="G24" s="440"/>
      <c r="H24" s="440"/>
      <c r="I24" s="434"/>
      <c r="J24" s="434"/>
      <c r="K24" s="434"/>
      <c r="L24" s="434"/>
      <c r="M24" s="434"/>
      <c r="N24" s="434"/>
    </row>
    <row r="25" spans="2:14" ht="16" thickBot="1" x14ac:dyDescent="0.25"/>
    <row r="26" spans="2:14" ht="31" thickBot="1" x14ac:dyDescent="0.25">
      <c r="B26" s="525" t="s">
        <v>91</v>
      </c>
      <c r="C26" s="526"/>
      <c r="D26" s="444" t="s">
        <v>92</v>
      </c>
      <c r="E26" s="444" t="s">
        <v>93</v>
      </c>
      <c r="F26" s="445" t="s">
        <v>199</v>
      </c>
      <c r="G26" s="446" t="s">
        <v>184</v>
      </c>
      <c r="H26" s="446" t="s">
        <v>202</v>
      </c>
      <c r="I26" s="448" t="s">
        <v>94</v>
      </c>
      <c r="J26" s="434"/>
      <c r="K26" s="434"/>
      <c r="L26" s="434"/>
      <c r="M26" s="434"/>
      <c r="N26" s="434"/>
    </row>
    <row r="27" spans="2:14" x14ac:dyDescent="0.2">
      <c r="B27" s="527">
        <v>0</v>
      </c>
      <c r="C27" s="528"/>
      <c r="D27" s="472">
        <f>INPUT!C16</f>
        <v>44200</v>
      </c>
      <c r="E27" s="473" t="s">
        <v>46</v>
      </c>
      <c r="F27" s="186">
        <v>50000</v>
      </c>
      <c r="G27" s="187"/>
      <c r="H27" s="187">
        <f>F27</f>
        <v>50000</v>
      </c>
      <c r="I27" s="188">
        <f>D23-H27</f>
        <v>8411232.9749999996</v>
      </c>
      <c r="J27" s="450" t="s">
        <v>95</v>
      </c>
      <c r="K27" s="434"/>
      <c r="L27" s="439">
        <v>56000</v>
      </c>
      <c r="M27" s="440">
        <f>L27-F27</f>
        <v>6000</v>
      </c>
      <c r="N27" s="434"/>
    </row>
    <row r="28" spans="2:14" x14ac:dyDescent="0.2">
      <c r="B28" s="509">
        <v>1</v>
      </c>
      <c r="C28" s="510"/>
      <c r="D28" s="424">
        <f>EDATE(D27,1)</f>
        <v>44231</v>
      </c>
      <c r="E28" s="453" t="s">
        <v>39</v>
      </c>
      <c r="F28" s="189">
        <f>ROUND(((((D15-SUM(D16:D19))+D22)*10%)-F27)/1,2)</f>
        <v>762741.96</v>
      </c>
      <c r="G28" s="190">
        <f>ROUND((D21*10%)/1,4)</f>
        <v>33381.337500000001</v>
      </c>
      <c r="H28" s="190">
        <f>F28+G28</f>
        <v>796123.29749999999</v>
      </c>
      <c r="I28" s="191">
        <f>I27-H28</f>
        <v>7615109.6774999993</v>
      </c>
      <c r="J28" s="450"/>
      <c r="K28" s="434"/>
      <c r="L28" s="439"/>
      <c r="M28" s="440"/>
      <c r="N28" s="434"/>
    </row>
    <row r="29" spans="2:14" x14ac:dyDescent="0.2">
      <c r="B29" s="509">
        <v>2</v>
      </c>
      <c r="C29" s="510"/>
      <c r="D29" s="474">
        <f>EDATE(D28,1)</f>
        <v>44259</v>
      </c>
      <c r="E29" s="452" t="s">
        <v>170</v>
      </c>
      <c r="F29" s="189">
        <f>ROUND((((D15-SUM(D16:D19))+D22)*40%)/60,4)</f>
        <v>54182.797299999998</v>
      </c>
      <c r="G29" s="193">
        <f>+ROUND((D21*40%)/60,4)</f>
        <v>2225.4225000000001</v>
      </c>
      <c r="H29" s="193">
        <f>SUM(F29:G29)</f>
        <v>56408.219799999999</v>
      </c>
      <c r="I29" s="191">
        <f t="shared" ref="I29:I89" si="1">I28-H29</f>
        <v>7558701.4576999992</v>
      </c>
      <c r="J29" s="450"/>
      <c r="K29" s="434"/>
      <c r="L29" s="439"/>
      <c r="M29" s="440"/>
      <c r="N29" s="434"/>
    </row>
    <row r="30" spans="2:14" x14ac:dyDescent="0.2">
      <c r="B30" s="509">
        <v>3</v>
      </c>
      <c r="C30" s="510"/>
      <c r="D30" s="474">
        <f t="shared" ref="D30:D89" si="2">EDATE(D29,1)</f>
        <v>44290</v>
      </c>
      <c r="E30" s="452" t="s">
        <v>110</v>
      </c>
      <c r="F30" s="192">
        <f>+F29</f>
        <v>54182.797299999998</v>
      </c>
      <c r="G30" s="193">
        <f>G29</f>
        <v>2225.4225000000001</v>
      </c>
      <c r="H30" s="193">
        <f t="shared" ref="H30:H87" si="3">SUM(F30:G30)</f>
        <v>56408.219799999999</v>
      </c>
      <c r="I30" s="191">
        <f t="shared" si="1"/>
        <v>7502293.2378999991</v>
      </c>
      <c r="J30" s="450"/>
      <c r="K30" s="434"/>
      <c r="L30" s="439"/>
      <c r="M30" s="440"/>
      <c r="N30" s="434"/>
    </row>
    <row r="31" spans="2:14" x14ac:dyDescent="0.2">
      <c r="B31" s="509">
        <v>4</v>
      </c>
      <c r="C31" s="510"/>
      <c r="D31" s="474">
        <f t="shared" si="2"/>
        <v>44320</v>
      </c>
      <c r="E31" s="452" t="s">
        <v>111</v>
      </c>
      <c r="F31" s="192">
        <f t="shared" ref="F31:G46" si="4">F30</f>
        <v>54182.797299999998</v>
      </c>
      <c r="G31" s="193">
        <f t="shared" si="4"/>
        <v>2225.4225000000001</v>
      </c>
      <c r="H31" s="193">
        <f t="shared" si="3"/>
        <v>56408.219799999999</v>
      </c>
      <c r="I31" s="191">
        <f t="shared" si="1"/>
        <v>7445885.0180999991</v>
      </c>
      <c r="J31" s="450"/>
      <c r="K31" s="434"/>
      <c r="L31" s="439"/>
      <c r="M31" s="440"/>
      <c r="N31" s="434"/>
    </row>
    <row r="32" spans="2:14" x14ac:dyDescent="0.2">
      <c r="B32" s="509">
        <v>5</v>
      </c>
      <c r="C32" s="510"/>
      <c r="D32" s="474">
        <f t="shared" si="2"/>
        <v>44351</v>
      </c>
      <c r="E32" s="452" t="s">
        <v>112</v>
      </c>
      <c r="F32" s="192">
        <f t="shared" si="4"/>
        <v>54182.797299999998</v>
      </c>
      <c r="G32" s="193">
        <f t="shared" si="4"/>
        <v>2225.4225000000001</v>
      </c>
      <c r="H32" s="193">
        <f t="shared" si="3"/>
        <v>56408.219799999999</v>
      </c>
      <c r="I32" s="191">
        <f t="shared" si="1"/>
        <v>7389476.798299999</v>
      </c>
      <c r="J32" s="450"/>
      <c r="K32" s="434"/>
      <c r="L32" s="439"/>
      <c r="M32" s="440"/>
      <c r="N32" s="434"/>
    </row>
    <row r="33" spans="2:14" x14ac:dyDescent="0.2">
      <c r="B33" s="509">
        <v>6</v>
      </c>
      <c r="C33" s="510"/>
      <c r="D33" s="474">
        <f t="shared" si="2"/>
        <v>44381</v>
      </c>
      <c r="E33" s="452" t="s">
        <v>113</v>
      </c>
      <c r="F33" s="192">
        <f t="shared" si="4"/>
        <v>54182.797299999998</v>
      </c>
      <c r="G33" s="193">
        <f t="shared" si="4"/>
        <v>2225.4225000000001</v>
      </c>
      <c r="H33" s="193">
        <f t="shared" si="3"/>
        <v>56408.219799999999</v>
      </c>
      <c r="I33" s="191">
        <f t="shared" si="1"/>
        <v>7333068.5784999989</v>
      </c>
      <c r="J33" s="450"/>
      <c r="K33" s="434"/>
      <c r="L33" s="439"/>
      <c r="M33" s="440"/>
      <c r="N33" s="434"/>
    </row>
    <row r="34" spans="2:14" x14ac:dyDescent="0.2">
      <c r="B34" s="509">
        <v>7</v>
      </c>
      <c r="C34" s="510"/>
      <c r="D34" s="474">
        <f t="shared" si="2"/>
        <v>44412</v>
      </c>
      <c r="E34" s="452" t="s">
        <v>114</v>
      </c>
      <c r="F34" s="192">
        <f t="shared" si="4"/>
        <v>54182.797299999998</v>
      </c>
      <c r="G34" s="193">
        <f t="shared" si="4"/>
        <v>2225.4225000000001</v>
      </c>
      <c r="H34" s="193">
        <f t="shared" si="3"/>
        <v>56408.219799999999</v>
      </c>
      <c r="I34" s="191">
        <f t="shared" si="1"/>
        <v>7276660.3586999988</v>
      </c>
      <c r="J34" s="450"/>
      <c r="K34" s="434"/>
      <c r="L34" s="439"/>
      <c r="M34" s="440"/>
      <c r="N34" s="434"/>
    </row>
    <row r="35" spans="2:14" x14ac:dyDescent="0.2">
      <c r="B35" s="509">
        <v>8</v>
      </c>
      <c r="C35" s="510"/>
      <c r="D35" s="474">
        <f t="shared" si="2"/>
        <v>44443</v>
      </c>
      <c r="E35" s="452" t="s">
        <v>115</v>
      </c>
      <c r="F35" s="192">
        <f t="shared" si="4"/>
        <v>54182.797299999998</v>
      </c>
      <c r="G35" s="193">
        <f t="shared" si="4"/>
        <v>2225.4225000000001</v>
      </c>
      <c r="H35" s="193">
        <f t="shared" si="3"/>
        <v>56408.219799999999</v>
      </c>
      <c r="I35" s="191">
        <f t="shared" si="1"/>
        <v>7220252.1388999987</v>
      </c>
      <c r="J35" s="450"/>
      <c r="K35" s="434"/>
      <c r="L35" s="439"/>
      <c r="M35" s="440"/>
      <c r="N35" s="434"/>
    </row>
    <row r="36" spans="2:14" x14ac:dyDescent="0.2">
      <c r="B36" s="509">
        <v>9</v>
      </c>
      <c r="C36" s="510"/>
      <c r="D36" s="474">
        <f t="shared" si="2"/>
        <v>44473</v>
      </c>
      <c r="E36" s="452" t="s">
        <v>116</v>
      </c>
      <c r="F36" s="192">
        <f t="shared" si="4"/>
        <v>54182.797299999998</v>
      </c>
      <c r="G36" s="193">
        <f t="shared" si="4"/>
        <v>2225.4225000000001</v>
      </c>
      <c r="H36" s="193">
        <f t="shared" si="3"/>
        <v>56408.219799999999</v>
      </c>
      <c r="I36" s="191">
        <f t="shared" si="1"/>
        <v>7163843.9190999987</v>
      </c>
      <c r="J36" s="450"/>
      <c r="K36" s="434"/>
      <c r="L36" s="439"/>
      <c r="M36" s="440"/>
      <c r="N36" s="434"/>
    </row>
    <row r="37" spans="2:14" x14ac:dyDescent="0.2">
      <c r="B37" s="509">
        <v>10</v>
      </c>
      <c r="C37" s="510"/>
      <c r="D37" s="474">
        <f t="shared" si="2"/>
        <v>44504</v>
      </c>
      <c r="E37" s="452" t="s">
        <v>117</v>
      </c>
      <c r="F37" s="192">
        <f t="shared" si="4"/>
        <v>54182.797299999998</v>
      </c>
      <c r="G37" s="193">
        <f t="shared" si="4"/>
        <v>2225.4225000000001</v>
      </c>
      <c r="H37" s="193">
        <f t="shared" si="3"/>
        <v>56408.219799999999</v>
      </c>
      <c r="I37" s="191">
        <f t="shared" si="1"/>
        <v>7107435.6992999986</v>
      </c>
      <c r="J37" s="450"/>
      <c r="K37" s="434"/>
      <c r="L37" s="439"/>
      <c r="M37" s="440"/>
      <c r="N37" s="434"/>
    </row>
    <row r="38" spans="2:14" x14ac:dyDescent="0.2">
      <c r="B38" s="509">
        <v>11</v>
      </c>
      <c r="C38" s="510"/>
      <c r="D38" s="474">
        <f t="shared" si="2"/>
        <v>44534</v>
      </c>
      <c r="E38" s="452" t="s">
        <v>118</v>
      </c>
      <c r="F38" s="192">
        <f t="shared" si="4"/>
        <v>54182.797299999998</v>
      </c>
      <c r="G38" s="193">
        <f t="shared" si="4"/>
        <v>2225.4225000000001</v>
      </c>
      <c r="H38" s="193">
        <f t="shared" si="3"/>
        <v>56408.219799999999</v>
      </c>
      <c r="I38" s="191">
        <f t="shared" si="1"/>
        <v>7051027.4794999985</v>
      </c>
      <c r="J38" s="450"/>
      <c r="K38" s="434"/>
      <c r="L38" s="439"/>
      <c r="M38" s="440"/>
      <c r="N38" s="434"/>
    </row>
    <row r="39" spans="2:14" x14ac:dyDescent="0.2">
      <c r="B39" s="509">
        <v>12</v>
      </c>
      <c r="C39" s="510"/>
      <c r="D39" s="474">
        <f t="shared" si="2"/>
        <v>44565</v>
      </c>
      <c r="E39" s="452" t="s">
        <v>119</v>
      </c>
      <c r="F39" s="192">
        <f t="shared" si="4"/>
        <v>54182.797299999998</v>
      </c>
      <c r="G39" s="193">
        <f t="shared" si="4"/>
        <v>2225.4225000000001</v>
      </c>
      <c r="H39" s="193">
        <f t="shared" si="3"/>
        <v>56408.219799999999</v>
      </c>
      <c r="I39" s="191">
        <f t="shared" si="1"/>
        <v>6994619.2596999984</v>
      </c>
      <c r="J39" s="450"/>
      <c r="K39" s="434"/>
      <c r="L39" s="439"/>
      <c r="M39" s="440"/>
      <c r="N39" s="434"/>
    </row>
    <row r="40" spans="2:14" x14ac:dyDescent="0.2">
      <c r="B40" s="509">
        <v>13</v>
      </c>
      <c r="C40" s="510"/>
      <c r="D40" s="474">
        <f t="shared" si="2"/>
        <v>44596</v>
      </c>
      <c r="E40" s="452" t="s">
        <v>120</v>
      </c>
      <c r="F40" s="192">
        <f t="shared" si="4"/>
        <v>54182.797299999998</v>
      </c>
      <c r="G40" s="193">
        <f t="shared" si="4"/>
        <v>2225.4225000000001</v>
      </c>
      <c r="H40" s="193">
        <f t="shared" si="3"/>
        <v>56408.219799999999</v>
      </c>
      <c r="I40" s="191">
        <f t="shared" si="1"/>
        <v>6938211.0398999983</v>
      </c>
      <c r="J40" s="450"/>
      <c r="K40" s="434"/>
      <c r="L40" s="439"/>
      <c r="M40" s="440"/>
      <c r="N40" s="434"/>
    </row>
    <row r="41" spans="2:14" x14ac:dyDescent="0.2">
      <c r="B41" s="509">
        <v>14</v>
      </c>
      <c r="C41" s="510"/>
      <c r="D41" s="474">
        <f t="shared" si="2"/>
        <v>44624</v>
      </c>
      <c r="E41" s="452" t="s">
        <v>121</v>
      </c>
      <c r="F41" s="192">
        <f t="shared" si="4"/>
        <v>54182.797299999998</v>
      </c>
      <c r="G41" s="193">
        <f t="shared" si="4"/>
        <v>2225.4225000000001</v>
      </c>
      <c r="H41" s="193">
        <f t="shared" si="3"/>
        <v>56408.219799999999</v>
      </c>
      <c r="I41" s="191">
        <f t="shared" si="1"/>
        <v>6881802.8200999983</v>
      </c>
      <c r="J41" s="450"/>
      <c r="K41" s="434"/>
      <c r="L41" s="439"/>
      <c r="M41" s="440"/>
      <c r="N41" s="434"/>
    </row>
    <row r="42" spans="2:14" x14ac:dyDescent="0.2">
      <c r="B42" s="509">
        <v>15</v>
      </c>
      <c r="C42" s="510"/>
      <c r="D42" s="474">
        <f t="shared" si="2"/>
        <v>44655</v>
      </c>
      <c r="E42" s="452" t="s">
        <v>122</v>
      </c>
      <c r="F42" s="192">
        <f t="shared" si="4"/>
        <v>54182.797299999998</v>
      </c>
      <c r="G42" s="193">
        <f t="shared" si="4"/>
        <v>2225.4225000000001</v>
      </c>
      <c r="H42" s="193">
        <f t="shared" si="3"/>
        <v>56408.219799999999</v>
      </c>
      <c r="I42" s="191">
        <f t="shared" si="1"/>
        <v>6825394.6002999982</v>
      </c>
      <c r="J42" s="450"/>
      <c r="K42" s="434"/>
      <c r="L42" s="439"/>
      <c r="M42" s="440"/>
      <c r="N42" s="434"/>
    </row>
    <row r="43" spans="2:14" x14ac:dyDescent="0.2">
      <c r="B43" s="509">
        <v>16</v>
      </c>
      <c r="C43" s="510"/>
      <c r="D43" s="474">
        <f t="shared" si="2"/>
        <v>44685</v>
      </c>
      <c r="E43" s="452" t="s">
        <v>123</v>
      </c>
      <c r="F43" s="192">
        <f t="shared" si="4"/>
        <v>54182.797299999998</v>
      </c>
      <c r="G43" s="193">
        <f t="shared" si="4"/>
        <v>2225.4225000000001</v>
      </c>
      <c r="H43" s="193">
        <f t="shared" si="3"/>
        <v>56408.219799999999</v>
      </c>
      <c r="I43" s="191">
        <f t="shared" si="1"/>
        <v>6768986.3804999981</v>
      </c>
      <c r="J43" s="450"/>
      <c r="K43" s="434"/>
      <c r="L43" s="439"/>
      <c r="M43" s="440"/>
      <c r="N43" s="434"/>
    </row>
    <row r="44" spans="2:14" x14ac:dyDescent="0.2">
      <c r="B44" s="509">
        <v>17</v>
      </c>
      <c r="C44" s="510"/>
      <c r="D44" s="474">
        <f t="shared" si="2"/>
        <v>44716</v>
      </c>
      <c r="E44" s="452" t="s">
        <v>124</v>
      </c>
      <c r="F44" s="192">
        <f t="shared" si="4"/>
        <v>54182.797299999998</v>
      </c>
      <c r="G44" s="193">
        <f t="shared" si="4"/>
        <v>2225.4225000000001</v>
      </c>
      <c r="H44" s="193">
        <f t="shared" si="3"/>
        <v>56408.219799999999</v>
      </c>
      <c r="I44" s="191">
        <f t="shared" si="1"/>
        <v>6712578.160699998</v>
      </c>
      <c r="J44" s="450"/>
      <c r="K44" s="434"/>
      <c r="L44" s="439"/>
      <c r="M44" s="440"/>
      <c r="N44" s="434"/>
    </row>
    <row r="45" spans="2:14" x14ac:dyDescent="0.2">
      <c r="B45" s="509">
        <v>18</v>
      </c>
      <c r="C45" s="510"/>
      <c r="D45" s="474">
        <f t="shared" si="2"/>
        <v>44746</v>
      </c>
      <c r="E45" s="452" t="s">
        <v>125</v>
      </c>
      <c r="F45" s="192">
        <f t="shared" si="4"/>
        <v>54182.797299999998</v>
      </c>
      <c r="G45" s="193">
        <f t="shared" si="4"/>
        <v>2225.4225000000001</v>
      </c>
      <c r="H45" s="193">
        <f t="shared" si="3"/>
        <v>56408.219799999999</v>
      </c>
      <c r="I45" s="191">
        <f t="shared" si="1"/>
        <v>6656169.9408999979</v>
      </c>
      <c r="J45" s="450"/>
      <c r="K45" s="434"/>
      <c r="L45" s="439"/>
      <c r="M45" s="440"/>
      <c r="N45" s="434"/>
    </row>
    <row r="46" spans="2:14" x14ac:dyDescent="0.2">
      <c r="B46" s="509">
        <v>19</v>
      </c>
      <c r="C46" s="510"/>
      <c r="D46" s="474">
        <f t="shared" si="2"/>
        <v>44777</v>
      </c>
      <c r="E46" s="452" t="s">
        <v>126</v>
      </c>
      <c r="F46" s="192">
        <f t="shared" si="4"/>
        <v>54182.797299999998</v>
      </c>
      <c r="G46" s="193">
        <f t="shared" si="4"/>
        <v>2225.4225000000001</v>
      </c>
      <c r="H46" s="193">
        <f t="shared" si="3"/>
        <v>56408.219799999999</v>
      </c>
      <c r="I46" s="191">
        <f t="shared" si="1"/>
        <v>6599761.7210999979</v>
      </c>
      <c r="J46" s="450"/>
      <c r="K46" s="434"/>
      <c r="L46" s="439"/>
      <c r="M46" s="440"/>
      <c r="N46" s="434"/>
    </row>
    <row r="47" spans="2:14" x14ac:dyDescent="0.2">
      <c r="B47" s="509">
        <v>20</v>
      </c>
      <c r="C47" s="510"/>
      <c r="D47" s="474">
        <f t="shared" si="2"/>
        <v>44808</v>
      </c>
      <c r="E47" s="452" t="s">
        <v>127</v>
      </c>
      <c r="F47" s="192">
        <f t="shared" ref="F47:G62" si="5">F46</f>
        <v>54182.797299999998</v>
      </c>
      <c r="G47" s="193">
        <f t="shared" si="5"/>
        <v>2225.4225000000001</v>
      </c>
      <c r="H47" s="193">
        <f t="shared" si="3"/>
        <v>56408.219799999999</v>
      </c>
      <c r="I47" s="191">
        <f t="shared" si="1"/>
        <v>6543353.5012999978</v>
      </c>
      <c r="J47" s="450"/>
      <c r="K47" s="434"/>
      <c r="L47" s="439"/>
      <c r="M47" s="440"/>
      <c r="N47" s="434"/>
    </row>
    <row r="48" spans="2:14" x14ac:dyDescent="0.2">
      <c r="B48" s="509">
        <v>21</v>
      </c>
      <c r="C48" s="510"/>
      <c r="D48" s="474">
        <f t="shared" si="2"/>
        <v>44838</v>
      </c>
      <c r="E48" s="452" t="s">
        <v>128</v>
      </c>
      <c r="F48" s="192">
        <f t="shared" si="5"/>
        <v>54182.797299999998</v>
      </c>
      <c r="G48" s="193">
        <f t="shared" si="5"/>
        <v>2225.4225000000001</v>
      </c>
      <c r="H48" s="193">
        <f t="shared" si="3"/>
        <v>56408.219799999999</v>
      </c>
      <c r="I48" s="191">
        <f t="shared" si="1"/>
        <v>6486945.2814999977</v>
      </c>
      <c r="J48" s="450"/>
      <c r="K48" s="434"/>
      <c r="L48" s="439"/>
      <c r="M48" s="440"/>
      <c r="N48" s="434"/>
    </row>
    <row r="49" spans="2:14" x14ac:dyDescent="0.2">
      <c r="B49" s="509">
        <v>22</v>
      </c>
      <c r="C49" s="510"/>
      <c r="D49" s="474">
        <f t="shared" si="2"/>
        <v>44869</v>
      </c>
      <c r="E49" s="452" t="s">
        <v>129</v>
      </c>
      <c r="F49" s="192">
        <f t="shared" si="5"/>
        <v>54182.797299999998</v>
      </c>
      <c r="G49" s="193">
        <f t="shared" si="5"/>
        <v>2225.4225000000001</v>
      </c>
      <c r="H49" s="193">
        <f t="shared" si="3"/>
        <v>56408.219799999999</v>
      </c>
      <c r="I49" s="191">
        <f t="shared" si="1"/>
        <v>6430537.0616999976</v>
      </c>
      <c r="J49" s="450"/>
      <c r="K49" s="434"/>
      <c r="L49" s="439"/>
      <c r="M49" s="440"/>
      <c r="N49" s="434"/>
    </row>
    <row r="50" spans="2:14" x14ac:dyDescent="0.2">
      <c r="B50" s="509">
        <v>23</v>
      </c>
      <c r="C50" s="510"/>
      <c r="D50" s="474">
        <f t="shared" si="2"/>
        <v>44899</v>
      </c>
      <c r="E50" s="452" t="s">
        <v>130</v>
      </c>
      <c r="F50" s="192">
        <f t="shared" si="5"/>
        <v>54182.797299999998</v>
      </c>
      <c r="G50" s="193">
        <f t="shared" si="5"/>
        <v>2225.4225000000001</v>
      </c>
      <c r="H50" s="193">
        <f t="shared" si="3"/>
        <v>56408.219799999999</v>
      </c>
      <c r="I50" s="191">
        <f t="shared" si="1"/>
        <v>6374128.8418999976</v>
      </c>
      <c r="J50" s="450"/>
      <c r="K50" s="434"/>
      <c r="L50" s="439"/>
      <c r="M50" s="440"/>
      <c r="N50" s="434"/>
    </row>
    <row r="51" spans="2:14" x14ac:dyDescent="0.2">
      <c r="B51" s="509">
        <v>24</v>
      </c>
      <c r="C51" s="510"/>
      <c r="D51" s="474">
        <f t="shared" si="2"/>
        <v>44930</v>
      </c>
      <c r="E51" s="452" t="s">
        <v>131</v>
      </c>
      <c r="F51" s="192">
        <f t="shared" si="5"/>
        <v>54182.797299999998</v>
      </c>
      <c r="G51" s="193">
        <f t="shared" si="5"/>
        <v>2225.4225000000001</v>
      </c>
      <c r="H51" s="193">
        <f t="shared" si="3"/>
        <v>56408.219799999999</v>
      </c>
      <c r="I51" s="191">
        <f t="shared" si="1"/>
        <v>6317720.6220999975</v>
      </c>
      <c r="J51" s="450"/>
      <c r="K51" s="434"/>
      <c r="L51" s="439"/>
      <c r="M51" s="440"/>
      <c r="N51" s="434"/>
    </row>
    <row r="52" spans="2:14" x14ac:dyDescent="0.2">
      <c r="B52" s="509">
        <v>25</v>
      </c>
      <c r="C52" s="510"/>
      <c r="D52" s="474">
        <f t="shared" si="2"/>
        <v>44961</v>
      </c>
      <c r="E52" s="452" t="s">
        <v>132</v>
      </c>
      <c r="F52" s="192">
        <f t="shared" si="5"/>
        <v>54182.797299999998</v>
      </c>
      <c r="G52" s="193">
        <f t="shared" si="5"/>
        <v>2225.4225000000001</v>
      </c>
      <c r="H52" s="193">
        <f t="shared" si="3"/>
        <v>56408.219799999999</v>
      </c>
      <c r="I52" s="191">
        <f t="shared" si="1"/>
        <v>6261312.4022999974</v>
      </c>
      <c r="J52" s="450"/>
      <c r="K52" s="434"/>
      <c r="L52" s="439"/>
      <c r="M52" s="440"/>
      <c r="N52" s="434"/>
    </row>
    <row r="53" spans="2:14" x14ac:dyDescent="0.2">
      <c r="B53" s="509">
        <v>26</v>
      </c>
      <c r="C53" s="510"/>
      <c r="D53" s="474">
        <f t="shared" si="2"/>
        <v>44989</v>
      </c>
      <c r="E53" s="452" t="s">
        <v>133</v>
      </c>
      <c r="F53" s="192">
        <f t="shared" si="5"/>
        <v>54182.797299999998</v>
      </c>
      <c r="G53" s="193">
        <f t="shared" si="5"/>
        <v>2225.4225000000001</v>
      </c>
      <c r="H53" s="193">
        <f t="shared" si="3"/>
        <v>56408.219799999999</v>
      </c>
      <c r="I53" s="191">
        <f t="shared" si="1"/>
        <v>6204904.1824999973</v>
      </c>
      <c r="J53" s="450"/>
      <c r="K53" s="434"/>
      <c r="L53" s="439"/>
      <c r="M53" s="440"/>
      <c r="N53" s="434"/>
    </row>
    <row r="54" spans="2:14" x14ac:dyDescent="0.2">
      <c r="B54" s="509">
        <v>27</v>
      </c>
      <c r="C54" s="510"/>
      <c r="D54" s="474">
        <f t="shared" si="2"/>
        <v>45020</v>
      </c>
      <c r="E54" s="452" t="s">
        <v>134</v>
      </c>
      <c r="F54" s="192">
        <f t="shared" si="5"/>
        <v>54182.797299999998</v>
      </c>
      <c r="G54" s="193">
        <f t="shared" si="5"/>
        <v>2225.4225000000001</v>
      </c>
      <c r="H54" s="193">
        <f t="shared" si="3"/>
        <v>56408.219799999999</v>
      </c>
      <c r="I54" s="191">
        <f t="shared" si="1"/>
        <v>6148495.9626999972</v>
      </c>
      <c r="J54" s="450"/>
      <c r="K54" s="434"/>
      <c r="L54" s="439"/>
      <c r="M54" s="440"/>
      <c r="N54" s="434"/>
    </row>
    <row r="55" spans="2:14" x14ac:dyDescent="0.2">
      <c r="B55" s="509">
        <v>28</v>
      </c>
      <c r="C55" s="510"/>
      <c r="D55" s="474">
        <f t="shared" si="2"/>
        <v>45050</v>
      </c>
      <c r="E55" s="452" t="s">
        <v>135</v>
      </c>
      <c r="F55" s="192">
        <f t="shared" si="5"/>
        <v>54182.797299999998</v>
      </c>
      <c r="G55" s="193">
        <f t="shared" si="5"/>
        <v>2225.4225000000001</v>
      </c>
      <c r="H55" s="193">
        <f t="shared" si="3"/>
        <v>56408.219799999999</v>
      </c>
      <c r="I55" s="191">
        <f t="shared" si="1"/>
        <v>6092087.7428999972</v>
      </c>
      <c r="J55" s="450"/>
      <c r="K55" s="434"/>
      <c r="L55" s="439"/>
      <c r="M55" s="440"/>
      <c r="N55" s="434"/>
    </row>
    <row r="56" spans="2:14" x14ac:dyDescent="0.2">
      <c r="B56" s="509">
        <v>29</v>
      </c>
      <c r="C56" s="510"/>
      <c r="D56" s="474">
        <f t="shared" si="2"/>
        <v>45081</v>
      </c>
      <c r="E56" s="452" t="s">
        <v>136</v>
      </c>
      <c r="F56" s="192">
        <f t="shared" si="5"/>
        <v>54182.797299999998</v>
      </c>
      <c r="G56" s="193">
        <f t="shared" si="5"/>
        <v>2225.4225000000001</v>
      </c>
      <c r="H56" s="193">
        <f t="shared" si="3"/>
        <v>56408.219799999999</v>
      </c>
      <c r="I56" s="191">
        <f t="shared" si="1"/>
        <v>6035679.5230999971</v>
      </c>
      <c r="J56" s="450"/>
      <c r="K56" s="434"/>
      <c r="L56" s="439"/>
      <c r="M56" s="440"/>
      <c r="N56" s="434"/>
    </row>
    <row r="57" spans="2:14" x14ac:dyDescent="0.2">
      <c r="B57" s="509">
        <v>30</v>
      </c>
      <c r="C57" s="510"/>
      <c r="D57" s="474">
        <f t="shared" si="2"/>
        <v>45111</v>
      </c>
      <c r="E57" s="452" t="s">
        <v>137</v>
      </c>
      <c r="F57" s="192">
        <f t="shared" si="5"/>
        <v>54182.797299999998</v>
      </c>
      <c r="G57" s="193">
        <f t="shared" si="5"/>
        <v>2225.4225000000001</v>
      </c>
      <c r="H57" s="193">
        <f t="shared" si="3"/>
        <v>56408.219799999999</v>
      </c>
      <c r="I57" s="191">
        <f t="shared" si="1"/>
        <v>5979271.303299997</v>
      </c>
      <c r="J57" s="450"/>
      <c r="K57" s="434"/>
      <c r="L57" s="439"/>
      <c r="M57" s="440"/>
      <c r="N57" s="434"/>
    </row>
    <row r="58" spans="2:14" x14ac:dyDescent="0.2">
      <c r="B58" s="509">
        <v>31</v>
      </c>
      <c r="C58" s="510"/>
      <c r="D58" s="474">
        <f t="shared" si="2"/>
        <v>45142</v>
      </c>
      <c r="E58" s="452" t="s">
        <v>138</v>
      </c>
      <c r="F58" s="192">
        <f t="shared" si="5"/>
        <v>54182.797299999998</v>
      </c>
      <c r="G58" s="193">
        <f t="shared" si="5"/>
        <v>2225.4225000000001</v>
      </c>
      <c r="H58" s="193">
        <f t="shared" si="3"/>
        <v>56408.219799999999</v>
      </c>
      <c r="I58" s="191">
        <f t="shared" si="1"/>
        <v>5922863.0834999969</v>
      </c>
      <c r="J58" s="450"/>
      <c r="K58" s="434"/>
      <c r="L58" s="439"/>
      <c r="M58" s="440"/>
      <c r="N58" s="434"/>
    </row>
    <row r="59" spans="2:14" x14ac:dyDescent="0.2">
      <c r="B59" s="509">
        <v>32</v>
      </c>
      <c r="C59" s="510"/>
      <c r="D59" s="474">
        <f t="shared" si="2"/>
        <v>45173</v>
      </c>
      <c r="E59" s="452" t="s">
        <v>139</v>
      </c>
      <c r="F59" s="192">
        <f t="shared" si="5"/>
        <v>54182.797299999998</v>
      </c>
      <c r="G59" s="193">
        <f t="shared" si="5"/>
        <v>2225.4225000000001</v>
      </c>
      <c r="H59" s="193">
        <f t="shared" si="3"/>
        <v>56408.219799999999</v>
      </c>
      <c r="I59" s="191">
        <f t="shared" si="1"/>
        <v>5866454.8636999968</v>
      </c>
      <c r="J59" s="450"/>
      <c r="K59" s="434"/>
      <c r="L59" s="439"/>
      <c r="M59" s="440"/>
      <c r="N59" s="434"/>
    </row>
    <row r="60" spans="2:14" x14ac:dyDescent="0.2">
      <c r="B60" s="509">
        <v>33</v>
      </c>
      <c r="C60" s="510"/>
      <c r="D60" s="474">
        <f t="shared" si="2"/>
        <v>45203</v>
      </c>
      <c r="E60" s="452" t="s">
        <v>140</v>
      </c>
      <c r="F60" s="192">
        <f t="shared" si="5"/>
        <v>54182.797299999998</v>
      </c>
      <c r="G60" s="193">
        <f t="shared" si="5"/>
        <v>2225.4225000000001</v>
      </c>
      <c r="H60" s="193">
        <f t="shared" si="3"/>
        <v>56408.219799999999</v>
      </c>
      <c r="I60" s="191">
        <f t="shared" si="1"/>
        <v>5810046.6438999968</v>
      </c>
      <c r="J60" s="450"/>
      <c r="K60" s="434"/>
      <c r="L60" s="439"/>
      <c r="M60" s="440"/>
      <c r="N60" s="434"/>
    </row>
    <row r="61" spans="2:14" x14ac:dyDescent="0.2">
      <c r="B61" s="509">
        <v>34</v>
      </c>
      <c r="C61" s="510"/>
      <c r="D61" s="474">
        <f t="shared" si="2"/>
        <v>45234</v>
      </c>
      <c r="E61" s="452" t="s">
        <v>141</v>
      </c>
      <c r="F61" s="192">
        <f t="shared" si="5"/>
        <v>54182.797299999998</v>
      </c>
      <c r="G61" s="193">
        <f t="shared" si="5"/>
        <v>2225.4225000000001</v>
      </c>
      <c r="H61" s="193">
        <f t="shared" si="3"/>
        <v>56408.219799999999</v>
      </c>
      <c r="I61" s="191">
        <f t="shared" si="1"/>
        <v>5753638.4240999967</v>
      </c>
      <c r="J61" s="450"/>
      <c r="K61" s="434"/>
      <c r="L61" s="439"/>
      <c r="M61" s="440"/>
      <c r="N61" s="434"/>
    </row>
    <row r="62" spans="2:14" x14ac:dyDescent="0.2">
      <c r="B62" s="509">
        <v>35</v>
      </c>
      <c r="C62" s="510"/>
      <c r="D62" s="474">
        <f t="shared" si="2"/>
        <v>45264</v>
      </c>
      <c r="E62" s="452" t="s">
        <v>142</v>
      </c>
      <c r="F62" s="192">
        <f t="shared" si="5"/>
        <v>54182.797299999998</v>
      </c>
      <c r="G62" s="193">
        <f t="shared" si="5"/>
        <v>2225.4225000000001</v>
      </c>
      <c r="H62" s="193">
        <f t="shared" si="3"/>
        <v>56408.219799999999</v>
      </c>
      <c r="I62" s="191">
        <f t="shared" si="1"/>
        <v>5697230.2042999966</v>
      </c>
      <c r="J62" s="450"/>
      <c r="K62" s="434"/>
      <c r="L62" s="439"/>
      <c r="M62" s="440"/>
      <c r="N62" s="434"/>
    </row>
    <row r="63" spans="2:14" x14ac:dyDescent="0.2">
      <c r="B63" s="509">
        <v>36</v>
      </c>
      <c r="C63" s="510"/>
      <c r="D63" s="474">
        <f t="shared" si="2"/>
        <v>45295</v>
      </c>
      <c r="E63" s="452" t="s">
        <v>143</v>
      </c>
      <c r="F63" s="192">
        <f t="shared" ref="F63:G78" si="6">F62</f>
        <v>54182.797299999998</v>
      </c>
      <c r="G63" s="193">
        <f t="shared" si="6"/>
        <v>2225.4225000000001</v>
      </c>
      <c r="H63" s="193">
        <f t="shared" si="3"/>
        <v>56408.219799999999</v>
      </c>
      <c r="I63" s="191">
        <f t="shared" si="1"/>
        <v>5640821.9844999965</v>
      </c>
      <c r="J63" s="450"/>
      <c r="K63" s="434"/>
      <c r="L63" s="439"/>
      <c r="M63" s="440"/>
      <c r="N63" s="434"/>
    </row>
    <row r="64" spans="2:14" x14ac:dyDescent="0.2">
      <c r="B64" s="509">
        <v>37</v>
      </c>
      <c r="C64" s="510"/>
      <c r="D64" s="474">
        <f t="shared" si="2"/>
        <v>45326</v>
      </c>
      <c r="E64" s="452" t="s">
        <v>144</v>
      </c>
      <c r="F64" s="192">
        <f t="shared" si="6"/>
        <v>54182.797299999998</v>
      </c>
      <c r="G64" s="193">
        <f t="shared" si="6"/>
        <v>2225.4225000000001</v>
      </c>
      <c r="H64" s="193">
        <f t="shared" si="3"/>
        <v>56408.219799999999</v>
      </c>
      <c r="I64" s="191">
        <f t="shared" si="1"/>
        <v>5584413.7646999964</v>
      </c>
      <c r="J64" s="450"/>
      <c r="K64" s="434"/>
      <c r="L64" s="439"/>
      <c r="M64" s="440"/>
      <c r="N64" s="434"/>
    </row>
    <row r="65" spans="2:14" x14ac:dyDescent="0.2">
      <c r="B65" s="509">
        <v>38</v>
      </c>
      <c r="C65" s="510"/>
      <c r="D65" s="474">
        <f t="shared" si="2"/>
        <v>45355</v>
      </c>
      <c r="E65" s="452" t="s">
        <v>145</v>
      </c>
      <c r="F65" s="192">
        <f t="shared" si="6"/>
        <v>54182.797299999998</v>
      </c>
      <c r="G65" s="193">
        <f t="shared" si="6"/>
        <v>2225.4225000000001</v>
      </c>
      <c r="H65" s="193">
        <f t="shared" si="3"/>
        <v>56408.219799999999</v>
      </c>
      <c r="I65" s="191">
        <f t="shared" si="1"/>
        <v>5528005.5448999964</v>
      </c>
      <c r="J65" s="450"/>
      <c r="K65" s="434"/>
      <c r="L65" s="439"/>
      <c r="M65" s="440"/>
      <c r="N65" s="434"/>
    </row>
    <row r="66" spans="2:14" x14ac:dyDescent="0.2">
      <c r="B66" s="509">
        <v>39</v>
      </c>
      <c r="C66" s="510"/>
      <c r="D66" s="474">
        <f t="shared" si="2"/>
        <v>45386</v>
      </c>
      <c r="E66" s="452" t="s">
        <v>146</v>
      </c>
      <c r="F66" s="192">
        <f t="shared" si="6"/>
        <v>54182.797299999998</v>
      </c>
      <c r="G66" s="193">
        <f t="shared" si="6"/>
        <v>2225.4225000000001</v>
      </c>
      <c r="H66" s="193">
        <f t="shared" si="3"/>
        <v>56408.219799999999</v>
      </c>
      <c r="I66" s="191">
        <f t="shared" si="1"/>
        <v>5471597.3250999963</v>
      </c>
      <c r="J66" s="450"/>
      <c r="K66" s="434"/>
      <c r="L66" s="439"/>
      <c r="M66" s="440"/>
      <c r="N66" s="434"/>
    </row>
    <row r="67" spans="2:14" x14ac:dyDescent="0.2">
      <c r="B67" s="509">
        <v>40</v>
      </c>
      <c r="C67" s="510"/>
      <c r="D67" s="474">
        <f t="shared" si="2"/>
        <v>45416</v>
      </c>
      <c r="E67" s="452" t="s">
        <v>147</v>
      </c>
      <c r="F67" s="192">
        <f t="shared" si="6"/>
        <v>54182.797299999998</v>
      </c>
      <c r="G67" s="193">
        <f t="shared" si="6"/>
        <v>2225.4225000000001</v>
      </c>
      <c r="H67" s="193">
        <f t="shared" si="3"/>
        <v>56408.219799999999</v>
      </c>
      <c r="I67" s="191">
        <f t="shared" si="1"/>
        <v>5415189.1052999962</v>
      </c>
      <c r="J67" s="450"/>
      <c r="K67" s="434"/>
      <c r="L67" s="439"/>
      <c r="M67" s="440"/>
      <c r="N67" s="434"/>
    </row>
    <row r="68" spans="2:14" x14ac:dyDescent="0.2">
      <c r="B68" s="509">
        <v>41</v>
      </c>
      <c r="C68" s="510"/>
      <c r="D68" s="474">
        <f t="shared" si="2"/>
        <v>45447</v>
      </c>
      <c r="E68" s="452" t="s">
        <v>148</v>
      </c>
      <c r="F68" s="192">
        <f t="shared" si="6"/>
        <v>54182.797299999998</v>
      </c>
      <c r="G68" s="193">
        <f t="shared" si="6"/>
        <v>2225.4225000000001</v>
      </c>
      <c r="H68" s="193">
        <f t="shared" si="3"/>
        <v>56408.219799999999</v>
      </c>
      <c r="I68" s="191">
        <f t="shared" si="1"/>
        <v>5358780.8854999961</v>
      </c>
      <c r="J68" s="450"/>
      <c r="K68" s="434"/>
      <c r="L68" s="439"/>
      <c r="M68" s="440"/>
      <c r="N68" s="434"/>
    </row>
    <row r="69" spans="2:14" x14ac:dyDescent="0.2">
      <c r="B69" s="509">
        <v>42</v>
      </c>
      <c r="C69" s="510"/>
      <c r="D69" s="474">
        <f t="shared" si="2"/>
        <v>45477</v>
      </c>
      <c r="E69" s="452" t="s">
        <v>149</v>
      </c>
      <c r="F69" s="192">
        <f t="shared" si="6"/>
        <v>54182.797299999998</v>
      </c>
      <c r="G69" s="193">
        <f t="shared" si="6"/>
        <v>2225.4225000000001</v>
      </c>
      <c r="H69" s="193">
        <f t="shared" si="3"/>
        <v>56408.219799999999</v>
      </c>
      <c r="I69" s="191">
        <f t="shared" si="1"/>
        <v>5302372.6656999961</v>
      </c>
      <c r="J69" s="450"/>
      <c r="K69" s="434"/>
      <c r="L69" s="439"/>
      <c r="M69" s="440"/>
      <c r="N69" s="434"/>
    </row>
    <row r="70" spans="2:14" x14ac:dyDescent="0.2">
      <c r="B70" s="509">
        <v>43</v>
      </c>
      <c r="C70" s="510"/>
      <c r="D70" s="474">
        <f t="shared" si="2"/>
        <v>45508</v>
      </c>
      <c r="E70" s="452" t="s">
        <v>150</v>
      </c>
      <c r="F70" s="192">
        <f t="shared" si="6"/>
        <v>54182.797299999998</v>
      </c>
      <c r="G70" s="193">
        <f t="shared" si="6"/>
        <v>2225.4225000000001</v>
      </c>
      <c r="H70" s="193">
        <f t="shared" si="3"/>
        <v>56408.219799999999</v>
      </c>
      <c r="I70" s="191">
        <f t="shared" si="1"/>
        <v>5245964.445899996</v>
      </c>
      <c r="J70" s="450"/>
      <c r="K70" s="434"/>
      <c r="L70" s="439"/>
      <c r="M70" s="440"/>
      <c r="N70" s="434"/>
    </row>
    <row r="71" spans="2:14" x14ac:dyDescent="0.2">
      <c r="B71" s="509">
        <v>44</v>
      </c>
      <c r="C71" s="510"/>
      <c r="D71" s="474">
        <f t="shared" si="2"/>
        <v>45539</v>
      </c>
      <c r="E71" s="452" t="s">
        <v>151</v>
      </c>
      <c r="F71" s="192">
        <f t="shared" si="6"/>
        <v>54182.797299999998</v>
      </c>
      <c r="G71" s="193">
        <f t="shared" si="6"/>
        <v>2225.4225000000001</v>
      </c>
      <c r="H71" s="193">
        <f t="shared" si="3"/>
        <v>56408.219799999999</v>
      </c>
      <c r="I71" s="191">
        <f t="shared" si="1"/>
        <v>5189556.2260999959</v>
      </c>
      <c r="J71" s="450"/>
      <c r="K71" s="434"/>
      <c r="L71" s="439"/>
      <c r="M71" s="440"/>
      <c r="N71" s="434"/>
    </row>
    <row r="72" spans="2:14" x14ac:dyDescent="0.2">
      <c r="B72" s="509">
        <v>45</v>
      </c>
      <c r="C72" s="510"/>
      <c r="D72" s="474">
        <f t="shared" si="2"/>
        <v>45569</v>
      </c>
      <c r="E72" s="452" t="s">
        <v>152</v>
      </c>
      <c r="F72" s="192">
        <f t="shared" si="6"/>
        <v>54182.797299999998</v>
      </c>
      <c r="G72" s="193">
        <f t="shared" si="6"/>
        <v>2225.4225000000001</v>
      </c>
      <c r="H72" s="193">
        <f t="shared" si="3"/>
        <v>56408.219799999999</v>
      </c>
      <c r="I72" s="191">
        <f t="shared" si="1"/>
        <v>5133148.0062999958</v>
      </c>
      <c r="J72" s="450"/>
      <c r="K72" s="434"/>
      <c r="L72" s="439"/>
      <c r="M72" s="440"/>
      <c r="N72" s="434"/>
    </row>
    <row r="73" spans="2:14" x14ac:dyDescent="0.2">
      <c r="B73" s="509">
        <v>46</v>
      </c>
      <c r="C73" s="510"/>
      <c r="D73" s="474">
        <f t="shared" si="2"/>
        <v>45600</v>
      </c>
      <c r="E73" s="452" t="s">
        <v>153</v>
      </c>
      <c r="F73" s="192">
        <f t="shared" si="6"/>
        <v>54182.797299999998</v>
      </c>
      <c r="G73" s="193">
        <f t="shared" si="6"/>
        <v>2225.4225000000001</v>
      </c>
      <c r="H73" s="193">
        <f t="shared" si="3"/>
        <v>56408.219799999999</v>
      </c>
      <c r="I73" s="191">
        <f t="shared" si="1"/>
        <v>5076739.7864999957</v>
      </c>
      <c r="J73" s="450"/>
      <c r="K73" s="434"/>
      <c r="L73" s="439"/>
      <c r="M73" s="440"/>
      <c r="N73" s="434"/>
    </row>
    <row r="74" spans="2:14" x14ac:dyDescent="0.2">
      <c r="B74" s="509">
        <v>47</v>
      </c>
      <c r="C74" s="510"/>
      <c r="D74" s="474">
        <f t="shared" si="2"/>
        <v>45630</v>
      </c>
      <c r="E74" s="452" t="s">
        <v>154</v>
      </c>
      <c r="F74" s="192">
        <f t="shared" si="6"/>
        <v>54182.797299999998</v>
      </c>
      <c r="G74" s="193">
        <f t="shared" si="6"/>
        <v>2225.4225000000001</v>
      </c>
      <c r="H74" s="193">
        <f t="shared" si="3"/>
        <v>56408.219799999999</v>
      </c>
      <c r="I74" s="191">
        <f t="shared" si="1"/>
        <v>5020331.5666999957</v>
      </c>
      <c r="J74" s="450"/>
      <c r="K74" s="434"/>
      <c r="L74" s="439"/>
      <c r="M74" s="440"/>
      <c r="N74" s="434"/>
    </row>
    <row r="75" spans="2:14" x14ac:dyDescent="0.2">
      <c r="B75" s="509">
        <v>48</v>
      </c>
      <c r="C75" s="510"/>
      <c r="D75" s="474">
        <f t="shared" si="2"/>
        <v>45661</v>
      </c>
      <c r="E75" s="452" t="s">
        <v>155</v>
      </c>
      <c r="F75" s="192">
        <f t="shared" si="6"/>
        <v>54182.797299999998</v>
      </c>
      <c r="G75" s="193">
        <f t="shared" si="6"/>
        <v>2225.4225000000001</v>
      </c>
      <c r="H75" s="193">
        <f t="shared" si="3"/>
        <v>56408.219799999999</v>
      </c>
      <c r="I75" s="191">
        <f t="shared" si="1"/>
        <v>4963923.3468999956</v>
      </c>
      <c r="J75" s="450"/>
      <c r="K75" s="434"/>
      <c r="L75" s="439"/>
      <c r="M75" s="440"/>
      <c r="N75" s="434"/>
    </row>
    <row r="76" spans="2:14" x14ac:dyDescent="0.2">
      <c r="B76" s="509">
        <v>49</v>
      </c>
      <c r="C76" s="510"/>
      <c r="D76" s="474">
        <f t="shared" si="2"/>
        <v>45692</v>
      </c>
      <c r="E76" s="452" t="s">
        <v>156</v>
      </c>
      <c r="F76" s="192">
        <f t="shared" si="6"/>
        <v>54182.797299999998</v>
      </c>
      <c r="G76" s="193">
        <f t="shared" si="6"/>
        <v>2225.4225000000001</v>
      </c>
      <c r="H76" s="193">
        <f t="shared" si="3"/>
        <v>56408.219799999999</v>
      </c>
      <c r="I76" s="191">
        <f t="shared" si="1"/>
        <v>4907515.1270999955</v>
      </c>
      <c r="J76" s="450"/>
      <c r="K76" s="434"/>
      <c r="L76" s="439"/>
      <c r="M76" s="440"/>
      <c r="N76" s="434"/>
    </row>
    <row r="77" spans="2:14" x14ac:dyDescent="0.2">
      <c r="B77" s="509">
        <v>50</v>
      </c>
      <c r="C77" s="510"/>
      <c r="D77" s="474">
        <f t="shared" si="2"/>
        <v>45720</v>
      </c>
      <c r="E77" s="452" t="s">
        <v>157</v>
      </c>
      <c r="F77" s="192">
        <f t="shared" si="6"/>
        <v>54182.797299999998</v>
      </c>
      <c r="G77" s="193">
        <f t="shared" si="6"/>
        <v>2225.4225000000001</v>
      </c>
      <c r="H77" s="193">
        <f t="shared" si="3"/>
        <v>56408.219799999999</v>
      </c>
      <c r="I77" s="191">
        <f t="shared" si="1"/>
        <v>4851106.9072999954</v>
      </c>
      <c r="J77" s="450"/>
      <c r="K77" s="434"/>
      <c r="L77" s="439"/>
      <c r="M77" s="440"/>
      <c r="N77" s="434"/>
    </row>
    <row r="78" spans="2:14" x14ac:dyDescent="0.2">
      <c r="B78" s="509">
        <v>51</v>
      </c>
      <c r="C78" s="510"/>
      <c r="D78" s="474">
        <f t="shared" si="2"/>
        <v>45751</v>
      </c>
      <c r="E78" s="452" t="s">
        <v>158</v>
      </c>
      <c r="F78" s="192">
        <f t="shared" si="6"/>
        <v>54182.797299999998</v>
      </c>
      <c r="G78" s="193">
        <f t="shared" si="6"/>
        <v>2225.4225000000001</v>
      </c>
      <c r="H78" s="193">
        <f t="shared" si="3"/>
        <v>56408.219799999999</v>
      </c>
      <c r="I78" s="191">
        <f t="shared" si="1"/>
        <v>4794698.6874999953</v>
      </c>
      <c r="J78" s="450"/>
      <c r="K78" s="434"/>
      <c r="L78" s="439"/>
      <c r="M78" s="440"/>
      <c r="N78" s="434"/>
    </row>
    <row r="79" spans="2:14" x14ac:dyDescent="0.2">
      <c r="B79" s="509">
        <v>52</v>
      </c>
      <c r="C79" s="510"/>
      <c r="D79" s="474">
        <f t="shared" si="2"/>
        <v>45781</v>
      </c>
      <c r="E79" s="452" t="s">
        <v>159</v>
      </c>
      <c r="F79" s="192">
        <f t="shared" ref="F79:G86" si="7">F78</f>
        <v>54182.797299999998</v>
      </c>
      <c r="G79" s="193">
        <f t="shared" si="7"/>
        <v>2225.4225000000001</v>
      </c>
      <c r="H79" s="193">
        <f t="shared" si="3"/>
        <v>56408.219799999999</v>
      </c>
      <c r="I79" s="191">
        <f t="shared" si="1"/>
        <v>4738290.4676999953</v>
      </c>
      <c r="J79" s="450"/>
      <c r="K79" s="434"/>
      <c r="L79" s="439"/>
      <c r="M79" s="440"/>
      <c r="N79" s="434"/>
    </row>
    <row r="80" spans="2:14" x14ac:dyDescent="0.2">
      <c r="B80" s="509">
        <v>53</v>
      </c>
      <c r="C80" s="510"/>
      <c r="D80" s="474">
        <f t="shared" si="2"/>
        <v>45812</v>
      </c>
      <c r="E80" s="452" t="s">
        <v>160</v>
      </c>
      <c r="F80" s="192">
        <f t="shared" si="7"/>
        <v>54182.797299999998</v>
      </c>
      <c r="G80" s="193">
        <f t="shared" si="7"/>
        <v>2225.4225000000001</v>
      </c>
      <c r="H80" s="193">
        <f t="shared" si="3"/>
        <v>56408.219799999999</v>
      </c>
      <c r="I80" s="191">
        <f t="shared" si="1"/>
        <v>4681882.2478999952</v>
      </c>
      <c r="J80" s="450"/>
      <c r="K80" s="434"/>
      <c r="L80" s="439"/>
      <c r="M80" s="440"/>
      <c r="N80" s="434"/>
    </row>
    <row r="81" spans="2:14" x14ac:dyDescent="0.2">
      <c r="B81" s="509">
        <v>54</v>
      </c>
      <c r="C81" s="510"/>
      <c r="D81" s="474">
        <f t="shared" si="2"/>
        <v>45842</v>
      </c>
      <c r="E81" s="452" t="s">
        <v>161</v>
      </c>
      <c r="F81" s="192">
        <f t="shared" si="7"/>
        <v>54182.797299999998</v>
      </c>
      <c r="G81" s="193">
        <f t="shared" si="7"/>
        <v>2225.4225000000001</v>
      </c>
      <c r="H81" s="193">
        <f t="shared" si="3"/>
        <v>56408.219799999999</v>
      </c>
      <c r="I81" s="191">
        <f t="shared" si="1"/>
        <v>4625474.0280999951</v>
      </c>
      <c r="J81" s="450"/>
      <c r="K81" s="434"/>
      <c r="L81" s="439"/>
      <c r="M81" s="440"/>
      <c r="N81" s="434"/>
    </row>
    <row r="82" spans="2:14" x14ac:dyDescent="0.2">
      <c r="B82" s="509">
        <v>55</v>
      </c>
      <c r="C82" s="510"/>
      <c r="D82" s="474">
        <f t="shared" si="2"/>
        <v>45873</v>
      </c>
      <c r="E82" s="452" t="s">
        <v>162</v>
      </c>
      <c r="F82" s="192">
        <f t="shared" si="7"/>
        <v>54182.797299999998</v>
      </c>
      <c r="G82" s="193">
        <f t="shared" si="7"/>
        <v>2225.4225000000001</v>
      </c>
      <c r="H82" s="193">
        <f t="shared" si="3"/>
        <v>56408.219799999999</v>
      </c>
      <c r="I82" s="191">
        <f t="shared" si="1"/>
        <v>4569065.808299995</v>
      </c>
      <c r="J82" s="450"/>
      <c r="K82" s="434"/>
      <c r="L82" s="439"/>
      <c r="M82" s="440"/>
      <c r="N82" s="434"/>
    </row>
    <row r="83" spans="2:14" x14ac:dyDescent="0.2">
      <c r="B83" s="509">
        <v>56</v>
      </c>
      <c r="C83" s="510"/>
      <c r="D83" s="474">
        <f t="shared" si="2"/>
        <v>45904</v>
      </c>
      <c r="E83" s="452" t="s">
        <v>163</v>
      </c>
      <c r="F83" s="192">
        <f t="shared" si="7"/>
        <v>54182.797299999998</v>
      </c>
      <c r="G83" s="193">
        <f t="shared" si="7"/>
        <v>2225.4225000000001</v>
      </c>
      <c r="H83" s="193">
        <f t="shared" si="3"/>
        <v>56408.219799999999</v>
      </c>
      <c r="I83" s="191">
        <f t="shared" si="1"/>
        <v>4512657.5884999949</v>
      </c>
      <c r="J83" s="450"/>
      <c r="K83" s="434"/>
      <c r="L83" s="439"/>
      <c r="M83" s="440"/>
      <c r="N83" s="434"/>
    </row>
    <row r="84" spans="2:14" x14ac:dyDescent="0.2">
      <c r="B84" s="509">
        <v>57</v>
      </c>
      <c r="C84" s="510"/>
      <c r="D84" s="474">
        <f t="shared" si="2"/>
        <v>45934</v>
      </c>
      <c r="E84" s="452" t="s">
        <v>164</v>
      </c>
      <c r="F84" s="192">
        <f t="shared" si="7"/>
        <v>54182.797299999998</v>
      </c>
      <c r="G84" s="193">
        <f t="shared" si="7"/>
        <v>2225.4225000000001</v>
      </c>
      <c r="H84" s="193">
        <f t="shared" si="3"/>
        <v>56408.219799999999</v>
      </c>
      <c r="I84" s="191">
        <f t="shared" si="1"/>
        <v>4456249.3686999949</v>
      </c>
      <c r="J84" s="450"/>
      <c r="K84" s="434"/>
      <c r="L84" s="439"/>
      <c r="M84" s="440"/>
      <c r="N84" s="434"/>
    </row>
    <row r="85" spans="2:14" x14ac:dyDescent="0.2">
      <c r="B85" s="509">
        <v>58</v>
      </c>
      <c r="C85" s="510"/>
      <c r="D85" s="474">
        <f t="shared" si="2"/>
        <v>45965</v>
      </c>
      <c r="E85" s="452" t="s">
        <v>165</v>
      </c>
      <c r="F85" s="192">
        <f>F84</f>
        <v>54182.797299999998</v>
      </c>
      <c r="G85" s="193">
        <f t="shared" si="7"/>
        <v>2225.4225000000001</v>
      </c>
      <c r="H85" s="193">
        <f t="shared" si="3"/>
        <v>56408.219799999999</v>
      </c>
      <c r="I85" s="191">
        <f t="shared" si="1"/>
        <v>4399841.1488999948</v>
      </c>
      <c r="J85" s="450"/>
      <c r="K85" s="434"/>
      <c r="L85" s="439"/>
      <c r="M85" s="440"/>
      <c r="N85" s="434"/>
    </row>
    <row r="86" spans="2:14" x14ac:dyDescent="0.2">
      <c r="B86" s="509">
        <v>59</v>
      </c>
      <c r="C86" s="510"/>
      <c r="D86" s="474">
        <f t="shared" si="2"/>
        <v>45995</v>
      </c>
      <c r="E86" s="452" t="s">
        <v>166</v>
      </c>
      <c r="F86" s="192">
        <f t="shared" si="7"/>
        <v>54182.797299999998</v>
      </c>
      <c r="G86" s="193">
        <f t="shared" si="7"/>
        <v>2225.4225000000001</v>
      </c>
      <c r="H86" s="193">
        <f t="shared" si="3"/>
        <v>56408.219799999999</v>
      </c>
      <c r="I86" s="191">
        <f t="shared" si="1"/>
        <v>4343432.9290999947</v>
      </c>
      <c r="J86" s="450"/>
      <c r="K86" s="434"/>
      <c r="L86" s="439"/>
      <c r="M86" s="440"/>
      <c r="N86" s="434"/>
    </row>
    <row r="87" spans="2:14" x14ac:dyDescent="0.2">
      <c r="B87" s="509">
        <v>60</v>
      </c>
      <c r="C87" s="510"/>
      <c r="D87" s="474">
        <f t="shared" si="2"/>
        <v>46026</v>
      </c>
      <c r="E87" s="452" t="s">
        <v>167</v>
      </c>
      <c r="F87" s="192">
        <f>F86</f>
        <v>54182.797299999998</v>
      </c>
      <c r="G87" s="193">
        <f>G86</f>
        <v>2225.4225000000001</v>
      </c>
      <c r="H87" s="193">
        <f t="shared" si="3"/>
        <v>56408.219799999999</v>
      </c>
      <c r="I87" s="191">
        <f t="shared" si="1"/>
        <v>4287024.7092999946</v>
      </c>
      <c r="J87" s="450"/>
      <c r="K87" s="434"/>
      <c r="L87" s="439"/>
      <c r="M87" s="440"/>
      <c r="N87" s="434"/>
    </row>
    <row r="88" spans="2:14" x14ac:dyDescent="0.2">
      <c r="B88" s="509">
        <v>61</v>
      </c>
      <c r="C88" s="510"/>
      <c r="D88" s="474">
        <f t="shared" si="2"/>
        <v>46057</v>
      </c>
      <c r="E88" s="452" t="s">
        <v>168</v>
      </c>
      <c r="F88" s="207">
        <f>F87</f>
        <v>54182.797299999998</v>
      </c>
      <c r="G88" s="193">
        <f>G87</f>
        <v>2225.4225000000001</v>
      </c>
      <c r="H88" s="193">
        <f>SUM(F88:G88)</f>
        <v>56408.219799999999</v>
      </c>
      <c r="I88" s="191">
        <f t="shared" si="1"/>
        <v>4230616.4894999946</v>
      </c>
      <c r="J88" s="450"/>
      <c r="K88" s="434"/>
      <c r="L88" s="439"/>
      <c r="M88" s="440"/>
      <c r="N88" s="434"/>
    </row>
    <row r="89" spans="2:14" ht="16" thickBot="1" x14ac:dyDescent="0.25">
      <c r="B89" s="531">
        <v>62</v>
      </c>
      <c r="C89" s="532"/>
      <c r="D89" s="474">
        <f t="shared" si="2"/>
        <v>46085</v>
      </c>
      <c r="E89" s="475" t="s">
        <v>175</v>
      </c>
      <c r="F89" s="194">
        <f>((((D15-SUM(D16:D19))+D22)*50%))</f>
        <v>4063709.8</v>
      </c>
      <c r="G89" s="208">
        <f>(D21*50%)/1</f>
        <v>166906.6875</v>
      </c>
      <c r="H89" s="208">
        <f>SUM(F89:G89)</f>
        <v>4230616.4874999998</v>
      </c>
      <c r="I89" s="191">
        <f t="shared" si="1"/>
        <v>1.9999947398900986E-3</v>
      </c>
      <c r="J89" s="476">
        <v>1</v>
      </c>
      <c r="K89" s="434"/>
      <c r="L89" s="439">
        <f>(E23*J89)-L27</f>
        <v>-56000</v>
      </c>
      <c r="M89" s="440">
        <f>L89-F89</f>
        <v>-4119709.8</v>
      </c>
      <c r="N89" s="434"/>
    </row>
    <row r="90" spans="2:14" ht="16" thickBot="1" x14ac:dyDescent="0.25">
      <c r="B90" s="454"/>
      <c r="C90" s="455"/>
      <c r="D90" s="456"/>
      <c r="E90" s="457" t="s">
        <v>96</v>
      </c>
      <c r="F90" s="196">
        <f>SUM(F27:F89)</f>
        <v>8127419.5980000068</v>
      </c>
      <c r="G90" s="196">
        <f>SUM(G27:G89)</f>
        <v>333813.37499999977</v>
      </c>
      <c r="H90" s="196">
        <f>SUM(F90:G90)</f>
        <v>8461232.9730000068</v>
      </c>
      <c r="I90" s="197"/>
      <c r="J90" s="434"/>
      <c r="K90" s="434"/>
      <c r="L90" s="439">
        <f>SUM(L27:L89)</f>
        <v>0</v>
      </c>
      <c r="M90" s="440">
        <f>L90-F90</f>
        <v>-8127419.5980000068</v>
      </c>
      <c r="N90" s="434"/>
    </row>
    <row r="91" spans="2:14" x14ac:dyDescent="0.2">
      <c r="D91" s="458"/>
      <c r="L91" s="459"/>
    </row>
    <row r="92" spans="2:14" x14ac:dyDescent="0.2">
      <c r="B92" s="529" t="s">
        <v>195</v>
      </c>
      <c r="C92" s="535"/>
      <c r="D92" s="535"/>
      <c r="E92" s="535"/>
      <c r="F92" s="535"/>
      <c r="G92" s="535"/>
      <c r="H92" s="535"/>
      <c r="I92" s="535"/>
      <c r="L92" s="459"/>
    </row>
    <row r="93" spans="2:14" x14ac:dyDescent="0.2">
      <c r="B93" s="535"/>
      <c r="C93" s="535"/>
      <c r="D93" s="535"/>
      <c r="E93" s="535"/>
      <c r="F93" s="535"/>
      <c r="G93" s="535"/>
      <c r="H93" s="535"/>
      <c r="I93" s="535"/>
      <c r="L93" s="459"/>
    </row>
    <row r="94" spans="2:14" x14ac:dyDescent="0.2">
      <c r="B94" s="535"/>
      <c r="C94" s="535"/>
      <c r="D94" s="535"/>
      <c r="E94" s="535"/>
      <c r="F94" s="535"/>
      <c r="G94" s="535"/>
      <c r="H94" s="535"/>
      <c r="I94" s="535"/>
      <c r="L94" s="459"/>
    </row>
    <row r="95" spans="2:14" x14ac:dyDescent="0.2">
      <c r="B95" s="535"/>
      <c r="C95" s="535"/>
      <c r="D95" s="535"/>
      <c r="E95" s="535"/>
      <c r="F95" s="535"/>
      <c r="G95" s="535"/>
      <c r="H95" s="535"/>
      <c r="I95" s="535"/>
      <c r="L95" s="459"/>
    </row>
    <row r="96" spans="2:14" x14ac:dyDescent="0.2">
      <c r="B96" s="535"/>
      <c r="C96" s="535"/>
      <c r="D96" s="535"/>
      <c r="E96" s="535"/>
      <c r="F96" s="535"/>
      <c r="G96" s="535"/>
      <c r="H96" s="535"/>
      <c r="I96" s="535"/>
      <c r="L96" s="459"/>
    </row>
    <row r="97" spans="2:12" x14ac:dyDescent="0.2">
      <c r="B97" s="535"/>
      <c r="C97" s="535"/>
      <c r="D97" s="535"/>
      <c r="E97" s="535"/>
      <c r="F97" s="535"/>
      <c r="G97" s="535"/>
      <c r="H97" s="535"/>
      <c r="I97" s="535"/>
      <c r="L97" s="459"/>
    </row>
    <row r="98" spans="2:12" x14ac:dyDescent="0.2">
      <c r="B98" s="535"/>
      <c r="C98" s="535"/>
      <c r="D98" s="535"/>
      <c r="E98" s="535"/>
      <c r="F98" s="535"/>
      <c r="G98" s="535"/>
      <c r="H98" s="535"/>
      <c r="I98" s="535"/>
      <c r="L98" s="459"/>
    </row>
    <row r="99" spans="2:12" x14ac:dyDescent="0.2">
      <c r="B99" s="535"/>
      <c r="C99" s="535"/>
      <c r="D99" s="535"/>
      <c r="E99" s="535"/>
      <c r="F99" s="535"/>
      <c r="G99" s="535"/>
      <c r="H99" s="535"/>
      <c r="I99" s="535"/>
      <c r="L99" s="459"/>
    </row>
    <row r="100" spans="2:12" x14ac:dyDescent="0.2">
      <c r="B100" s="535"/>
      <c r="C100" s="535"/>
      <c r="D100" s="535"/>
      <c r="E100" s="535"/>
      <c r="F100" s="535"/>
      <c r="G100" s="535"/>
      <c r="H100" s="535"/>
      <c r="I100" s="535"/>
      <c r="L100" s="459"/>
    </row>
    <row r="101" spans="2:12" x14ac:dyDescent="0.2">
      <c r="B101" s="535"/>
      <c r="C101" s="535"/>
      <c r="D101" s="535"/>
      <c r="E101" s="535"/>
      <c r="F101" s="535"/>
      <c r="G101" s="535"/>
      <c r="H101" s="535"/>
      <c r="I101" s="535"/>
      <c r="L101" s="459"/>
    </row>
    <row r="102" spans="2:12" x14ac:dyDescent="0.2">
      <c r="B102" s="535"/>
      <c r="C102" s="535"/>
      <c r="D102" s="535"/>
      <c r="E102" s="535"/>
      <c r="F102" s="535"/>
      <c r="G102" s="535"/>
      <c r="H102" s="535"/>
      <c r="I102" s="535"/>
      <c r="L102" s="459"/>
    </row>
    <row r="103" spans="2:12" x14ac:dyDescent="0.2">
      <c r="B103" s="535"/>
      <c r="C103" s="535"/>
      <c r="D103" s="535"/>
      <c r="E103" s="535"/>
      <c r="F103" s="535"/>
      <c r="G103" s="535"/>
      <c r="H103" s="535"/>
      <c r="I103" s="535"/>
      <c r="L103" s="459"/>
    </row>
    <row r="104" spans="2:12" x14ac:dyDescent="0.2">
      <c r="B104" s="535"/>
      <c r="C104" s="535"/>
      <c r="D104" s="535"/>
      <c r="E104" s="535"/>
      <c r="F104" s="535"/>
      <c r="G104" s="535"/>
      <c r="H104" s="535"/>
      <c r="I104" s="535"/>
      <c r="L104" s="459"/>
    </row>
    <row r="105" spans="2:12" x14ac:dyDescent="0.2">
      <c r="B105" s="535"/>
      <c r="C105" s="535"/>
      <c r="D105" s="535"/>
      <c r="E105" s="535"/>
      <c r="F105" s="535"/>
      <c r="G105" s="535"/>
      <c r="H105" s="535"/>
      <c r="I105" s="535"/>
      <c r="L105" s="459"/>
    </row>
    <row r="106" spans="2:12" x14ac:dyDescent="0.2">
      <c r="B106" s="535"/>
      <c r="C106" s="535"/>
      <c r="D106" s="535"/>
      <c r="E106" s="535"/>
      <c r="F106" s="535"/>
      <c r="G106" s="535"/>
      <c r="H106" s="535"/>
      <c r="I106" s="535"/>
      <c r="L106" s="459"/>
    </row>
    <row r="107" spans="2:12" ht="105" customHeight="1" x14ac:dyDescent="0.2">
      <c r="B107" s="535"/>
      <c r="C107" s="535"/>
      <c r="D107" s="535"/>
      <c r="E107" s="535"/>
      <c r="F107" s="535"/>
      <c r="G107" s="535"/>
      <c r="H107" s="535"/>
      <c r="I107" s="535"/>
      <c r="L107" s="459"/>
    </row>
    <row r="108" spans="2:12" hidden="1" x14ac:dyDescent="0.2">
      <c r="B108" s="460" t="s">
        <v>97</v>
      </c>
      <c r="C108" s="460"/>
    </row>
    <row r="109" spans="2:12" hidden="1" x14ac:dyDescent="0.2">
      <c r="B109" s="461" t="s">
        <v>98</v>
      </c>
      <c r="C109" s="461"/>
    </row>
    <row r="110" spans="2:12" hidden="1" x14ac:dyDescent="0.2">
      <c r="B110" s="461" t="s">
        <v>99</v>
      </c>
      <c r="C110" s="461"/>
    </row>
    <row r="111" spans="2:12" hidden="1" x14ac:dyDescent="0.2">
      <c r="B111" s="461" t="s">
        <v>100</v>
      </c>
      <c r="C111" s="461"/>
    </row>
    <row r="112" spans="2:12" hidden="1" x14ac:dyDescent="0.2">
      <c r="B112" s="461" t="s">
        <v>101</v>
      </c>
      <c r="C112" s="461"/>
    </row>
    <row r="113" spans="2:9" s="462" customFormat="1" hidden="1" x14ac:dyDescent="0.2">
      <c r="B113" s="461" t="s">
        <v>102</v>
      </c>
      <c r="C113" s="461"/>
    </row>
    <row r="115" spans="2:9" x14ac:dyDescent="0.2">
      <c r="B115" s="463" t="s">
        <v>103</v>
      </c>
      <c r="C115" s="463"/>
    </row>
    <row r="118" spans="2:9" x14ac:dyDescent="0.2">
      <c r="B118" s="530" t="s">
        <v>104</v>
      </c>
      <c r="C118" s="530"/>
      <c r="D118" s="530"/>
      <c r="F118" s="530" t="s">
        <v>105</v>
      </c>
      <c r="G118" s="530"/>
      <c r="H118" s="530"/>
      <c r="I118" s="530"/>
    </row>
  </sheetData>
  <sheetProtection algorithmName="SHA-512" hashValue="7YnHrA922ItQY7t44mESg7agNwi046inz/GK9F0quTWRWVlOpq4MUy3cRs+bIrnw9JtG8t9FuoH5PFm2emFwWw==" saltValue="WupuwD3ces62hdz810Lwkw==" spinCount="100000" sheet="1" objects="1" scenarios="1"/>
  <mergeCells count="76">
    <mergeCell ref="C9:D9"/>
    <mergeCell ref="L1:L3"/>
    <mergeCell ref="I2:I3"/>
    <mergeCell ref="C6:D6"/>
    <mergeCell ref="C7:D7"/>
    <mergeCell ref="C8:D8"/>
    <mergeCell ref="B34:C34"/>
    <mergeCell ref="C10:D10"/>
    <mergeCell ref="C11:D11"/>
    <mergeCell ref="C12:D12"/>
    <mergeCell ref="B26:C26"/>
    <mergeCell ref="B27:C27"/>
    <mergeCell ref="B28:C28"/>
    <mergeCell ref="B29:C29"/>
    <mergeCell ref="B30:C30"/>
    <mergeCell ref="B31:C31"/>
    <mergeCell ref="B32:C32"/>
    <mergeCell ref="B33:C33"/>
    <mergeCell ref="B46:C46"/>
    <mergeCell ref="B35:C35"/>
    <mergeCell ref="B36:C36"/>
    <mergeCell ref="B37:C37"/>
    <mergeCell ref="B38:C38"/>
    <mergeCell ref="B39:C39"/>
    <mergeCell ref="B40:C40"/>
    <mergeCell ref="B41:C41"/>
    <mergeCell ref="B42:C42"/>
    <mergeCell ref="B43:C43"/>
    <mergeCell ref="B44:C44"/>
    <mergeCell ref="B45:C45"/>
    <mergeCell ref="B58:C58"/>
    <mergeCell ref="B47:C47"/>
    <mergeCell ref="B48:C48"/>
    <mergeCell ref="B49:C49"/>
    <mergeCell ref="B50:C50"/>
    <mergeCell ref="B51:C51"/>
    <mergeCell ref="B52:C52"/>
    <mergeCell ref="B53:C53"/>
    <mergeCell ref="B54:C54"/>
    <mergeCell ref="B55:C55"/>
    <mergeCell ref="B56:C56"/>
    <mergeCell ref="B57:C57"/>
    <mergeCell ref="B70:C70"/>
    <mergeCell ref="B59:C59"/>
    <mergeCell ref="B60:C60"/>
    <mergeCell ref="B61:C61"/>
    <mergeCell ref="B62:C62"/>
    <mergeCell ref="B63:C63"/>
    <mergeCell ref="B64:C64"/>
    <mergeCell ref="B65:C65"/>
    <mergeCell ref="B66:C66"/>
    <mergeCell ref="B67:C67"/>
    <mergeCell ref="B68:C68"/>
    <mergeCell ref="B69:C69"/>
    <mergeCell ref="B82:C82"/>
    <mergeCell ref="B71:C71"/>
    <mergeCell ref="B72:C72"/>
    <mergeCell ref="B73:C73"/>
    <mergeCell ref="B74:C74"/>
    <mergeCell ref="B75:C75"/>
    <mergeCell ref="B76:C76"/>
    <mergeCell ref="B77:C77"/>
    <mergeCell ref="B78:C78"/>
    <mergeCell ref="B79:C79"/>
    <mergeCell ref="B80:C80"/>
    <mergeCell ref="B81:C81"/>
    <mergeCell ref="B89:C89"/>
    <mergeCell ref="B92:I107"/>
    <mergeCell ref="B118:D118"/>
    <mergeCell ref="F118:I118"/>
    <mergeCell ref="B83:C83"/>
    <mergeCell ref="B84:C84"/>
    <mergeCell ref="B85:C85"/>
    <mergeCell ref="B86:C86"/>
    <mergeCell ref="B87:C87"/>
    <mergeCell ref="B88:C88"/>
  </mergeCells>
  <hyperlinks>
    <hyperlink ref="J5" location="Input!A1" display="Return to Input" xr:uid="{00000000-0004-0000-0800-000000000000}"/>
  </hyperlinks>
  <pageMargins left="0.7" right="0.7" top="0.75" bottom="0.75" header="0.3" footer="0.3"/>
  <pageSetup paperSize="5" scale="51"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Sheet1</vt:lpstr>
      <vt:lpstr>SEPT 1 2020</vt:lpstr>
      <vt:lpstr>PRICE LIST 9-1-20</vt:lpstr>
      <vt:lpstr>PAYMENT TERMS SUMMARY_Non Mem</vt:lpstr>
      <vt:lpstr>GIVEOTAKE</vt:lpstr>
      <vt:lpstr>INPUT</vt:lpstr>
      <vt:lpstr>NonMem_Cash</vt:lpstr>
      <vt:lpstr>NonMem_SpotDP 1</vt:lpstr>
      <vt:lpstr>NonMem_SpotDP 2</vt:lpstr>
      <vt:lpstr>NonMem_NoDP</vt:lpstr>
      <vt:lpstr>NonMem_Promo Term</vt:lpstr>
      <vt:lpstr>PAYMENT TERM SUMMARY _Mem</vt:lpstr>
      <vt:lpstr>Mem_Cash</vt:lpstr>
      <vt:lpstr>Mem_Spot DP 1</vt:lpstr>
      <vt:lpstr>Mem_Spot DP 2</vt:lpstr>
      <vt:lpstr>Mem_No DP</vt:lpstr>
      <vt:lpstr>Mem_Promo Term</vt:lpstr>
      <vt:lpstr>INPUT!Print_Area</vt:lpstr>
      <vt:lpstr>Mem_Cash!Print_Area</vt:lpstr>
      <vt:lpstr>'Mem_No DP'!Print_Area</vt:lpstr>
      <vt:lpstr>'Mem_Promo Term'!Print_Area</vt:lpstr>
      <vt:lpstr>'Mem_Spot DP 1'!Print_Area</vt:lpstr>
      <vt:lpstr>'Mem_Spot DP 2'!Print_Area</vt:lpstr>
      <vt:lpstr>NonMem_Cash!Print_Area</vt:lpstr>
      <vt:lpstr>NonMem_NoDP!Print_Area</vt:lpstr>
      <vt:lpstr>'NonMem_Promo Term'!Print_Area</vt:lpstr>
      <vt:lpstr>'NonMem_SpotDP 1'!Print_Area</vt:lpstr>
      <vt:lpstr>'NonMem_SpotDP 2'!Print_Area</vt:lpstr>
      <vt:lpstr>'PAYMENT TERM SUMMARY _Mem'!Print_Area</vt:lpstr>
      <vt:lpstr>'PAYMENT TERMS SUMMARY_Non Mem'!Print_Area</vt:lpstr>
      <vt:lpstr>'PRICE LIST 9-1-20'!Print_Area</vt:lpstr>
      <vt:lpstr>'SEPT 1 2020'!Print_Area</vt:lpstr>
      <vt:lpstr>'Mem_Promo Term'!Print_Titles</vt:lpstr>
      <vt:lpstr>'NonMem_Promo Term'!Print_Titles</vt:lpstr>
      <vt:lpstr>'PRICE LIST 9-1-20'!Print_Titles</vt:lpstr>
      <vt:lpstr>'SEPT 1 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Jane C. Lee</dc:creator>
  <cp:lastModifiedBy>Microsoft Office User</cp:lastModifiedBy>
  <cp:lastPrinted>2020-08-28T08:41:52Z</cp:lastPrinted>
  <dcterms:created xsi:type="dcterms:W3CDTF">2019-04-02T12:10:01Z</dcterms:created>
  <dcterms:modified xsi:type="dcterms:W3CDTF">2021-03-26T12:03:12Z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3f826d-dd3d-47cb-bf18-698ba24faae4_Enabled">
    <vt:lpwstr>True</vt:lpwstr>
  </property>
  <property fmtid="{D5CDD505-2E9C-101B-9397-08002B2CF9AE}" pid="3" name="MSIP_Label_723f826d-dd3d-47cb-bf18-698ba24faae4_SiteId">
    <vt:lpwstr>fee2180b-69b6-4afe-9f14-ccd70bd4c737</vt:lpwstr>
  </property>
  <property fmtid="{D5CDD505-2E9C-101B-9397-08002B2CF9AE}" pid="4" name="MSIP_Label_723f826d-dd3d-47cb-bf18-698ba24faae4_Owner">
    <vt:lpwstr>Cathy.Aulo@kcc.com</vt:lpwstr>
  </property>
  <property fmtid="{D5CDD505-2E9C-101B-9397-08002B2CF9AE}" pid="5" name="MSIP_Label_723f826d-dd3d-47cb-bf18-698ba24faae4_SetDate">
    <vt:lpwstr>2020-11-06T04:13:17.7036743Z</vt:lpwstr>
  </property>
  <property fmtid="{D5CDD505-2E9C-101B-9397-08002B2CF9AE}" pid="6" name="MSIP_Label_723f826d-dd3d-47cb-bf18-698ba24faae4_Name">
    <vt:lpwstr>Public</vt:lpwstr>
  </property>
  <property fmtid="{D5CDD505-2E9C-101B-9397-08002B2CF9AE}" pid="7" name="MSIP_Label_723f826d-dd3d-47cb-bf18-698ba24faae4_Application">
    <vt:lpwstr>Microsoft Azure Information Protection</vt:lpwstr>
  </property>
  <property fmtid="{D5CDD505-2E9C-101B-9397-08002B2CF9AE}" pid="8" name="MSIP_Label_723f826d-dd3d-47cb-bf18-698ba24faae4_ActionId">
    <vt:lpwstr>bdc42017-5528-47af-9c5b-e4349449e989</vt:lpwstr>
  </property>
  <property fmtid="{D5CDD505-2E9C-101B-9397-08002B2CF9AE}" pid="9" name="MSIP_Label_723f826d-dd3d-47cb-bf18-698ba24faae4_Extended_MSFT_Method">
    <vt:lpwstr>Manual</vt:lpwstr>
  </property>
  <property fmtid="{D5CDD505-2E9C-101B-9397-08002B2CF9AE}" pid="10" name="MSIP_Label_ec3caa80-b45a-41c4-be35-6a080a795a59_Enabled">
    <vt:lpwstr>True</vt:lpwstr>
  </property>
  <property fmtid="{D5CDD505-2E9C-101B-9397-08002B2CF9AE}" pid="11" name="MSIP_Label_ec3caa80-b45a-41c4-be35-6a080a795a59_SiteId">
    <vt:lpwstr>fee2180b-69b6-4afe-9f14-ccd70bd4c737</vt:lpwstr>
  </property>
  <property fmtid="{D5CDD505-2E9C-101B-9397-08002B2CF9AE}" pid="12" name="MSIP_Label_ec3caa80-b45a-41c4-be35-6a080a795a59_Owner">
    <vt:lpwstr>Cathy.Aulo@kcc.com</vt:lpwstr>
  </property>
  <property fmtid="{D5CDD505-2E9C-101B-9397-08002B2CF9AE}" pid="13" name="MSIP_Label_ec3caa80-b45a-41c4-be35-6a080a795a59_SetDate">
    <vt:lpwstr>2020-11-06T04:13:17.7036743Z</vt:lpwstr>
  </property>
  <property fmtid="{D5CDD505-2E9C-101B-9397-08002B2CF9AE}" pid="14" name="MSIP_Label_ec3caa80-b45a-41c4-be35-6a080a795a59_Name">
    <vt:lpwstr>Without Content Marking</vt:lpwstr>
  </property>
  <property fmtid="{D5CDD505-2E9C-101B-9397-08002B2CF9AE}" pid="15" name="MSIP_Label_ec3caa80-b45a-41c4-be35-6a080a795a59_Application">
    <vt:lpwstr>Microsoft Azure Information Protection</vt:lpwstr>
  </property>
  <property fmtid="{D5CDD505-2E9C-101B-9397-08002B2CF9AE}" pid="16" name="MSIP_Label_ec3caa80-b45a-41c4-be35-6a080a795a59_ActionId">
    <vt:lpwstr>bdc42017-5528-47af-9c5b-e4349449e989</vt:lpwstr>
  </property>
  <property fmtid="{D5CDD505-2E9C-101B-9397-08002B2CF9AE}" pid="17" name="MSIP_Label_ec3caa80-b45a-41c4-be35-6a080a795a59_Parent">
    <vt:lpwstr>723f826d-dd3d-47cb-bf18-698ba24faae4</vt:lpwstr>
  </property>
  <property fmtid="{D5CDD505-2E9C-101B-9397-08002B2CF9AE}" pid="18" name="MSIP_Label_ec3caa80-b45a-41c4-be35-6a080a795a59_Extended_MSFT_Method">
    <vt:lpwstr>Manual</vt:lpwstr>
  </property>
  <property fmtid="{D5CDD505-2E9C-101B-9397-08002B2CF9AE}" pid="19" name="KCAutoClass">
    <vt:lpwstr>Public Without Content Marking</vt:lpwstr>
  </property>
</Properties>
</file>